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ds" sheetId="1" state="visible" r:id="rId3"/>
    <sheet name="phs" sheetId="2" state="visible" r:id="rId4"/>
    <sheet name="ameli_only" sheetId="3" state="visible" r:id="rId5"/>
    <sheet name="ets" sheetId="4" state="visible" r:id="rId6"/>
    <sheet name="zones" sheetId="5" state="visible" r:id="rId7"/>
    <sheet name="calls" sheetId="6" state="visible" r:id="rId8"/>
  </sheets>
  <definedNames>
    <definedName function="false" hidden="true" localSheetId="5" name="_xlnm._FilterDatabase" vbProcedure="false">calls!$A$1:$E$492</definedName>
    <definedName function="false" hidden="false" localSheetId="0" name="_xlnm.Print_Titles" vbProcedure="false">pds!$A:$A,pds!$1:$1</definedName>
    <definedName function="false" hidden="true" localSheetId="0" name="_xlnm._FilterDatabase" vbProcedure="false">pds!$A$1:$AU$2106</definedName>
    <definedName function="false" hidden="true" localSheetId="1" name="_xlnm._FilterDatabase" vbProcedure="false">phs!$A$1:$AE$392</definedName>
    <definedName function="false" hidden="false" localSheetId="0" name="_xlnm.Print_Titles" vbProcedure="false">pds!$1:$1,pds!$A:$A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<sst xmlns="http://schemas.openxmlformats.org/spreadsheetml/2006/main" count="44065" uniqueCount="16416">
  <si>
    <t xml:space="preserve">nom</t>
  </si>
  <si>
    <t xml:space="preserve">pre</t>
  </si>
  <si>
    <t xml:space="preserve">nom_pre</t>
  </si>
  <si>
    <t xml:space="preserve">spe1</t>
  </si>
  <si>
    <t xml:space="preserve">spe2</t>
  </si>
  <si>
    <t xml:space="preserve">age</t>
  </si>
  <si>
    <t xml:space="preserve">conv</t>
  </si>
  <si>
    <t xml:space="preserve">lieux</t>
  </si>
  <si>
    <t xml:space="preserve">uga</t>
  </si>
  <si>
    <t xml:space="preserve">eta</t>
  </si>
  <si>
    <t xml:space="preserve">adr</t>
  </si>
  <si>
    <t xml:space="preserve">num</t>
  </si>
  <si>
    <t xml:space="preserve">street</t>
  </si>
  <si>
    <t xml:space="preserve">cp</t>
  </si>
  <si>
    <t xml:space="preserve">vil</t>
  </si>
  <si>
    <t xml:space="preserve">tel</t>
  </si>
  <si>
    <t xml:space="preserve">mul</t>
  </si>
  <si>
    <t xml:space="preserve">pot</t>
  </si>
  <si>
    <t xml:space="preserve">pvm</t>
  </si>
  <si>
    <t xml:space="preserve">dec</t>
  </si>
  <si>
    <t xml:space="preserve">c24c1</t>
  </si>
  <si>
    <t xml:space="preserve">c24c2</t>
  </si>
  <si>
    <t xml:space="preserve">c23c3</t>
  </si>
  <si>
    <t xml:space="preserve">nv23</t>
  </si>
  <si>
    <t xml:space="preserve">nv22</t>
  </si>
  <si>
    <t xml:space="preserve">mail</t>
  </si>
  <si>
    <t xml:space="preserve">veeva_url</t>
  </si>
  <si>
    <t xml:space="preserve">ameli_url</t>
  </si>
  <si>
    <t xml:space="preserve">veeva_link</t>
  </si>
  <si>
    <t xml:space="preserve">ameli_link</t>
  </si>
  <si>
    <t xml:space="preserve">ddv</t>
  </si>
  <si>
    <t xml:space="preserve">ddvs</t>
  </si>
  <si>
    <t xml:space="preserve">rdv</t>
  </si>
  <si>
    <t xml:space="preserve">rec</t>
  </si>
  <si>
    <t xml:space="preserve">mode</t>
  </si>
  <si>
    <t xml:space="preserve">com</t>
  </si>
  <si>
    <t xml:space="preserve">motif</t>
  </si>
  <si>
    <t xml:space="preserve">lun_m</t>
  </si>
  <si>
    <t xml:space="preserve">lun_a</t>
  </si>
  <si>
    <t xml:space="preserve">mar_m</t>
  </si>
  <si>
    <t xml:space="preserve">mar_a</t>
  </si>
  <si>
    <t xml:space="preserve">mer_m</t>
  </si>
  <si>
    <t xml:space="preserve">mer_a</t>
  </si>
  <si>
    <t xml:space="preserve">jeu_m</t>
  </si>
  <si>
    <t xml:space="preserve">jeu_a</t>
  </si>
  <si>
    <t xml:space="preserve">ven_m</t>
  </si>
  <si>
    <t xml:space="preserve">ven_a</t>
  </si>
  <si>
    <t xml:space="preserve">AMAZZOUGH</t>
  </si>
  <si>
    <t xml:space="preserve">KARIMA</t>
  </si>
  <si>
    <t xml:space="preserve">AMAZZOUGH KARIMA</t>
  </si>
  <si>
    <t xml:space="preserve">MG</t>
  </si>
  <si>
    <t xml:space="preserve">75MNP</t>
  </si>
  <si>
    <t xml:space="preserve">HÔP UNI NECKER</t>
  </si>
  <si>
    <t xml:space="preserve">149 RUE DE SEVRES</t>
  </si>
  <si>
    <t xml:space="preserve">RUE DE SEVRES</t>
  </si>
  <si>
    <t xml:space="preserve">PARIS</t>
  </si>
  <si>
    <t xml:space="preserve">01 44 49 54 48</t>
  </si>
  <si>
    <t xml:space="preserve">https://biocodex6--c.vf.force.com/0014L00000KFRiPQAX</t>
  </si>
  <si>
    <t xml:space="preserve">HAZEN</t>
  </si>
  <si>
    <t xml:space="preserve">RICHARD</t>
  </si>
  <si>
    <t xml:space="preserve">HAZEN RICHARD</t>
  </si>
  <si>
    <t xml:space="preserve">S2O</t>
  </si>
  <si>
    <t xml:space="preserve">75PER</t>
  </si>
  <si>
    <t xml:space="preserve">26 AVENUE DE VILLIERS</t>
  </si>
  <si>
    <t xml:space="preserve">AVENUE DE VILLIERS</t>
  </si>
  <si>
    <t xml:space="preserve">01 42 28 09 00</t>
  </si>
  <si>
    <t xml:space="preserve">https://biocodex6--c.vf.force.com/0014L00000KFiNyQAL</t>
  </si>
  <si>
    <t xml:space="preserve">https://annuairesante.ameli.fr/professionnels-de-sante/recherche/fiche-detaillee-B7c1lzA1OTO7.html</t>
  </si>
  <si>
    <t xml:space="preserve">[Timestamp('2023-07-24 16:00:00'), Timestamp('2024-01-22 11:00:00'), Timestamp('2024-05-13 14:30:00')]</t>
  </si>
  <si>
    <t xml:space="preserve">2024-04</t>
  </si>
  <si>
    <t xml:space="preserve">OUI</t>
  </si>
  <si>
    <t xml:space="preserve">RDV</t>
  </si>
  <si>
    <t xml:space="preserve">TRETON</t>
  </si>
  <si>
    <t xml:space="preserve">XAVIER</t>
  </si>
  <si>
    <t xml:space="preserve">TRETON XAVIER</t>
  </si>
  <si>
    <t xml:space="preserve">GE</t>
  </si>
  <si>
    <t xml:space="preserve">ONCO</t>
  </si>
  <si>
    <t xml:space="preserve">92NEU</t>
  </si>
  <si>
    <t xml:space="preserve">CLI AMBROISE PARÉ</t>
  </si>
  <si>
    <t xml:space="preserve">26 BOULEVARD VICTOR HUGO</t>
  </si>
  <si>
    <t xml:space="preserve">BOULEVARD VICTOR HUGO</t>
  </si>
  <si>
    <t xml:space="preserve">NEUILLY-SUR-SEINE</t>
  </si>
  <si>
    <t xml:space="preserve">01 46 41 31 78</t>
  </si>
  <si>
    <t xml:space="preserve">https://biocodex6--c.vf.force.com/0014L00000KG4F6QAL</t>
  </si>
  <si>
    <t xml:space="preserve">https://annuairesante.ameli.fr/professionnels-de-sante/recherche/fiche-detaillee-CbA1lTM5MjG3.html</t>
  </si>
  <si>
    <t xml:space="preserve">08:30-14:00(R)</t>
  </si>
  <si>
    <t xml:space="preserve">14:00-19:25(R)</t>
  </si>
  <si>
    <t xml:space="preserve">14:30-19:25(R)</t>
  </si>
  <si>
    <t xml:space="preserve">08:30-13:45(R)</t>
  </si>
  <si>
    <t xml:space="preserve">TANASA STEFANESCU</t>
  </si>
  <si>
    <t xml:space="preserve">CARMEN</t>
  </si>
  <si>
    <t xml:space="preserve">TANASA STEFANESCU CARMEN</t>
  </si>
  <si>
    <t xml:space="preserve">https://biocodex6--c.vf.force.com/0014L00000KG2chQAD</t>
  </si>
  <si>
    <t xml:space="preserve">[Timestamp('2024-01-29 15:00:00'), Timestamp('2024-05-15 14:30:00')]</t>
  </si>
  <si>
    <t xml:space="preserve">COO LAISSÉES À LA SECRÉTAIRE</t>
  </si>
  <si>
    <t xml:space="preserve">BLAISE</t>
  </si>
  <si>
    <t xml:space="preserve">BENJAMIN</t>
  </si>
  <si>
    <t xml:space="preserve">BLAISE BENJAMIN</t>
  </si>
  <si>
    <t xml:space="preserve">S1</t>
  </si>
  <si>
    <t xml:space="preserve">75GRE</t>
  </si>
  <si>
    <t xml:space="preserve">154 RUE DE LOURMEL</t>
  </si>
  <si>
    <t xml:space="preserve">RUE DE LOURMEL</t>
  </si>
  <si>
    <t xml:space="preserve">01 45 54 33 58 // 09 78 81 81 34</t>
  </si>
  <si>
    <t xml:space="preserve">https://biocodex6--c.vf.force.com/0014L00000KG8znQAD</t>
  </si>
  <si>
    <t xml:space="preserve">https://annuairesante.ameli.fr/professionnels-de-sante/recherche/fiche-detaillee-B7c1kjQwNze3.html</t>
  </si>
  <si>
    <t xml:space="preserve">[Timestamp('2023-07-18 10:00:00'), Timestamp('2023-09-12 09:30:00')]</t>
  </si>
  <si>
    <t xml:space="preserve">L</t>
  </si>
  <si>
    <t xml:space="preserve">08:45-14:00(R)</t>
  </si>
  <si>
    <t xml:space="preserve">14:00-18:45(R)</t>
  </si>
  <si>
    <t xml:space="preserve">BRASSIER</t>
  </si>
  <si>
    <t xml:space="preserve">ANAIS</t>
  </si>
  <si>
    <t xml:space="preserve">BRASSIER ANAIS</t>
  </si>
  <si>
    <t xml:space="preserve">PE</t>
  </si>
  <si>
    <t xml:space="preserve">ENDO</t>
  </si>
  <si>
    <t xml:space="preserve">01 44 49 48 52</t>
  </si>
  <si>
    <t xml:space="preserve">https://biocodex6--c.vf.force.com/0014L00000KFV4jQAH</t>
  </si>
  <si>
    <t xml:space="preserve">MORELLO</t>
  </si>
  <si>
    <t xml:space="preserve">DOMINIQUE</t>
  </si>
  <si>
    <t xml:space="preserve">MORELLO DOMINIQUE</t>
  </si>
  <si>
    <t xml:space="preserve">75INV</t>
  </si>
  <si>
    <t xml:space="preserve">15 AVENUE DE VILLARS</t>
  </si>
  <si>
    <t xml:space="preserve">AVENUE DE VILLARS</t>
  </si>
  <si>
    <t xml:space="preserve">01 45 51 23 31</t>
  </si>
  <si>
    <t xml:space="preserve">https://biocodex6--c.vf.force.com/0014L00000KFsbRQAT</t>
  </si>
  <si>
    <t xml:space="preserve">https://annuairesante.ameli.fr/professionnels-de-sante/recherche/fiche-detaillee-B7c1ljIyNDa3.html</t>
  </si>
  <si>
    <t xml:space="preserve">RAPPEL</t>
  </si>
  <si>
    <t xml:space="preserve">14:00-19:30(R)</t>
  </si>
  <si>
    <t xml:space="preserve">BARRO LECOMTE</t>
  </si>
  <si>
    <t xml:space="preserve">FRANCOISE</t>
  </si>
  <si>
    <t xml:space="preserve">BARRO LECOMTE FRANCOISE</t>
  </si>
  <si>
    <t xml:space="preserve">28 RUE VIALA</t>
  </si>
  <si>
    <t xml:space="preserve">RUE VIALA</t>
  </si>
  <si>
    <t xml:space="preserve">01 45 77 38 29</t>
  </si>
  <si>
    <t xml:space="preserve">https://biocodex6--c.vf.force.com/0014L00000KFTtoQAH</t>
  </si>
  <si>
    <t xml:space="preserve">https://annuairesante.ameli.fr/professionnels-de-sante/recherche/fiche-detaillee-B7c1lzQ4MjW6.html</t>
  </si>
  <si>
    <t xml:space="preserve">[Timestamp('2023-07-27 12:30:00'), Timestamp('2023-10-18 09:30:00'), Timestamp('2024-03-25 10:30:00')]</t>
  </si>
  <si>
    <t xml:space="preserve">OK
09:00-14:00(R)</t>
  </si>
  <si>
    <t xml:space="preserve">14:00-19:00(R)</t>
  </si>
  <si>
    <t xml:space="preserve">OK
09:15-14:00(R)</t>
  </si>
  <si>
    <t xml:space="preserve">14:00-14:20(R)
15:00-19:00(R)</t>
  </si>
  <si>
    <t xml:space="preserve">OK
09:00-12:00(R)</t>
  </si>
  <si>
    <t xml:space="preserve">MARES</t>
  </si>
  <si>
    <t xml:space="preserve">MICHEL</t>
  </si>
  <si>
    <t xml:space="preserve">MARES MICHEL</t>
  </si>
  <si>
    <t xml:space="preserve">19 RUE MONSIEUR</t>
  </si>
  <si>
    <t xml:space="preserve">RUE MONSIEUR</t>
  </si>
  <si>
    <t xml:space="preserve">01 45 66 84 05</t>
  </si>
  <si>
    <t xml:space="preserve">https://biocodex6--c.vf.force.com/0014L00000KFpxKQAT</t>
  </si>
  <si>
    <t xml:space="preserve">https://annuairesante.ameli.fr/professionnels-de-sante/recherche/fiche-detaillee-B7c1kTc3MTGy.html</t>
  </si>
  <si>
    <t xml:space="preserve">[Timestamp('2023-07-28 10:30:00'), Timestamp('2023-11-07 11:00:00'), Timestamp('2024-01-16 10:30:00'), Timestamp('2024-01-23 09:30:00'), Timestamp('2024-05-07 14:00:00')]</t>
  </si>
  <si>
    <t xml:space="preserve">LATTES</t>
  </si>
  <si>
    <t xml:space="preserve">FREDERIC</t>
  </si>
  <si>
    <t xml:space="preserve">LATTES FREDERIC</t>
  </si>
  <si>
    <t xml:space="preserve">01 53 66 61 27</t>
  </si>
  <si>
    <t xml:space="preserve">https://biocodex6--c.vf.force.com/0014L00000KFmKJQA1</t>
  </si>
  <si>
    <t xml:space="preserve">[Timestamp('2023-07-07 09:00:00'), Timestamp('2023-09-12 12:00:00'), Timestamp('2023-10-20 11:30:00')]</t>
  </si>
  <si>
    <t xml:space="preserve">NON</t>
  </si>
  <si>
    <t xml:space="preserve">RET</t>
  </si>
  <si>
    <t xml:space="preserve">12:30:00</t>
  </si>
  <si>
    <t xml:space="preserve">AZOULAY</t>
  </si>
  <si>
    <t xml:space="preserve">CAMILLE</t>
  </si>
  <si>
    <t xml:space="preserve">AZOULAY CAMILLE</t>
  </si>
  <si>
    <t xml:space="preserve">CTR MÉD DES CÉVENNES</t>
  </si>
  <si>
    <t xml:space="preserve">66 RUE DES CEVENNES</t>
  </si>
  <si>
    <t xml:space="preserve">RUE DES CEVENNES</t>
  </si>
  <si>
    <t xml:space="preserve">09 87 36 77 75</t>
  </si>
  <si>
    <t xml:space="preserve">https://biocodex6--c.vf.force.com/0014L00000KFPGgQAP</t>
  </si>
  <si>
    <t xml:space="preserve">https://annuairesante.ameli.fr/professionnels-de-sante/recherche/fiche-detaillee-B7c1kjQ4MDCw.html</t>
  </si>
  <si>
    <t xml:space="preserve">HC</t>
  </si>
  <si>
    <t xml:space="preserve">09:15-14:00(R)</t>
  </si>
  <si>
    <t xml:space="preserve">CAROLE</t>
  </si>
  <si>
    <t xml:space="preserve">AZOULAY CAROLE</t>
  </si>
  <si>
    <t xml:space="preserve">PSY</t>
  </si>
  <si>
    <t xml:space="preserve">75TRO</t>
  </si>
  <si>
    <t xml:space="preserve">61 AVENUE VICTOR HUGO</t>
  </si>
  <si>
    <t xml:space="preserve">AVENUE VICTOR HUGO</t>
  </si>
  <si>
    <t xml:space="preserve">01 53 72 93 12</t>
  </si>
  <si>
    <t xml:space="preserve">D7</t>
  </si>
  <si>
    <t xml:space="preserve">https://biocodex6--c.vf.force.com/0014L00000KFRBFQA5</t>
  </si>
  <si>
    <t xml:space="preserve">PVM1</t>
  </si>
  <si>
    <t xml:space="preserve">NRP</t>
  </si>
  <si>
    <t xml:space="preserve">PAS INTÉRESSÉ PAR TDAH</t>
  </si>
  <si>
    <t xml:space="preserve">LAURENT</t>
  </si>
  <si>
    <t xml:space="preserve">CHRISTIAN</t>
  </si>
  <si>
    <t xml:space="preserve">LAURENT CHRISTIAN</t>
  </si>
  <si>
    <t xml:space="preserve">117 RUE DU THEATRE</t>
  </si>
  <si>
    <t xml:space="preserve">RUE DU THEATRE</t>
  </si>
  <si>
    <t xml:space="preserve">01 45 75 11 88</t>
  </si>
  <si>
    <t xml:space="preserve">https://biocodex6--c.vf.force.com/0014L00000KFmNVQA1</t>
  </si>
  <si>
    <t xml:space="preserve">https://annuairesante.ameli.fr/professionnels-de-sante/recherche/fiche-detaillee-B7c1kTE4ODCz.html</t>
  </si>
  <si>
    <t xml:space="preserve">[Timestamp('2023-07-18 12:00:00'), Timestamp('2024-06-20 10:30:00')]</t>
  </si>
  <si>
    <t xml:space="preserve">NRP?</t>
  </si>
  <si>
    <t xml:space="preserve">14:00-18:40(R)</t>
  </si>
  <si>
    <t xml:space="preserve">08:10-9:55(?)</t>
  </si>
  <si>
    <t xml:space="preserve">ROMAND MONNIER</t>
  </si>
  <si>
    <t xml:space="preserve">PHILIPPE</t>
  </si>
  <si>
    <t xml:space="preserve">ROMAND MONNIER PHILIPPE</t>
  </si>
  <si>
    <t xml:space="preserve">75TER</t>
  </si>
  <si>
    <t xml:space="preserve">22 AVENUE DE FRIEDLAND</t>
  </si>
  <si>
    <t xml:space="preserve">AVENUE DE FRIEDLAND</t>
  </si>
  <si>
    <t xml:space="preserve">01 45 72 30 02</t>
  </si>
  <si>
    <t xml:space="preserve">https://biocodex6--c.vf.force.com/0014L00000KFzCkQAL</t>
  </si>
  <si>
    <t xml:space="preserve">https://annuairesante.ameli.fr/professionnels-de-sante/recherche/fiche-detaillee-B7c1lDc3MDS1.html</t>
  </si>
  <si>
    <t xml:space="preserve">REGENSBERG DE ANDREIS</t>
  </si>
  <si>
    <t xml:space="preserve">NATHALIE</t>
  </si>
  <si>
    <t xml:space="preserve">REGENSBERG DE ANDREIS NATHALIE</t>
  </si>
  <si>
    <t xml:space="preserve">MGY</t>
  </si>
  <si>
    <t xml:space="preserve">14 RUE DAUBIGNY</t>
  </si>
  <si>
    <t xml:space="preserve">RUE DAUBIGNY</t>
  </si>
  <si>
    <t xml:space="preserve">01 43 14 84 30</t>
  </si>
  <si>
    <t xml:space="preserve">https://biocodex6--c.vf.force.com/0014L00000KFyLoQAL</t>
  </si>
  <si>
    <t xml:space="preserve">https://annuairesante.ameli.fr/professionnels-de-sante/recherche/fiche-detaillee-B7c1lDI2MDW6.html</t>
  </si>
  <si>
    <t xml:space="preserve">BOUHNIK</t>
  </si>
  <si>
    <t xml:space="preserve">YORAM</t>
  </si>
  <si>
    <t xml:space="preserve">BOUHNIK YORAM</t>
  </si>
  <si>
    <t xml:space="preserve">S2</t>
  </si>
  <si>
    <t xml:space="preserve">01 46 39 89 63</t>
  </si>
  <si>
    <t xml:space="preserve">https://biocodex6--c.vf.force.com/0014L00000KFUGlQAP</t>
  </si>
  <si>
    <t xml:space="preserve">https://annuairesante.ameli.fr/professionnels-de-sante/recherche/fiche-detaillee-CbA1lTM5MTW1.html</t>
  </si>
  <si>
    <t xml:space="preserve">PR.</t>
  </si>
  <si>
    <t xml:space="preserve">GUYON</t>
  </si>
  <si>
    <t xml:space="preserve">BENOIT</t>
  </si>
  <si>
    <t xml:space="preserve">GUYON BENOIT</t>
  </si>
  <si>
    <t xml:space="preserve">17 RUE MADEMOISELLE</t>
  </si>
  <si>
    <t xml:space="preserve">RUE MADEMOISELLE</t>
  </si>
  <si>
    <t xml:space="preserve">01 47 34 11 49 // 01 45 75 20 88</t>
  </si>
  <si>
    <t xml:space="preserve">https://biocodex6--c.vf.force.com/0014L00000KFhsjQAD</t>
  </si>
  <si>
    <t xml:space="preserve">https://annuairesante.ameli.fr/professionnels-de-sante/recherche/fiche-detaillee-B7c1lzswNjC7.html</t>
  </si>
  <si>
    <t xml:space="preserve">[Timestamp('2023-07-06 09:30:00'), Timestamp('2023-09-11 12:30:00'), Timestamp('2024-01-26 11:00:00'), Timestamp('2024-05-14 12:00:00')]</t>
  </si>
  <si>
    <t xml:space="preserve">08:00-12:00</t>
  </si>
  <si>
    <t xml:space="preserve">GUYOT</t>
  </si>
  <si>
    <t xml:space="preserve">ANNE</t>
  </si>
  <si>
    <t xml:space="preserve">GUYOT ANNE</t>
  </si>
  <si>
    <t xml:space="preserve">75VAU</t>
  </si>
  <si>
    <t xml:space="preserve">MDS CONVENTION-LECOURBE</t>
  </si>
  <si>
    <t xml:space="preserve">223 RUE LECOURBE</t>
  </si>
  <si>
    <t xml:space="preserve">RUE LECOURBE</t>
  </si>
  <si>
    <t xml:space="preserve">01 42 50 02 61 // 01 75 95 13 59</t>
  </si>
  <si>
    <t xml:space="preserve">https://biocodex6--c.vf.force.com/0014L00000KG9wtQAD</t>
  </si>
  <si>
    <t xml:space="preserve">https://annuairesante.ameli.fr/professionnels-de-sante/recherche/fiche-detaillee-B7c1kzExNjC0.html</t>
  </si>
  <si>
    <t xml:space="preserve">08:45-13:30(R)</t>
  </si>
  <si>
    <t xml:space="preserve">FOMMARTY</t>
  </si>
  <si>
    <t xml:space="preserve">JEROME</t>
  </si>
  <si>
    <t xml:space="preserve">FOMMARTY JEROME</t>
  </si>
  <si>
    <t xml:space="preserve">GY</t>
  </si>
  <si>
    <t xml:space="preserve">OBS</t>
  </si>
  <si>
    <t xml:space="preserve">HÔP DE NEUILLY</t>
  </si>
  <si>
    <t xml:space="preserve">36 BOULEVARD DU GENERAL LECLERC</t>
  </si>
  <si>
    <t xml:space="preserve">BOULEVARD DU GENERAL LECLERC</t>
  </si>
  <si>
    <t xml:space="preserve">https://biocodex6--c.vf.force.com/0014L00000KFe65QAD</t>
  </si>
  <si>
    <t xml:space="preserve">[Timestamp('2023-09-15 10:00:00'), Timestamp('2024-01-25 09:30:00')]</t>
  </si>
  <si>
    <t xml:space="preserve">OK</t>
  </si>
  <si>
    <t xml:space="preserve">POREE</t>
  </si>
  <si>
    <t xml:space="preserve">ANNICK</t>
  </si>
  <si>
    <t xml:space="preserve">POREE ANNICK</t>
  </si>
  <si>
    <t xml:space="preserve">GER</t>
  </si>
  <si>
    <t xml:space="preserve">341 RUE LECOURBE</t>
  </si>
  <si>
    <t xml:space="preserve">01 45 54 38 47</t>
  </si>
  <si>
    <t xml:space="preserve">https://biocodex6--c.vf.force.com/0014L00000KFxJIQA1</t>
  </si>
  <si>
    <t xml:space="preserve">https://annuairesante.ameli.fr/professionnels-de-sante/recherche/fiche-detaillee-B7c1lzI5Nza6.html</t>
  </si>
  <si>
    <t xml:space="preserve">[Timestamp('2023-07-25 10:00:00'), Timestamp('2024-03-22 11:30:00'), Timestamp('2024-06-20 16:00:00')]</t>
  </si>
  <si>
    <t xml:space="preserve">09:30/12:00
09:30-14:00(R)</t>
  </si>
  <si>
    <t xml:space="preserve">14:00-18:00(R)</t>
  </si>
  <si>
    <t xml:space="preserve">09:30-14:00(R)</t>
  </si>
  <si>
    <t xml:space="preserve">13:00/15:00
14:00-18:00(R)</t>
  </si>
  <si>
    <t xml:space="preserve">CAVALLIN</t>
  </si>
  <si>
    <t xml:space="preserve">MARIN</t>
  </si>
  <si>
    <t xml:space="preserve">CAVALLIN MARIN</t>
  </si>
  <si>
    <t xml:space="preserve">NE</t>
  </si>
  <si>
    <t xml:space="preserve">01 44 49 48 54</t>
  </si>
  <si>
    <t xml:space="preserve">https://biocodex6--c.vf.force.com/0014L00000bOm3PQAS</t>
  </si>
  <si>
    <t xml:space="preserve">AMZALLAG</t>
  </si>
  <si>
    <t xml:space="preserve">AMZALLAG MICHEL</t>
  </si>
  <si>
    <t xml:space="preserve">131 RUE DES DAMES</t>
  </si>
  <si>
    <t xml:space="preserve">RUE DES DAMES</t>
  </si>
  <si>
    <t xml:space="preserve">01 43 87 57 94</t>
  </si>
  <si>
    <t xml:space="preserve">https://biocodex6--c.vf.force.com/0014L00000KFQtJQAX</t>
  </si>
  <si>
    <t xml:space="preserve">https://annuairesante.ameli.fr/professionnels-de-sante/recherche/fiche-detaillee-B7c1lzsxMzC2.html</t>
  </si>
  <si>
    <t xml:space="preserve">[Timestamp('2023-10-19 11:30:00'), Timestamp('2024-01-25 11:30:00'), Timestamp('2024-05-14 17:00:00'), Timestamp('2024-06-20 12:30:00')]</t>
  </si>
  <si>
    <t xml:space="preserve">09:00-10:30(?)</t>
  </si>
  <si>
    <t xml:space="preserve">14:00-17:00
15:00-19:00(?)</t>
  </si>
  <si>
    <t xml:space="preserve">11:00-14:00(?)</t>
  </si>
  <si>
    <t xml:space="preserve">14:00-17:00</t>
  </si>
  <si>
    <t xml:space="preserve">BESNAINOU BOTBOL</t>
  </si>
  <si>
    <t xml:space="preserve">KAREN</t>
  </si>
  <si>
    <t xml:space="preserve">BESNAINOU BOTBOL KAREN</t>
  </si>
  <si>
    <t xml:space="preserve">CDS JAQUES SENET</t>
  </si>
  <si>
    <t xml:space="preserve">12 RUE ARMAND MOISANT</t>
  </si>
  <si>
    <t xml:space="preserve">RUE ARMAND MOISANT</t>
  </si>
  <si>
    <t xml:space="preserve">01 42 79 16 11</t>
  </si>
  <si>
    <t xml:space="preserve">https://biocodex6--c.vf.force.com/0014L00000KFSmkQAH</t>
  </si>
  <si>
    <t xml:space="preserve">[Timestamp('2023-09-08 11:30:00'), Timestamp('2023-12-14 12:30:00'), Timestamp('2024-01-26 15:30:00'), Timestamp('2024-05-14 15:00:00')]</t>
  </si>
  <si>
    <t xml:space="preserve">CAUCHON RAULT</t>
  </si>
  <si>
    <t xml:space="preserve">MARIE EVE</t>
  </si>
  <si>
    <t xml:space="preserve">CAUCHON RAULT MARIE EVE</t>
  </si>
  <si>
    <t xml:space="preserve">92LEV</t>
  </si>
  <si>
    <t xml:space="preserve">29 RUE KLEBER</t>
  </si>
  <si>
    <t xml:space="preserve">RUE KLEBER</t>
  </si>
  <si>
    <t xml:space="preserve">LEVALLOIS-PERRET</t>
  </si>
  <si>
    <t xml:space="preserve">01 46 39 09 09</t>
  </si>
  <si>
    <t xml:space="preserve">marieevecauchon@gmail.com</t>
  </si>
  <si>
    <t xml:space="preserve">https://biocodex6--c.vf.force.com/0014L00000KFjx9QAD</t>
  </si>
  <si>
    <t xml:space="preserve">[Timestamp('2023-06-29 16:00:00'), Timestamp('2024-01-31 10:00:00')]</t>
  </si>
  <si>
    <t xml:space="preserve">MEGHIRA</t>
  </si>
  <si>
    <t xml:space="preserve">SANDRINE</t>
  </si>
  <si>
    <t xml:space="preserve">MEGHIRA SANDRINE</t>
  </si>
  <si>
    <t xml:space="preserve">01 88 32 17 22</t>
  </si>
  <si>
    <t xml:space="preserve">https://biocodex6--c.vf.force.com/0014L00000KG9YrQAL</t>
  </si>
  <si>
    <t xml:space="preserve">https://annuairesante.ameli.fr/professionnels-de-sante/recherche/fiche-detaillee-B7c1kjU0NTqz.html</t>
  </si>
  <si>
    <t xml:space="preserve">[Timestamp('2023-07-27 14:00:00'), Timestamp('2024-06-20 14:30:00')]</t>
  </si>
  <si>
    <t xml:space="preserve">NRP ?</t>
  </si>
  <si>
    <t xml:space="preserve">BESSE ASSOULY</t>
  </si>
  <si>
    <t xml:space="preserve">BESSE ASSOULY FRANCOISE</t>
  </si>
  <si>
    <t xml:space="preserve">4 RUE MILNE EDWARDS</t>
  </si>
  <si>
    <t xml:space="preserve">RUE MILNE EDWARDS</t>
  </si>
  <si>
    <t xml:space="preserve">01 45 74 50 10</t>
  </si>
  <si>
    <t xml:space="preserve">NP</t>
  </si>
  <si>
    <t xml:space="preserve">https://biocodex6--c.vf.force.com/0014L00000KFTDfQAP</t>
  </si>
  <si>
    <t xml:space="preserve">ha laisse</t>
  </si>
  <si>
    <t xml:space="preserve">DAVIDEAU</t>
  </si>
  <si>
    <t xml:space="preserve">SERGE</t>
  </si>
  <si>
    <t xml:space="preserve">DAVIDEAU SERGE</t>
  </si>
  <si>
    <t xml:space="preserve">79 QUAI ANDRE CITROEN</t>
  </si>
  <si>
    <t xml:space="preserve">QUAI ANDRE CITROEN</t>
  </si>
  <si>
    <t xml:space="preserve">01 45 78 10 00</t>
  </si>
  <si>
    <t xml:space="preserve">https://biocodex6--c.vf.force.com/0014L00000KFYuTQAX</t>
  </si>
  <si>
    <t xml:space="preserve">https://annuairesante.ameli.fr/professionnels-de-sante/recherche/fiche-detaillee-B7c1ljQ3Nzqy.html</t>
  </si>
  <si>
    <t xml:space="preserve">08:15-14:00(R)</t>
  </si>
  <si>
    <t xml:space="preserve">14:00-20:30(R)</t>
  </si>
  <si>
    <t xml:space="preserve">13:40-14:00(R)</t>
  </si>
  <si>
    <t xml:space="preserve">14:00-20:15(R)</t>
  </si>
  <si>
    <t xml:space="preserve">DESGROIS</t>
  </si>
  <si>
    <t xml:space="preserve">CATHERINE</t>
  </si>
  <si>
    <t xml:space="preserve">DESGROIS CATHERINE</t>
  </si>
  <si>
    <t xml:space="preserve">65 RUE DU THEATRE</t>
  </si>
  <si>
    <t xml:space="preserve">01 48 28 10 89</t>
  </si>
  <si>
    <t xml:space="preserve">https://biocodex6--c.vf.force.com/0014L00000KFaT8QAL</t>
  </si>
  <si>
    <t xml:space="preserve">https://annuairesante.ameli.fr/professionnels-de-sante/recherche/fiche-detaillee-B7c1lzQ0NDe6.html</t>
  </si>
  <si>
    <t xml:space="preserve">09:00-13:00(R)</t>
  </si>
  <si>
    <t xml:space="preserve">09:00-14:00(D)</t>
  </si>
  <si>
    <t xml:space="preserve">14:00-19:00(D)</t>
  </si>
  <si>
    <t xml:space="preserve">ROMANO</t>
  </si>
  <si>
    <t xml:space="preserve">VALERIA</t>
  </si>
  <si>
    <t xml:space="preserve">ROMANO VALERIA</t>
  </si>
  <si>
    <t xml:space="preserve">ESTH</t>
  </si>
  <si>
    <t xml:space="preserve">NC</t>
  </si>
  <si>
    <t xml:space="preserve">76 AVENUE DES CHAMPS ELYSEES</t>
  </si>
  <si>
    <t xml:space="preserve">AVENUE DES CHAMPS ELYSEES</t>
  </si>
  <si>
    <t xml:space="preserve">01 71 19 59 51</t>
  </si>
  <si>
    <t xml:space="preserve">https://biocodex6--c.vf.force.com/0014L00000KFKpOQAX</t>
  </si>
  <si>
    <t xml:space="preserve">https://annuairesante.ameli.fr/professionnels-de-sante/recherche/fiche-detaillee-B7c1kjM2OTGy.html</t>
  </si>
  <si>
    <t xml:space="preserve">DÉMÉNAGE EN  SUISSE</t>
  </si>
  <si>
    <t xml:space="preserve">FARZIN</t>
  </si>
  <si>
    <t xml:space="preserve">ALAIN</t>
  </si>
  <si>
    <t xml:space="preserve">FARZIN ALAIN</t>
  </si>
  <si>
    <t xml:space="preserve">01 45 75 20 88</t>
  </si>
  <si>
    <t xml:space="preserve">https://biocodex6--c.vf.force.com/0014L00000KFajUQAT</t>
  </si>
  <si>
    <t xml:space="preserve">https://annuairesante.ameli.fr/professionnels-de-sante/recherche/fiche-detaillee-B7c1kjMyMTSy.html</t>
  </si>
  <si>
    <t xml:space="preserve">[Timestamp('2023-07-17 09:30:00'), Timestamp('2023-09-11 11:00:00'), Timestamp('2024-01-26 10:00:00')]</t>
  </si>
  <si>
    <t xml:space="preserve">OK
10:30-14:00(R)</t>
  </si>
  <si>
    <t xml:space="preserve">15:00-19:30(R)</t>
  </si>
  <si>
    <t xml:space="preserve"> 
14:00-19:00(R)</t>
  </si>
  <si>
    <t xml:space="preserve">AHMED ALI</t>
  </si>
  <si>
    <t xml:space="preserve">NASSIMA</t>
  </si>
  <si>
    <t xml:space="preserve">AHMED ALI NASSIMA</t>
  </si>
  <si>
    <t xml:space="preserve">01 40 88 61 54</t>
  </si>
  <si>
    <t xml:space="preserve">https://biocodex6--c.vf.force.com/0014L00000KFRgCQAX</t>
  </si>
  <si>
    <t xml:space="preserve">BEN MERABET</t>
  </si>
  <si>
    <t xml:space="preserve">FAEZA</t>
  </si>
  <si>
    <t xml:space="preserve">BEN MERABET FAEZA</t>
  </si>
  <si>
    <t xml:space="preserve">01 49 93 49 93</t>
  </si>
  <si>
    <t xml:space="preserve">DERY</t>
  </si>
  <si>
    <t xml:space="preserve">YOHANA</t>
  </si>
  <si>
    <t xml:space="preserve">DERY YOHANA</t>
  </si>
  <si>
    <t xml:space="preserve">https://biocodex6--c.vf.force.com/0014L00000KFNuSQAX</t>
  </si>
  <si>
    <t xml:space="preserve">ICHOU</t>
  </si>
  <si>
    <t xml:space="preserve">ALEXANDRE</t>
  </si>
  <si>
    <t xml:space="preserve">ICHOU ALEXANDRE</t>
  </si>
  <si>
    <t xml:space="preserve">146 AVENUE CHARLES DE GAULLE</t>
  </si>
  <si>
    <t xml:space="preserve">AVENUE CHARLES DE GAULLE</t>
  </si>
  <si>
    <t xml:space="preserve">01 47 45 87 87</t>
  </si>
  <si>
    <t xml:space="preserve">https://biocodex6--c.vf.force.com/0014L00000KFMQBQA5</t>
  </si>
  <si>
    <t xml:space="preserve">https://annuairesante.ameli.fr/professionnels-de-sante/recherche/fiche-detaillee-CbA1lTMwMjK0.html</t>
  </si>
  <si>
    <t xml:space="preserve">HWANG</t>
  </si>
  <si>
    <t xml:space="preserve">CHYI</t>
  </si>
  <si>
    <t xml:space="preserve">HWANG CHYI</t>
  </si>
  <si>
    <t xml:space="preserve">ACU</t>
  </si>
  <si>
    <t xml:space="preserve">75AUT</t>
  </si>
  <si>
    <t xml:space="preserve">44 AVENUE DE VERSAILLES</t>
  </si>
  <si>
    <t xml:space="preserve">AVENUE DE VERSAILLES</t>
  </si>
  <si>
    <t xml:space="preserve">01 45 20 69 70</t>
  </si>
  <si>
    <t xml:space="preserve">https://biocodex6--c.vf.force.com/0014L00000KFjKJQA1</t>
  </si>
  <si>
    <t xml:space="preserve">https://annuairesante.ameli.fr/professionnels-de-sante/recherche/fiche-detaillee-B7c1ljc5MTKy.html</t>
  </si>
  <si>
    <t xml:space="preserve">[Timestamp('2023-07-20 11:30:00'), Timestamp('2023-10-03 10:30:00'), Timestamp('2024-03-15 14:30:00'), Timestamp('2024-05-21 08:30:00')]</t>
  </si>
  <si>
    <t xml:space="preserve">08:30-12:00(R)</t>
  </si>
  <si>
    <t xml:space="preserve">14:30-18:00(R)</t>
  </si>
  <si>
    <t xml:space="preserve">10:00-12:00(R)</t>
  </si>
  <si>
    <t xml:space="preserve">16:15-18:00(R)</t>
  </si>
  <si>
    <t xml:space="preserve">FLORAND</t>
  </si>
  <si>
    <t xml:space="preserve">OLIVIER</t>
  </si>
  <si>
    <t xml:space="preserve">FLORAND OLIVIER</t>
  </si>
  <si>
    <t xml:space="preserve">CAR</t>
  </si>
  <si>
    <t xml:space="preserve">8 RUE DEGAS</t>
  </si>
  <si>
    <t xml:space="preserve">RUE DEGAS</t>
  </si>
  <si>
    <t xml:space="preserve">01 42 88 72 14</t>
  </si>
  <si>
    <t xml:space="preserve">https://biocodex6--c.vf.force.com/0014L00000KFdsJQAT</t>
  </si>
  <si>
    <t xml:space="preserve">https://annuairesante.ameli.fr/professionnels-de-sante/recherche/fiche-detaillee-B7c1kDsyNDGw.html</t>
  </si>
  <si>
    <t xml:space="preserve">[Timestamp('2024-03-18 16:00:00'), Timestamp('2024-05-28 10:00:00')]</t>
  </si>
  <si>
    <t xml:space="preserve">09:25-14:00(R)</t>
  </si>
  <si>
    <t xml:space="preserve">14:00-19:45(R)</t>
  </si>
  <si>
    <t xml:space="preserve">VERITE SAVIGNY</t>
  </si>
  <si>
    <t xml:space="preserve">ANNE CHARLOTTE</t>
  </si>
  <si>
    <t xml:space="preserve">VERITE SAVIGNY ANNE CHARLOTTE</t>
  </si>
  <si>
    <t xml:space="preserve">254 RUE DU FAUBOURG ST HONORE</t>
  </si>
  <si>
    <t xml:space="preserve">RUE DU FAUBOURG ST HONORE</t>
  </si>
  <si>
    <t xml:space="preserve">01 45 62 56 56 // 06 64 99 93 42</t>
  </si>
  <si>
    <t xml:space="preserve">https://biocodex6--c.vf.force.com/0014L00000KG5CrQAL</t>
  </si>
  <si>
    <t xml:space="preserve">https://annuairesante.ameli.fr/professionnels-de-sante/recherche/fiche-detaillee-B7c1kjI5NzS2.html</t>
  </si>
  <si>
    <t xml:space="preserve">OGRIN</t>
  </si>
  <si>
    <t xml:space="preserve">FLORENCE</t>
  </si>
  <si>
    <t xml:space="preserve">OGRIN FLORENCE</t>
  </si>
  <si>
    <t xml:space="preserve">HOMEO</t>
  </si>
  <si>
    <t xml:space="preserve">62 AVENUE DE LA GRANDE ARMEE</t>
  </si>
  <si>
    <t xml:space="preserve">AVENUE DE LA GRANDE ARMEE</t>
  </si>
  <si>
    <t xml:space="preserve">01 45 74 07 08</t>
  </si>
  <si>
    <t xml:space="preserve">https://biocodex6--c.vf.force.com/0014L00000KG2sJQAT</t>
  </si>
  <si>
    <t xml:space="preserve">https://annuairesante.ameli.fr/professionnels-de-sante/recherche/fiche-detaillee-B7c1lDs0MTO3.html</t>
  </si>
  <si>
    <t xml:space="preserve">[Timestamp('2023-07-04 11:30:00'), Timestamp('2023-10-04 11:00:00'), Timestamp('2023-11-14 10:00:00'), Timestamp('2024-05-07 15:30:00')]</t>
  </si>
  <si>
    <t xml:space="preserve">LEZMI</t>
  </si>
  <si>
    <t xml:space="preserve">GUILLAUME</t>
  </si>
  <si>
    <t xml:space="preserve">LEZMI GUILLAUME</t>
  </si>
  <si>
    <t xml:space="preserve">01 44 49 50 47</t>
  </si>
  <si>
    <t xml:space="preserve">https://biocodex6--c.vf.force.com/0014L00000KFnTVQA1</t>
  </si>
  <si>
    <t xml:space="preserve">VALLETEAU DE MOULLIAC</t>
  </si>
  <si>
    <t xml:space="preserve">VALLETEAU DE MOULLIAC JEROME</t>
  </si>
  <si>
    <t xml:space="preserve">75PAS</t>
  </si>
  <si>
    <t xml:space="preserve">60 BOULEVARD EMILE AUGIER</t>
  </si>
  <si>
    <t xml:space="preserve">BOULEVARD EMILE AUGIER</t>
  </si>
  <si>
    <t xml:space="preserve">01 45 04 53 13</t>
  </si>
  <si>
    <t xml:space="preserve">drjvalleteaudemoulliac@orange.fr</t>
  </si>
  <si>
    <t xml:space="preserve">https://biocodex6--c.vf.force.com/0014L00000KG4FdQAL</t>
  </si>
  <si>
    <t xml:space="preserve">https://annuairesante.ameli.fr/professionnels-de-sante/recherche/fiche-detaillee-B7c1lTIzODq1.html</t>
  </si>
  <si>
    <t xml:space="preserve">09:30-12:00(R)</t>
  </si>
  <si>
    <t xml:space="preserve">15:30-19:00(R)</t>
  </si>
  <si>
    <t xml:space="preserve">DARDANNE</t>
  </si>
  <si>
    <t xml:space="preserve">DARDANNE CAROLE</t>
  </si>
  <si>
    <t xml:space="preserve">01 45 62 56 56</t>
  </si>
  <si>
    <t xml:space="preserve">https://biocodex6--c.vf.force.com/0014L00000KFY4CQAX</t>
  </si>
  <si>
    <t xml:space="preserve">https://annuairesante.ameli.fr/professionnels-de-sante/recherche/fiche-detaillee-B7c1lTYyNzO1.html</t>
  </si>
  <si>
    <t xml:space="preserve">FAUCHER BOUTONNAT</t>
  </si>
  <si>
    <t xml:space="preserve">BENEDICTE</t>
  </si>
  <si>
    <t xml:space="preserve">FAUCHER BOUTONNAT BENEDICTE</t>
  </si>
  <si>
    <t xml:space="preserve">PT</t>
  </si>
  <si>
    <t xml:space="preserve">https://biocodex6--c.vf.force.com/0014L00000KFW7CQAX</t>
  </si>
  <si>
    <t xml:space="preserve">CAILLAUD BARANES</t>
  </si>
  <si>
    <t xml:space="preserve">GENEVIEVE</t>
  </si>
  <si>
    <t xml:space="preserve">CAILLAUD BARANES GENEVIEVE</t>
  </si>
  <si>
    <t xml:space="preserve">9 AVENUE STE FOY</t>
  </si>
  <si>
    <t xml:space="preserve">AVENUE STE FOY</t>
  </si>
  <si>
    <t xml:space="preserve">01 47 45 46 77 // 01 47 47 16 63</t>
  </si>
  <si>
    <t xml:space="preserve">https://biocodex6--c.vf.force.com/0014L00000KFVDmQAP</t>
  </si>
  <si>
    <t xml:space="preserve">https://annuairesante.ameli.fr/professionnels-de-sante/recherche/fiche-detaillee-CbA1lTIwNzez.html</t>
  </si>
  <si>
    <t xml:space="preserve">[Timestamp('2023-09-18 10:30:00'), Timestamp('2024-01-11 14:00:00'), Timestamp('2024-06-05 13:00:00')]</t>
  </si>
  <si>
    <t xml:space="preserve">CABINET COMMUN BARANES</t>
  </si>
  <si>
    <t xml:space="preserve">14:00-16:00(D)
16:00-19:00(R)</t>
  </si>
  <si>
    <t xml:space="preserve">MAJSTER</t>
  </si>
  <si>
    <t xml:space="preserve">HENRI</t>
  </si>
  <si>
    <t xml:space="preserve">MAJSTER HENRI</t>
  </si>
  <si>
    <t xml:space="preserve">91 AVENUE FELIX FAURE</t>
  </si>
  <si>
    <t xml:space="preserve">AVENUE FELIX FAURE</t>
  </si>
  <si>
    <t xml:space="preserve">01 45 57 05 00</t>
  </si>
  <si>
    <t xml:space="preserve">https://biocodex6--c.vf.force.com/0014L00000KFpTlQAL</t>
  </si>
  <si>
    <t xml:space="preserve">https://annuairesante.ameli.fr/professionnels-de-sante/recherche/fiche-detaillee-B7c1kDs3MjSy.html</t>
  </si>
  <si>
    <t xml:space="preserve">[Timestamp('2023-07-10 14:00:00'), Timestamp('2023-09-11 14:00:00')]</t>
  </si>
  <si>
    <t xml:space="preserve">13:00-14:00(R)</t>
  </si>
  <si>
    <t xml:space="preserve">14:00:00
14:00-17:00(R)</t>
  </si>
  <si>
    <t xml:space="preserve">14:00-17:00(R)</t>
  </si>
  <si>
    <t xml:space="preserve">ZITOUNI</t>
  </si>
  <si>
    <t xml:space="preserve">SALAH</t>
  </si>
  <si>
    <t xml:space="preserve">ZITOUNI SALAH</t>
  </si>
  <si>
    <t xml:space="preserve">62 BOULEVARD DU MONTPARNASSE</t>
  </si>
  <si>
    <t xml:space="preserve">BOULEVARD DU MONTPARNASSE</t>
  </si>
  <si>
    <t xml:space="preserve">01 45 48 56 76</t>
  </si>
  <si>
    <t xml:space="preserve">https://biocodex6--c.vf.force.com/0014L00000KG6CxQAL</t>
  </si>
  <si>
    <t xml:space="preserve">https://annuairesante.ameli.fr/professionnels-de-sante/recherche/fiche-detaillee-B7c1kTM4Mju2.html</t>
  </si>
  <si>
    <t xml:space="preserve">[Timestamp('2023-09-21 13:30:00'), Timestamp('2024-06-21 14:00:00')]</t>
  </si>
  <si>
    <t xml:space="preserve">CLEMENT</t>
  </si>
  <si>
    <t xml:space="preserve">DENYS</t>
  </si>
  <si>
    <t xml:space="preserve">CLEMENT DENYS</t>
  </si>
  <si>
    <t xml:space="preserve">HÔP FRANCO-BRITANNIQUE</t>
  </si>
  <si>
    <t xml:space="preserve">3 RUE BARBES</t>
  </si>
  <si>
    <t xml:space="preserve">RUE BARBES</t>
  </si>
  <si>
    <t xml:space="preserve">01 46 39 22 34</t>
  </si>
  <si>
    <t xml:space="preserve">https://biocodex6--c.vf.force.com/0014L00000KFjYjQAL</t>
  </si>
  <si>
    <t xml:space="preserve">GABRIEL</t>
  </si>
  <si>
    <t xml:space="preserve">FRANCK</t>
  </si>
  <si>
    <t xml:space="preserve">GABRIEL FRANCK</t>
  </si>
  <si>
    <t xml:space="preserve">86 RUE DE LONGCHAMP</t>
  </si>
  <si>
    <t xml:space="preserve">RUE DE LONGCHAMP</t>
  </si>
  <si>
    <t xml:space="preserve">01 47 45 21 11</t>
  </si>
  <si>
    <t xml:space="preserve">https://biocodex6--c.vf.force.com/0014L00000KFeiHQAT</t>
  </si>
  <si>
    <t xml:space="preserve">https://annuairesante.ameli.fr/professionnels-de-sante/recherche/fiche-detaillee-CbA1kzAxMzGx.html</t>
  </si>
  <si>
    <t xml:space="preserve">BARANES</t>
  </si>
  <si>
    <t xml:space="preserve">ROBERT</t>
  </si>
  <si>
    <t xml:space="preserve">BARANES ROBERT</t>
  </si>
  <si>
    <t xml:space="preserve">https://biocodex6--c.vf.force.com/0014L00000KFRUsQAP</t>
  </si>
  <si>
    <t xml:space="preserve">https://annuairesante.ameli.fr/professionnels-de-sante/recherche/fiche-detaillee-CbA1lTIwNzS7.html</t>
  </si>
  <si>
    <t xml:space="preserve">[Timestamp('2023-09-18 11:30:00'), Timestamp('2024-01-11 15:30:00'), Timestamp('2024-06-05 10:00:00')]</t>
  </si>
  <si>
    <t xml:space="preserve">09:00-12:00(D)</t>
  </si>
  <si>
    <t xml:space="preserve">BISMUTH</t>
  </si>
  <si>
    <t xml:space="preserve">BISMUTH SERGE</t>
  </si>
  <si>
    <t xml:space="preserve">39 AVENUE GEORGES POMPIDOU</t>
  </si>
  <si>
    <t xml:space="preserve">AVENUE GEORGES POMPIDOU</t>
  </si>
  <si>
    <t xml:space="preserve">01 47 57 54 55</t>
  </si>
  <si>
    <t xml:space="preserve">https://biocodex6--c.vf.force.com/0014L00000KFUKxQAP</t>
  </si>
  <si>
    <t xml:space="preserve">https://annuairesante.ameli.fr/professionnels-de-sante/recherche/fiche-detaillee-CbA1kzcxMTe1.html</t>
  </si>
  <si>
    <t xml:space="preserve">[Timestamp('2023-10-18 11:30:00'), Timestamp('2024-06-21 16:30:00')]</t>
  </si>
  <si>
    <t xml:space="preserve">09:45-14:00(R)</t>
  </si>
  <si>
    <t xml:space="preserve">14:00-15:00(R)</t>
  </si>
  <si>
    <t xml:space="preserve">MARTINETTI</t>
  </si>
  <si>
    <t xml:space="preserve">MARTINETTI PHILIPPE</t>
  </si>
  <si>
    <t xml:space="preserve">39 AVENUE DUQUESNE</t>
  </si>
  <si>
    <t xml:space="preserve">AVENUE DUQUESNE</t>
  </si>
  <si>
    <t xml:space="preserve">01 47 83 56 57</t>
  </si>
  <si>
    <t xml:space="preserve">https://biocodex6--c.vf.force.com/0014L00000KFqQ3QAL</t>
  </si>
  <si>
    <t xml:space="preserve">https://annuairesante.ameli.fr/professionnels-de-sante/recherche/fiche-detaillee-B7c1ljQ0NDG0.html</t>
  </si>
  <si>
    <t xml:space="preserve">1ER 3E MERCREDI</t>
  </si>
  <si>
    <t xml:space="preserve">12:00:00
08:30-14:00(R)</t>
  </si>
  <si>
    <t xml:space="preserve">BORDON</t>
  </si>
  <si>
    <t xml:space="preserve">BORDON PHILIPPE</t>
  </si>
  <si>
    <t xml:space="preserve">155 AVENUE CHARLES DE GAULLE</t>
  </si>
  <si>
    <t xml:space="preserve">01 49 09 59 46 // 01 46 40 12 12</t>
  </si>
  <si>
    <t xml:space="preserve">https://biocodex6--c.vf.force.com/0014L00000KFUqMQAX</t>
  </si>
  <si>
    <t xml:space="preserve">https://annuairesante.ameli.fr/professionnels-de-sante/recherche/fiche-detaillee-CbA1kzY1MTey.html</t>
  </si>
  <si>
    <t xml:space="preserve">14:00-18:30(R)</t>
  </si>
  <si>
    <t xml:space="preserve">13:30-14:00(R)</t>
  </si>
  <si>
    <t xml:space="preserve">13:45-14:00(R)</t>
  </si>
  <si>
    <t xml:space="preserve">BERTHELOT</t>
  </si>
  <si>
    <t xml:space="preserve">LINE CHANTAL</t>
  </si>
  <si>
    <t xml:space="preserve">BERTHELOT LINE CHANTAL</t>
  </si>
  <si>
    <t xml:space="preserve">https://biocodex6--c.vf.force.com/0014L00000KFT9xQAH</t>
  </si>
  <si>
    <t xml:space="preserve">[Timestamp('2023-11-07 09:30:00'), Timestamp('2024-02-20 12:30:00')]</t>
  </si>
  <si>
    <t xml:space="preserve">BERTHON</t>
  </si>
  <si>
    <t xml:space="preserve">CHRISTINE</t>
  </si>
  <si>
    <t xml:space="preserve">BERTHON CHRISTINE</t>
  </si>
  <si>
    <t xml:space="preserve">TDAH</t>
  </si>
  <si>
    <t xml:space="preserve">28 RUE DES RENAUDES</t>
  </si>
  <si>
    <t xml:space="preserve">RUE DES RENAUDES</t>
  </si>
  <si>
    <t xml:space="preserve">07 66 79 30 18</t>
  </si>
  <si>
    <t xml:space="preserve">https://biocodex6--c.vf.force.com/0014L00000KFT6KQAX</t>
  </si>
  <si>
    <t xml:space="preserve">THUAIRE</t>
  </si>
  <si>
    <t xml:space="preserve">THUAIRE MICHEL</t>
  </si>
  <si>
    <t xml:space="preserve">PHL
ANG</t>
  </si>
  <si>
    <t xml:space="preserve">2 RUE ROSA BONHEUR</t>
  </si>
  <si>
    <t xml:space="preserve">RUE ROSA BONHEUR</t>
  </si>
  <si>
    <t xml:space="preserve">01 45 66 99 02</t>
  </si>
  <si>
    <t xml:space="preserve">https://biocodex6--c.vf.force.com/0014L00000KG3DkQAL</t>
  </si>
  <si>
    <t xml:space="preserve">https://annuairesante.ameli.fr/professionnels-de-sante/recherche/fiche-detaillee-B7c1ljA3ODW3.html</t>
  </si>
  <si>
    <t xml:space="preserve">[Timestamp('2023-07-10 16:00:00'), Timestamp('2023-09-11 16:00:00')]</t>
  </si>
  <si>
    <t xml:space="preserve">BRAKHA</t>
  </si>
  <si>
    <t xml:space="preserve">ELISABETH</t>
  </si>
  <si>
    <t xml:space="preserve">BRAKHA ELISABETH</t>
  </si>
  <si>
    <t xml:space="preserve">112 RUE LECOURBE</t>
  </si>
  <si>
    <t xml:space="preserve">01 43 06 40 12</t>
  </si>
  <si>
    <t xml:space="preserve">https://biocodex6--c.vf.force.com/0014L00000KFUdcQAH</t>
  </si>
  <si>
    <t xml:space="preserve">https://annuairesante.ameli.fr/professionnels-de-sante/recherche/fiche-detaillee-B7c1ljQzMDG1.html</t>
  </si>
  <si>
    <t xml:space="preserve">[Timestamp('2023-07-11 10:00:00'), Timestamp('2023-09-11 09:30:00'), Timestamp('2023-10-19 10:00:00'), Timestamp('2024-01-25 15:30:00'), Timestamp('2024-05-13 16:30:00')]</t>
  </si>
  <si>
    <t xml:space="preserve">2 VM MAX</t>
  </si>
  <si>
    <t xml:space="preserve">LOUAFI BEN YOUSSEF</t>
  </si>
  <si>
    <t xml:space="preserve">HEYFA</t>
  </si>
  <si>
    <t xml:space="preserve">LOUAFI BEN YOUSSEF HEYFA</t>
  </si>
  <si>
    <t xml:space="preserve">PHL</t>
  </si>
  <si>
    <t xml:space="preserve">75ELY</t>
  </si>
  <si>
    <t xml:space="preserve">14 RUE LINCOLN</t>
  </si>
  <si>
    <t xml:space="preserve">RUE LINCOLN</t>
  </si>
  <si>
    <t xml:space="preserve">01 45 00 80 80</t>
  </si>
  <si>
    <t xml:space="preserve">https://biocodex6--c.vf.force.com/0014L00000KFOJJQA5</t>
  </si>
  <si>
    <t xml:space="preserve">GOMPEL</t>
  </si>
  <si>
    <t xml:space="preserve">HERVE</t>
  </si>
  <si>
    <t xml:space="preserve">GOMPEL HERVE</t>
  </si>
  <si>
    <t xml:space="preserve">HÔP AMÉRICAIN</t>
  </si>
  <si>
    <t xml:space="preserve">63 BOULEVARD VICTOR HUGO</t>
  </si>
  <si>
    <t xml:space="preserve">01 46 41 27 26 // 01 46 41 01 36</t>
  </si>
  <si>
    <t xml:space="preserve">https://biocodex6--c.vf.force.com/0014L00000KFgUqQAL</t>
  </si>
  <si>
    <t xml:space="preserve">https://annuairesante.ameli.fr/professionnels-de-sante/recherche/fiche-detaillee-CbA1kzAyOTWw.html</t>
  </si>
  <si>
    <t xml:space="preserve">STEHELIN GAUDILLAT</t>
  </si>
  <si>
    <t xml:space="preserve">STEHELIN GAUDILLAT CATHERINE</t>
  </si>
  <si>
    <t xml:space="preserve">89 RUE BLOMET</t>
  </si>
  <si>
    <t xml:space="preserve">RUE BLOMET</t>
  </si>
  <si>
    <t xml:space="preserve">01 45 32 75 95</t>
  </si>
  <si>
    <t xml:space="preserve">https://biocodex6--c.vf.force.com/0014L00000KG2bsQAD</t>
  </si>
  <si>
    <t xml:space="preserve">https://annuairesante.ameli.fr/professionnels-de-sante/recherche/fiche-detaillee-B7c1lzUxNjGz.html</t>
  </si>
  <si>
    <t xml:space="preserve">SMULEVICI</t>
  </si>
  <si>
    <t xml:space="preserve">ANTOINE</t>
  </si>
  <si>
    <t xml:space="preserve">SMULEVICI ANTOINE</t>
  </si>
  <si>
    <t xml:space="preserve">HEGP</t>
  </si>
  <si>
    <t xml:space="preserve">20 RUE LEBLANC</t>
  </si>
  <si>
    <t xml:space="preserve">RUE LEBLANC</t>
  </si>
  <si>
    <t xml:space="preserve">01 56 09 34 01</t>
  </si>
  <si>
    <t xml:space="preserve">https://biocodex6--c.vf.force.com/0014L00000KFNyLQAX</t>
  </si>
  <si>
    <t xml:space="preserve">ONCO/RADIOTHÉRAPIE</t>
  </si>
  <si>
    <t xml:space="preserve">YOKA</t>
  </si>
  <si>
    <t xml:space="preserve">HUGUETTE</t>
  </si>
  <si>
    <t xml:space="preserve">YOKA HUGUETTE</t>
  </si>
  <si>
    <t xml:space="preserve">36 AVENUE NIEL</t>
  </si>
  <si>
    <t xml:space="preserve">AVENUE NIEL</t>
  </si>
  <si>
    <t xml:space="preserve">01 42 27 38 68</t>
  </si>
  <si>
    <t xml:space="preserve">https://biocodex6--c.vf.force.com/0014L00000KG76hQAD</t>
  </si>
  <si>
    <t xml:space="preserve">https://annuairesante.ameli.fr/professionnels-de-sante/recherche/fiche-detaillee-B7c1kjQyMDaz.html</t>
  </si>
  <si>
    <t xml:space="preserve">09:00-12:25(R)</t>
  </si>
  <si>
    <t xml:space="preserve">09:00-12:25(D)</t>
  </si>
  <si>
    <t xml:space="preserve">MOSER</t>
  </si>
  <si>
    <t xml:space="preserve">CORINNE</t>
  </si>
  <si>
    <t xml:space="preserve">MOSER CORINNE</t>
  </si>
  <si>
    <t xml:space="preserve">01 40 88 61 64</t>
  </si>
  <si>
    <t xml:space="preserve">dr.moser92@orange.fr</t>
  </si>
  <si>
    <t xml:space="preserve">https://biocodex6--c.vf.force.com/0014L00000KFt4mQAD</t>
  </si>
  <si>
    <t xml:space="preserve">https://annuairesante.ameli.fr/professionnels-de-sante/recherche/fiche-detaillee-CbA1mjYzMDKz.html</t>
  </si>
  <si>
    <t xml:space="preserve">BRAMI</t>
  </si>
  <si>
    <t xml:space="preserve">CHARLES</t>
  </si>
  <si>
    <t xml:space="preserve">BRAMI CHARLES</t>
  </si>
  <si>
    <t xml:space="preserve">01 42 25 30 66</t>
  </si>
  <si>
    <t xml:space="preserve">https://biocodex6--c.vf.force.com/0014L00000KFUdeQAH</t>
  </si>
  <si>
    <t xml:space="preserve">https://annuairesante.ameli.fr/professionnels-de-sante/recherche/fiche-detaillee-B7c1ljU3NjCx.html</t>
  </si>
  <si>
    <t xml:space="preserve">FOUQUIER D HEROUEL</t>
  </si>
  <si>
    <t xml:space="preserve">FOUQUIER D HEROUEL ALEXANDRE</t>
  </si>
  <si>
    <t xml:space="preserve">10 RUE ST PIERRE</t>
  </si>
  <si>
    <t xml:space="preserve">RUE ST PIERRE</t>
  </si>
  <si>
    <t xml:space="preserve">01 46 37 62 33</t>
  </si>
  <si>
    <t xml:space="preserve">https://biocodex6--c.vf.force.com/0014L00000KFXRsQAP</t>
  </si>
  <si>
    <t xml:space="preserve">https://annuairesante.ameli.fr/professionnels-de-sante/recherche/fiche-detaillee-CbA1mjEzMjO6.html</t>
  </si>
  <si>
    <t xml:space="preserve">REBETEZ</t>
  </si>
  <si>
    <t xml:space="preserve">MARIE CHRISTINE</t>
  </si>
  <si>
    <t xml:space="preserve">REBETEZ MARIE CHRISTINE</t>
  </si>
  <si>
    <t xml:space="preserve">89 RUE JULES GUESDE</t>
  </si>
  <si>
    <t xml:space="preserve">RUE JULES GUESDE</t>
  </si>
  <si>
    <t xml:space="preserve">01 47 37 77 55 // 01 42 70 69 03</t>
  </si>
  <si>
    <t xml:space="preserve">https://biocodex6--c.vf.force.com/0014L00000KFyFuQAL</t>
  </si>
  <si>
    <t xml:space="preserve">https://annuairesante.ameli.fr/professionnels-de-sante/recherche/fiche-detaillee-CbA1kzQ2NTay.html</t>
  </si>
  <si>
    <t xml:space="preserve">10:00-14:00(R)</t>
  </si>
  <si>
    <t xml:space="preserve">10:30-14:00(R)</t>
  </si>
  <si>
    <t xml:space="preserve">10:30-13:30(R)</t>
  </si>
  <si>
    <t xml:space="preserve">CHEVALIER</t>
  </si>
  <si>
    <t xml:space="preserve">PIERRE</t>
  </si>
  <si>
    <t xml:space="preserve">CHEVALIER PIERRE</t>
  </si>
  <si>
    <t xml:space="preserve">157 AVENUE DE WAGRAM</t>
  </si>
  <si>
    <t xml:space="preserve">AVENUE DE WAGRAM</t>
  </si>
  <si>
    <t xml:space="preserve">01 47 66 90 02</t>
  </si>
  <si>
    <t xml:space="preserve">https://biocodex6--c.vf.force.com/0014L00000KFWRpQAP</t>
  </si>
  <si>
    <t xml:space="preserve">https://annuairesante.ameli.fr/professionnels-de-sante/recherche/fiche-detaillee-B7c1ljI3Mze0.html</t>
  </si>
  <si>
    <t xml:space="preserve">[Timestamp('2023-09-01 10:00:00'), Timestamp('2023-12-22 14:00:00'), Timestamp('2024-02-07 14:00:00')]</t>
  </si>
  <si>
    <t xml:space="preserve">TINGRY</t>
  </si>
  <si>
    <t xml:space="preserve">SOPHIE</t>
  </si>
  <si>
    <t xml:space="preserve">TINGRY SOPHIE</t>
  </si>
  <si>
    <t xml:space="preserve">09 66 81 75 95 // 01 45 32 75 95</t>
  </si>
  <si>
    <t xml:space="preserve">https://biocodex6--c.vf.force.com/0014L00000KG3IgQAL</t>
  </si>
  <si>
    <t xml:space="preserve">https://annuairesante.ameli.fr/professionnels-de-sante/recherche/fiche-detaillee-B7c1lzc3Mzuy.html</t>
  </si>
  <si>
    <t xml:space="preserve">09:00-14:00(R)</t>
  </si>
  <si>
    <t xml:space="preserve">15:00-17:00(D)
14:00-15:00(R)</t>
  </si>
  <si>
    <t xml:space="preserve">11:00-14:00(D)</t>
  </si>
  <si>
    <t xml:space="preserve">15:00-20:00(R)</t>
  </si>
  <si>
    <t xml:space="preserve">14:00-20:00(R)</t>
  </si>
  <si>
    <t xml:space="preserve">ASSOULINE</t>
  </si>
  <si>
    <t xml:space="preserve">MOSHE</t>
  </si>
  <si>
    <t xml:space="preserve">ASSOULINE MOSHE</t>
  </si>
  <si>
    <t xml:space="preserve">16 AVENUE DU COLONEL BONNET</t>
  </si>
  <si>
    <t xml:space="preserve">AVENUE DU COLONEL BONNET</t>
  </si>
  <si>
    <t xml:space="preserve">01 46 47 63 96</t>
  </si>
  <si>
    <t xml:space="preserve">https://biocodex6--c.vf.force.com/0014L00000KFSF5QAP</t>
  </si>
  <si>
    <t xml:space="preserve">https://annuairesante.ameli.fr/professionnels-de-sante/recherche/fiche-detaillee-B7c1lTA0NTS3.html</t>
  </si>
  <si>
    <t xml:space="preserve">KHATER</t>
  </si>
  <si>
    <t xml:space="preserve">SHERINE</t>
  </si>
  <si>
    <t xml:space="preserve">KHATER SHERINE</t>
  </si>
  <si>
    <t xml:space="preserve">01 56 09 35 61</t>
  </si>
  <si>
    <t xml:space="preserve">https://biocodex6--c.vf.force.com/0014L00000KG98oQAD</t>
  </si>
  <si>
    <t xml:space="preserve">THONG</t>
  </si>
  <si>
    <t xml:space="preserve">GUIEP</t>
  </si>
  <si>
    <t xml:space="preserve">THONG GUIEP</t>
  </si>
  <si>
    <t xml:space="preserve">COSEM</t>
  </si>
  <si>
    <t xml:space="preserve">6 AVENUE CESAR CAIRE</t>
  </si>
  <si>
    <t xml:space="preserve">AVENUE CESAR CAIRE</t>
  </si>
  <si>
    <t xml:space="preserve">01 42 81 93 33</t>
  </si>
  <si>
    <t xml:space="preserve">https://biocodex6--c.vf.force.com/0014L00000KFbzXQAT</t>
  </si>
  <si>
    <t xml:space="preserve">[Timestamp('2023-12-06 13:30:00'), Timestamp('2024-06-19 17:30:00')]</t>
  </si>
  <si>
    <t xml:space="preserve">LE BOURGEOIS</t>
  </si>
  <si>
    <t xml:space="preserve">MURIEL</t>
  </si>
  <si>
    <t xml:space="preserve">LE BOURGEOIS MURIEL</t>
  </si>
  <si>
    <t xml:space="preserve">01 44 49 48 48</t>
  </si>
  <si>
    <t xml:space="preserve">https://biocodex6--c.vf.force.com/0014L00000KFmfpQAD</t>
  </si>
  <si>
    <t xml:space="preserve">SEDBON</t>
  </si>
  <si>
    <t xml:space="preserve">ERIC</t>
  </si>
  <si>
    <t xml:space="preserve">SEDBON ERIC</t>
  </si>
  <si>
    <t xml:space="preserve">01 46 41 28 81</t>
  </si>
  <si>
    <t xml:space="preserve">https://biocodex6--c.vf.force.com/0014L00000KG15JQAT</t>
  </si>
  <si>
    <t xml:space="preserve">https://annuairesante.ameli.fr/professionnels-de-sante/recherche/fiche-detaillee-B7c1mjM4NDO6.html</t>
  </si>
  <si>
    <t xml:space="preserve">ROSENBAUM</t>
  </si>
  <si>
    <t xml:space="preserve">BORIS</t>
  </si>
  <si>
    <t xml:space="preserve">ROSENBAUM BORIS</t>
  </si>
  <si>
    <t xml:space="preserve">https://biocodex6--c.vf.force.com/0014L00000KH2qfQAD</t>
  </si>
  <si>
    <t xml:space="preserve">VU THIEN</t>
  </si>
  <si>
    <t xml:space="preserve">TAM</t>
  </si>
  <si>
    <t xml:space="preserve">VU THIEN TAM</t>
  </si>
  <si>
    <t xml:space="preserve">OBS
ACU</t>
  </si>
  <si>
    <t xml:space="preserve">10 AVENUE DANIEL LESUEUR</t>
  </si>
  <si>
    <t xml:space="preserve">AVENUE DANIEL LESUEUR</t>
  </si>
  <si>
    <t xml:space="preserve">01 43 06 61 12</t>
  </si>
  <si>
    <t xml:space="preserve">https://biocodex6--c.vf.force.com/0014L00000KG5WaQAL</t>
  </si>
  <si>
    <t xml:space="preserve">https://annuairesante.ameli.fr/professionnels-de-sante/recherche/fiche-detaillee-B7c1ljQ0NDS7.html</t>
  </si>
  <si>
    <t xml:space="preserve">ACU ++</t>
  </si>
  <si>
    <t xml:space="preserve">MARION</t>
  </si>
  <si>
    <t xml:space="preserve">ALEXIS</t>
  </si>
  <si>
    <t xml:space="preserve">MARION ALEXIS</t>
  </si>
  <si>
    <t xml:space="preserve">88 RUE RIVAY</t>
  </si>
  <si>
    <t xml:space="preserve">RUE RIVAY</t>
  </si>
  <si>
    <t xml:space="preserve">01 47 31 17 81</t>
  </si>
  <si>
    <t xml:space="preserve">alexis.marion@free.fr</t>
  </si>
  <si>
    <t xml:space="preserve">https://biocodex6--c.vf.force.com/0014L00000KFq5BQAT</t>
  </si>
  <si>
    <t xml:space="preserve">https://annuairesante.ameli.fr/professionnels-de-sante/recherche/fiche-detaillee-CbA1kzMyNjey.html</t>
  </si>
  <si>
    <t xml:space="preserve">[Timestamp('2023-09-27 12:00:00'), Timestamp('2024-01-12 10:00:00'), Timestamp('2024-06-05 15:00:00')]</t>
  </si>
  <si>
    <t xml:space="preserve">BENSIMON</t>
  </si>
  <si>
    <t xml:space="preserve">BENSIMON RICHARD</t>
  </si>
  <si>
    <t xml:space="preserve">18 RUE MARIUS AUFAN</t>
  </si>
  <si>
    <t xml:space="preserve">RUE MARIUS AUFAN</t>
  </si>
  <si>
    <t xml:space="preserve">01 47 57 41 91</t>
  </si>
  <si>
    <t xml:space="preserve">https://biocodex6--c.vf.force.com/0014L00000KFSiDQAX</t>
  </si>
  <si>
    <t xml:space="preserve">https://annuairesante.ameli.fr/professionnels-de-sante/recherche/fiche-detaillee-CbA1kjQzNzGx.html</t>
  </si>
  <si>
    <t xml:space="preserve">BRAKA HASSAN</t>
  </si>
  <si>
    <t xml:space="preserve">DEBORAH</t>
  </si>
  <si>
    <t xml:space="preserve">BRAKA HASSAN DEBORAH</t>
  </si>
  <si>
    <t xml:space="preserve">36 RUE DE LEVIS</t>
  </si>
  <si>
    <t xml:space="preserve">RUE DE LEVIS</t>
  </si>
  <si>
    <t xml:space="preserve">01 43 87 50 25</t>
  </si>
  <si>
    <t xml:space="preserve">deborahbraka@gmail.com</t>
  </si>
  <si>
    <t xml:space="preserve">https://biocodex6--c.vf.force.com/0014L00000KFV4TQAX</t>
  </si>
  <si>
    <t xml:space="preserve">https://annuairesante.ameli.fr/professionnels-de-sante/recherche/fiche-detaillee-B7c1mzYwMDSx.html</t>
  </si>
  <si>
    <t xml:space="preserve">09:30-12:30(?)</t>
  </si>
  <si>
    <t xml:space="preserve">09:30-14:00(?)</t>
  </si>
  <si>
    <t xml:space="preserve">14:00-18:45(?)</t>
  </si>
  <si>
    <t xml:space="preserve">ABBOU FAJERMAN</t>
  </si>
  <si>
    <t xml:space="preserve">JOSEE</t>
  </si>
  <si>
    <t xml:space="preserve">ABBOU FAJERMAN JOSEE</t>
  </si>
  <si>
    <t xml:space="preserve">MED</t>
  </si>
  <si>
    <t xml:space="preserve">60 AVENUE D IENA</t>
  </si>
  <si>
    <t xml:space="preserve">AVENUE D IENA</t>
  </si>
  <si>
    <t xml:space="preserve">01 45 26 90 68</t>
  </si>
  <si>
    <t xml:space="preserve">dr.abbou.fajerman@wanadoo.fr</t>
  </si>
  <si>
    <t xml:space="preserve">https://biocodex6--c.vf.force.com/0014L00000KFL5NQAX</t>
  </si>
  <si>
    <t xml:space="preserve">https://annuairesante.ameli.fr/professionnels-de-sante/recherche/fiche-detaillee-B7c1ljIyNzKy.html</t>
  </si>
  <si>
    <t xml:space="preserve">[Timestamp('2024-01-05 12:30:00'), Timestamp('2024-05-31 09:00:00')]</t>
  </si>
  <si>
    <t xml:space="preserve">PONROY</t>
  </si>
  <si>
    <t xml:space="preserve">PONROY FRANCOISE</t>
  </si>
  <si>
    <t xml:space="preserve">01 42 27 38 68 // 01 42 27 28 29</t>
  </si>
  <si>
    <t xml:space="preserve">https://biocodex6--c.vf.force.com/0014L00000KFl29QAD</t>
  </si>
  <si>
    <t xml:space="preserve">https://annuairesante.ameli.fr/professionnels-de-sante/recherche/fiche-detaillee-B7c1lDY1MDe3.html</t>
  </si>
  <si>
    <t xml:space="preserve">ITTAH</t>
  </si>
  <si>
    <t xml:space="preserve">ITTAH ALAIN</t>
  </si>
  <si>
    <t xml:space="preserve">14 RUE GUSTAVE DORE</t>
  </si>
  <si>
    <t xml:space="preserve">RUE GUSTAVE DORE</t>
  </si>
  <si>
    <t xml:space="preserve">01 42 27 92 00</t>
  </si>
  <si>
    <t xml:space="preserve">https://biocodex6--c.vf.force.com/0014L00000KFjSwQAL</t>
  </si>
  <si>
    <t xml:space="preserve">https://annuairesante.ameli.fr/professionnels-de-sante/recherche/fiche-detaillee-B7c1lTI0NzC2.html</t>
  </si>
  <si>
    <t xml:space="preserve">ABBES</t>
  </si>
  <si>
    <t xml:space="preserve">LEILA</t>
  </si>
  <si>
    <t xml:space="preserve">ABBES LEILA</t>
  </si>
  <si>
    <t xml:space="preserve">01 45 77 87 20 // 06 59 42 89 48</t>
  </si>
  <si>
    <t xml:space="preserve">https://biocodex6--c.vf.force.com/0014L00000KFLBbQAP</t>
  </si>
  <si>
    <t xml:space="preserve">https://annuairesante.ameli.fr/professionnels-de-sante/recherche/fiche-detaillee-B7c1kjE3OTa6.html</t>
  </si>
  <si>
    <t xml:space="preserve">BRAKA</t>
  </si>
  <si>
    <t xml:space="preserve">KATHY</t>
  </si>
  <si>
    <t xml:space="preserve">BRAKA KATHY</t>
  </si>
  <si>
    <t xml:space="preserve">31 AVENUE FELIX FAURE</t>
  </si>
  <si>
    <t xml:space="preserve">01 40 60 10 17</t>
  </si>
  <si>
    <t xml:space="preserve">https://biocodex6--c.vf.force.com/0014L00000KFV4FQAX</t>
  </si>
  <si>
    <t xml:space="preserve">THOMAS</t>
  </si>
  <si>
    <t xml:space="preserve">JEAN ERIC</t>
  </si>
  <si>
    <t xml:space="preserve">THOMAS JEAN ERIC</t>
  </si>
  <si>
    <t xml:space="preserve">SPO</t>
  </si>
  <si>
    <t xml:space="preserve">HÔP HENRY DUNANT</t>
  </si>
  <si>
    <t xml:space="preserve">143 RUE DE LONGCHAMP</t>
  </si>
  <si>
    <t xml:space="preserve">01 47 45 28 10</t>
  </si>
  <si>
    <t xml:space="preserve">https://biocodex6--c.vf.force.com/0014L00000KG3B8QAL</t>
  </si>
  <si>
    <t xml:space="preserve">https://annuairesante.ameli.fr/professionnels-de-sante/recherche/fiche-detaillee-CbA1kjo5ODew.html</t>
  </si>
  <si>
    <t xml:space="preserve">CHOUAID MANIATIS</t>
  </si>
  <si>
    <t xml:space="preserve">BEL</t>
  </si>
  <si>
    <t xml:space="preserve">CHOUAID MANIATIS BEL</t>
  </si>
  <si>
    <t xml:space="preserve">86 RUE DE L EGLISE</t>
  </si>
  <si>
    <t xml:space="preserve">RUE DE L EGLISE</t>
  </si>
  <si>
    <t xml:space="preserve">01 45 58 52 65</t>
  </si>
  <si>
    <t xml:space="preserve">https://biocodex6--c.vf.force.com/0014L00000KFWjGQAX</t>
  </si>
  <si>
    <t xml:space="preserve">https://annuairesante.ameli.fr/professionnels-de-sante/recherche/fiche-detaillee-B7c1lzcxNzqz.html</t>
  </si>
  <si>
    <t xml:space="preserve">09:30-12:30(R)
13:30-14:00(R)</t>
  </si>
  <si>
    <t xml:space="preserve">11:00-12:30(D)
09:30-11:00(R)
13:30-14:00(R)</t>
  </si>
  <si>
    <t xml:space="preserve">14:00-16:00(R)</t>
  </si>
  <si>
    <t xml:space="preserve">HABABOU</t>
  </si>
  <si>
    <t xml:space="preserve">DANIELLE</t>
  </si>
  <si>
    <t xml:space="preserve">HABABOU DANIELLE</t>
  </si>
  <si>
    <t xml:space="preserve">MESO</t>
  </si>
  <si>
    <t xml:space="preserve">86 RUE DE MIROMESNIL</t>
  </si>
  <si>
    <t xml:space="preserve">RUE DE MIROMESNIL</t>
  </si>
  <si>
    <t xml:space="preserve">01 45 62 80 67</t>
  </si>
  <si>
    <t xml:space="preserve">https://biocodex6--c.vf.force.com/0014L00000KFhxNQAT</t>
  </si>
  <si>
    <t xml:space="preserve">https://annuairesante.ameli.fr/professionnels-de-sante/recherche/fiche-detaillee-B7c1ljQxMTGy.html</t>
  </si>
  <si>
    <t xml:space="preserve">MGHAIETH</t>
  </si>
  <si>
    <t xml:space="preserve">KHALED</t>
  </si>
  <si>
    <t xml:space="preserve">MGHAIETH KHALED</t>
  </si>
  <si>
    <t xml:space="preserve">190 BOULEVARD BINEAU</t>
  </si>
  <si>
    <t xml:space="preserve">BOULEVARD BINEAU</t>
  </si>
  <si>
    <t xml:space="preserve">01 46 24 32 52</t>
  </si>
  <si>
    <t xml:space="preserve">https://biocodex6--c.vf.force.com/0014L00000KFs7sQAD</t>
  </si>
  <si>
    <t xml:space="preserve">https://annuairesante.ameli.fr/professionnels-de-sante/recherche/fiche-detaillee-CbA1kzoxNDa2.html</t>
  </si>
  <si>
    <t xml:space="preserve">FOGIEL LOEB</t>
  </si>
  <si>
    <t xml:space="preserve">VERONIQUE</t>
  </si>
  <si>
    <t xml:space="preserve">FOGIEL LOEB VERONIQUE</t>
  </si>
  <si>
    <t xml:space="preserve">23 RUE MARIUS AUFAN</t>
  </si>
  <si>
    <t xml:space="preserve">01 76 21 75 65</t>
  </si>
  <si>
    <t xml:space="preserve">https://biocodex6--c.vf.force.com/0014L00000KFlkgQAD</t>
  </si>
  <si>
    <t xml:space="preserve">GHAZI</t>
  </si>
  <si>
    <t xml:space="preserve">GHAZI ANNE</t>
  </si>
  <si>
    <t xml:space="preserve">ALC</t>
  </si>
  <si>
    <t xml:space="preserve">01 76 21 75 65 // 01 41 34 31 44</t>
  </si>
  <si>
    <t xml:space="preserve">https://biocodex6--c.vf.force.com/0014L00000KFd03QAD</t>
  </si>
  <si>
    <t xml:space="preserve">https://annuairesante.ameli.fr/professionnels-de-sante/recherche/fiche-detaillee-CbA1kzszMDS6.html</t>
  </si>
  <si>
    <t xml:space="preserve">08:00-14:00(R)</t>
  </si>
  <si>
    <t xml:space="preserve">LECOUTURIER</t>
  </si>
  <si>
    <t xml:space="preserve">LECOUTURIER KAREN</t>
  </si>
  <si>
    <t xml:space="preserve">4 RUE BRUNEL</t>
  </si>
  <si>
    <t xml:space="preserve">RUE BRUNEL</t>
  </si>
  <si>
    <t xml:space="preserve">https://biocodex6--c.vf.force.com/0014L00000KFOXDQA5</t>
  </si>
  <si>
    <t xml:space="preserve">LECOLLIER</t>
  </si>
  <si>
    <t xml:space="preserve">DIDIER</t>
  </si>
  <si>
    <t xml:space="preserve">LECOLLIER DIDIER</t>
  </si>
  <si>
    <t xml:space="preserve">HOMEO
ACU</t>
  </si>
  <si>
    <t xml:space="preserve">49 RUE AMPERE</t>
  </si>
  <si>
    <t xml:space="preserve">RUE AMPERE</t>
  </si>
  <si>
    <t xml:space="preserve">01 42 27 20 00</t>
  </si>
  <si>
    <t xml:space="preserve">https://biocodex6--c.vf.force.com/0014L00000KFnHFQA1</t>
  </si>
  <si>
    <t xml:space="preserve">https://annuairesante.ameli.fr/professionnels-de-sante/recherche/fiche-detaillee-B7c1lDM4NTu2.html</t>
  </si>
  <si>
    <t xml:space="preserve">[Timestamp('2023-08-31 13:00:00'), Timestamp('2023-12-21 14:30:00'), Timestamp('2024-03-06 14:30:00')]</t>
  </si>
  <si>
    <t xml:space="preserve">MESNARD DELOCHE</t>
  </si>
  <si>
    <t xml:space="preserve">GILLES</t>
  </si>
  <si>
    <t xml:space="preserve">MESNARD DELOCHE GILLES</t>
  </si>
  <si>
    <t xml:space="preserve">4 AVENUE DE CAMOENS</t>
  </si>
  <si>
    <t xml:space="preserve">AVENUE DE CAMOENS</t>
  </si>
  <si>
    <t xml:space="preserve">01 53 92 25 69</t>
  </si>
  <si>
    <t xml:space="preserve">https://biocodex6--c.vf.force.com/0014L00000KFrXwQAL</t>
  </si>
  <si>
    <t xml:space="preserve">https://annuairesante.ameli.fr/professionnels-de-sante/recherche/fiche-detaillee-B7c1lTIyMDC0.html</t>
  </si>
  <si>
    <t xml:space="preserve">[Timestamp('2023-07-12 10:00:00'), Timestamp('2024-02-07 11:30:00'), Timestamp('2024-05-28 08:00:00')]</t>
  </si>
  <si>
    <t xml:space="preserve">KHEBICHAT COSTA</t>
  </si>
  <si>
    <t xml:space="preserve">NADIA</t>
  </si>
  <si>
    <t xml:space="preserve">KHEBICHAT COSTA NADIA</t>
  </si>
  <si>
    <t xml:space="preserve">MGEN</t>
  </si>
  <si>
    <t xml:space="preserve">178 RUE DE VAUGIRARD</t>
  </si>
  <si>
    <t xml:space="preserve">RUE DE VAUGIRARD</t>
  </si>
  <si>
    <t xml:space="preserve">01 44 49 28 28</t>
  </si>
  <si>
    <t xml:space="preserve">mail non communiqué</t>
  </si>
  <si>
    <t xml:space="preserve">https://biocodex6--c.vf.force.com/0014L00000KFkbLQAT</t>
  </si>
  <si>
    <t xml:space="preserve">[Timestamp('2023-09-07 09:30:00'), Timestamp('2023-11-22 09:00:00'), Timestamp('2024-01-18 11:30:00')]</t>
  </si>
  <si>
    <t xml:space="preserve">08:00-11:30</t>
  </si>
  <si>
    <t xml:space="preserve">13:00-16:30</t>
  </si>
  <si>
    <t xml:space="preserve">08:00-10:30</t>
  </si>
  <si>
    <t xml:space="preserve">CELLIER</t>
  </si>
  <si>
    <t xml:space="preserve">CHRISTOPHE</t>
  </si>
  <si>
    <t xml:space="preserve">CELLIER CHRISTOPHE</t>
  </si>
  <si>
    <t xml:space="preserve">01 56 09 35 61 // 01 56 09 35 38</t>
  </si>
  <si>
    <t xml:space="preserve">https://biocodex6--c.vf.force.com/0014L00000KFVq3QAH</t>
  </si>
  <si>
    <t xml:space="preserve">https://annuairesante.ameli.fr/professionnels-de-sante/recherche/fiche-detaillee-B7c1lzc4NDS7.html</t>
  </si>
  <si>
    <t xml:space="preserve"> </t>
  </si>
  <si>
    <t xml:space="preserve">DULAURANS</t>
  </si>
  <si>
    <t xml:space="preserve">GEORGES</t>
  </si>
  <si>
    <t xml:space="preserve">DULAURANS GEORGES</t>
  </si>
  <si>
    <t xml:space="preserve">01 55 56 62 50</t>
  </si>
  <si>
    <t xml:space="preserve">georgesdulaurans@noos.fr</t>
  </si>
  <si>
    <t xml:space="preserve">https://biocodex6--c.vf.force.com/0014L00000KFbqUQAT</t>
  </si>
  <si>
    <t xml:space="preserve">[Timestamp('2023-07-26 12:39:00'), Timestamp('2024-01-30 12:30:00'), Timestamp('2024-05-16 11:30:00')]</t>
  </si>
  <si>
    <t xml:space="preserve">MICHOT</t>
  </si>
  <si>
    <t xml:space="preserve">ANNE SYLVESTRE</t>
  </si>
  <si>
    <t xml:space="preserve">MICHOT ANNE SYLVESTRE</t>
  </si>
  <si>
    <t xml:space="preserve">15 QUAI LOUIS BLERIOT</t>
  </si>
  <si>
    <t xml:space="preserve">QUAI LOUIS BLERIOT</t>
  </si>
  <si>
    <t xml:space="preserve">09 50 86 58 04</t>
  </si>
  <si>
    <t xml:space="preserve">https://biocodex6--c.vf.force.com/0014L00000KFs9RQAT</t>
  </si>
  <si>
    <t xml:space="preserve">[Timestamp('2023-07-07 14:00:00'), Timestamp('2024-03-18 11:00:00')]</t>
  </si>
  <si>
    <t xml:space="preserve">BELTRAND</t>
  </si>
  <si>
    <t xml:space="preserve">JACQUES</t>
  </si>
  <si>
    <t xml:space="preserve">BELTRAND JACQUES</t>
  </si>
  <si>
    <t xml:space="preserve">01 44 49 48 01</t>
  </si>
  <si>
    <t xml:space="preserve">https://biocodex6--c.vf.force.com/0014L00000KFSeqQAH</t>
  </si>
  <si>
    <t xml:space="preserve">VALIOLLAHPOUR AMIRI</t>
  </si>
  <si>
    <t xml:space="preserve">MAJID</t>
  </si>
  <si>
    <t xml:space="preserve">VALIOLLAHPOUR AMIRI MAJID</t>
  </si>
  <si>
    <t xml:space="preserve">MED INT</t>
  </si>
  <si>
    <t xml:space="preserve">35 RUE BALARD</t>
  </si>
  <si>
    <t xml:space="preserve">RUE BALARD</t>
  </si>
  <si>
    <t xml:space="preserve">https://biocodex6--c.vf.force.com/0014L00000KFRknQAH</t>
  </si>
  <si>
    <t xml:space="preserve">https://annuairesante.ameli.fr/professionnels-de-sante/recherche/fiche-detaillee-B7c1mjA2MzW7.html</t>
  </si>
  <si>
    <t xml:space="preserve">TIBI</t>
  </si>
  <si>
    <t xml:space="preserve">TIBI CHARLES</t>
  </si>
  <si>
    <t xml:space="preserve">01 47 04 14 14</t>
  </si>
  <si>
    <t xml:space="preserve">https://biocodex6--c.vf.force.com/0014L00000KG3FlQAL</t>
  </si>
  <si>
    <t xml:space="preserve">https://annuairesante.ameli.fr/professionnels-de-sante/recherche/fiche-detaillee-B7c1ljsyMjGy.html</t>
  </si>
  <si>
    <t xml:space="preserve">VERGEZ</t>
  </si>
  <si>
    <t xml:space="preserve">MYLENE</t>
  </si>
  <si>
    <t xml:space="preserve">VERGEZ MYLENE</t>
  </si>
  <si>
    <t xml:space="preserve">10 RUE PIERRE LEROUX</t>
  </si>
  <si>
    <t xml:space="preserve">RUE PIERRE LEROUX</t>
  </si>
  <si>
    <t xml:space="preserve">01 77 85 53 00 // 01 87 03 94 85</t>
  </si>
  <si>
    <t xml:space="preserve">https://biocodex6--c.vf.force.com/0014L00000KFOLxQAP</t>
  </si>
  <si>
    <t xml:space="preserve">https://annuairesante.ameli.fr/professionnels-de-sante/recherche/fiche-detaillee-B7c1kjQ4MzSy.html</t>
  </si>
  <si>
    <t xml:space="preserve">[Timestamp('2023-10-09 09:30:00'), Timestamp('2024-06-19 10:00:00')]</t>
  </si>
  <si>
    <t xml:space="preserve">09:00-14:00(?)</t>
  </si>
  <si>
    <t xml:space="preserve">14:00-18:00(?)</t>
  </si>
  <si>
    <t xml:space="preserve">CARREZ</t>
  </si>
  <si>
    <t xml:space="preserve">CARREZ SOPHIE</t>
  </si>
  <si>
    <t xml:space="preserve">https://biocodex6--c.vf.force.com/0014L00000KFPbZQAX</t>
  </si>
  <si>
    <t xml:space="preserve">ATTAR</t>
  </si>
  <si>
    <t xml:space="preserve">ATTAR ALAIN</t>
  </si>
  <si>
    <t xml:space="preserve">NUT</t>
  </si>
  <si>
    <t xml:space="preserve">10 RUE MARGUERITTE</t>
  </si>
  <si>
    <t xml:space="preserve">RUE MARGUERITTE</t>
  </si>
  <si>
    <t xml:space="preserve">01 44 01 04 73</t>
  </si>
  <si>
    <t xml:space="preserve">https://biocodex6--c.vf.force.com/0014L00000KFSFtQAP</t>
  </si>
  <si>
    <t xml:space="preserve">https://annuairesante.ameli.fr/professionnels-de-sante/recherche/fiche-detaillee-B7c1lDI2NDe6.html</t>
  </si>
  <si>
    <t xml:space="preserve">[Timestamp('2024-01-09 14:00:00'), Timestamp('2024-06-03 13:00:00')]</t>
  </si>
  <si>
    <t xml:space="preserve">14:30-18:30(R)</t>
  </si>
  <si>
    <t xml:space="preserve">14:30-19:00(R)</t>
  </si>
  <si>
    <t xml:space="preserve">09:30-13:00(R)</t>
  </si>
  <si>
    <t xml:space="preserve">BONTOUX</t>
  </si>
  <si>
    <t xml:space="preserve">LAURE MARIE</t>
  </si>
  <si>
    <t xml:space="preserve">BONTOUX LAURE MARIE</t>
  </si>
  <si>
    <t xml:space="preserve">https://biocodex6--c.vf.force.com/0014L00000KFVgLQAX</t>
  </si>
  <si>
    <t xml:space="preserve">VERGNAUD</t>
  </si>
  <si>
    <t xml:space="preserve">PAUL</t>
  </si>
  <si>
    <t xml:space="preserve">VERGNAUD PAUL</t>
  </si>
  <si>
    <t xml:space="preserve">01 44 49 44 62</t>
  </si>
  <si>
    <t xml:space="preserve">https://biocodex6--c.vf.force.com/0014L00000NADdpQAH</t>
  </si>
  <si>
    <t xml:space="preserve">JAMET</t>
  </si>
  <si>
    <t xml:space="preserve">EMMANUEL</t>
  </si>
  <si>
    <t xml:space="preserve">JAMET EMMANUEL</t>
  </si>
  <si>
    <t xml:space="preserve">1 RUE ERNEST RENAN</t>
  </si>
  <si>
    <t xml:space="preserve">RUE ERNEST RENAN</t>
  </si>
  <si>
    <t xml:space="preserve">01 47 34 71 44 // 06 11 72 30 35</t>
  </si>
  <si>
    <t xml:space="preserve">https://biocodex6--c.vf.force.com/0014L00000KFgrAQAT</t>
  </si>
  <si>
    <t xml:space="preserve">https://annuairesante.ameli.fr/professionnels-de-sante/recherche/fiche-detaillee-B7c1mzExMza6.html</t>
  </si>
  <si>
    <t xml:space="preserve">LABET</t>
  </si>
  <si>
    <t xml:space="preserve">LABET PHILIPPE</t>
  </si>
  <si>
    <t xml:space="preserve">41 AVENUE RAPP</t>
  </si>
  <si>
    <t xml:space="preserve">AVENUE RAPP</t>
  </si>
  <si>
    <t xml:space="preserve">01 44 18 94 82</t>
  </si>
  <si>
    <t xml:space="preserve">https://biocodex6--c.vf.force.com/0014L00000KFlC0QAL</t>
  </si>
  <si>
    <t xml:space="preserve">https://annuairesante.ameli.fr/professionnels-de-sante/recherche/fiche-detaillee-B7c1lDc5MDq7.html</t>
  </si>
  <si>
    <t xml:space="preserve">LEBEL</t>
  </si>
  <si>
    <t xml:space="preserve">MARIE AMELIE</t>
  </si>
  <si>
    <t xml:space="preserve">LEBEL MARIE AMELIE</t>
  </si>
  <si>
    <t xml:space="preserve">01 46 49 11 15 // 06 51 54 22 59</t>
  </si>
  <si>
    <t xml:space="preserve">https://biocodex6--c.vf.force.com/0014L00000KHSonQAH</t>
  </si>
  <si>
    <t xml:space="preserve">https://annuairesante.ameli.fr/professionnels-de-sante/recherche/fiche-detaillee-B7c1kjMyOTCz.html</t>
  </si>
  <si>
    <t xml:space="preserve">[Timestamp('2023-11-07 16:30:00'), Timestamp('2023-12-01 10:00:00'), Timestamp('2024-02-07 15:30:00'), Timestamp('2024-06-17 10:30:00')]</t>
  </si>
  <si>
    <t xml:space="preserve">NEFTEL</t>
  </si>
  <si>
    <t xml:space="preserve">PATRICK</t>
  </si>
  <si>
    <t xml:space="preserve">NEFTEL PATRICK</t>
  </si>
  <si>
    <t xml:space="preserve">146 BOULEVARD DE GRENELLE</t>
  </si>
  <si>
    <t xml:space="preserve">BOULEVARD DE GRENELLE</t>
  </si>
  <si>
    <t xml:space="preserve">01 45 67 89 87</t>
  </si>
  <si>
    <t xml:space="preserve">https://biocodex6--c.vf.force.com/0014L00000KFtOyQAL</t>
  </si>
  <si>
    <t xml:space="preserve">https://annuairesante.ameli.fr/professionnels-de-sante/recherche/fiche-detaillee-B7c1lzsxODW6.html</t>
  </si>
  <si>
    <t xml:space="preserve">14:00-19:20(R)</t>
  </si>
  <si>
    <t xml:space="preserve">09:00-12:30(R)</t>
  </si>
  <si>
    <t xml:space="preserve">17:00-19:00(R)</t>
  </si>
  <si>
    <t xml:space="preserve">10:20-13:20(R)</t>
  </si>
  <si>
    <t xml:space="preserve">EL MNIAI</t>
  </si>
  <si>
    <t xml:space="preserve">JIHANE</t>
  </si>
  <si>
    <t xml:space="preserve">EL MNIAI JIHANE</t>
  </si>
  <si>
    <t xml:space="preserve">NEU</t>
  </si>
  <si>
    <t xml:space="preserve">64 RUE LABROUSTE</t>
  </si>
  <si>
    <t xml:space="preserve">RUE LABROUSTE</t>
  </si>
  <si>
    <t xml:space="preserve">01 44 19 53 55</t>
  </si>
  <si>
    <t xml:space="preserve">CATTAN</t>
  </si>
  <si>
    <t xml:space="preserve">CATTAN LAURENT</t>
  </si>
  <si>
    <t xml:space="preserve">TOX</t>
  </si>
  <si>
    <t xml:space="preserve">2 RUE ROBERT LE COIN</t>
  </si>
  <si>
    <t xml:space="preserve">RUE ROBERT LE COIN</t>
  </si>
  <si>
    <t xml:space="preserve">01 45 20 62 95</t>
  </si>
  <si>
    <t xml:space="preserve">https://biocodex6--c.vf.force.com/0014L00000KFVhZQAX</t>
  </si>
  <si>
    <t xml:space="preserve">https://annuairesante.ameli.fr/professionnels-de-sante/recherche/fiche-detaillee-B7c1lDs5MDq3.html</t>
  </si>
  <si>
    <t xml:space="preserve">13:45:00
14:00-20:00(R)</t>
  </si>
  <si>
    <t xml:space="preserve">MALLET</t>
  </si>
  <si>
    <t xml:space="preserve">JEAN BERNARD</t>
  </si>
  <si>
    <t xml:space="preserve">MALLET JEAN BERNARD</t>
  </si>
  <si>
    <t xml:space="preserve">58 RUE ROUELLE</t>
  </si>
  <si>
    <t xml:space="preserve">RUE ROUELLE</t>
  </si>
  <si>
    <t xml:space="preserve">01 45 79 38 23</t>
  </si>
  <si>
    <t xml:space="preserve">https://biocodex6--c.vf.force.com/0014L00000KFpaBQAT</t>
  </si>
  <si>
    <t xml:space="preserve">https://annuairesante.ameli.fr/professionnels-de-sante/recherche/fiche-detaillee-B7c1kTo5NDO2.html</t>
  </si>
  <si>
    <t xml:space="preserve">[Timestamp('2023-07-10 11:30:00'), Timestamp('2024-02-27 09:30:00')]</t>
  </si>
  <si>
    <t xml:space="preserve">10:00-11:00(D)
11:00-14:00(R)</t>
  </si>
  <si>
    <t xml:space="preserve">11:00-14:00(R)</t>
  </si>
  <si>
    <t xml:space="preserve">14:00-20:00(?)</t>
  </si>
  <si>
    <t xml:space="preserve">10:00-11:00(D)
11:00-14:00(?)</t>
  </si>
  <si>
    <t xml:space="preserve">VIGLA</t>
  </si>
  <si>
    <t xml:space="preserve">MARIE PAULE</t>
  </si>
  <si>
    <t xml:space="preserve">VIGLA MARIE PAULE</t>
  </si>
  <si>
    <t xml:space="preserve">133 RUE DE LA CONVENTION</t>
  </si>
  <si>
    <t xml:space="preserve">RUE DE LA CONVENTION</t>
  </si>
  <si>
    <t xml:space="preserve">01 45 33 20 50</t>
  </si>
  <si>
    <t xml:space="preserve">https://biocodex6--c.vf.force.com/0014L00000KG6BBQA1</t>
  </si>
  <si>
    <t xml:space="preserve">https://annuairesante.ameli.fr/professionnels-de-sante/recherche/fiche-detaillee-B7c1lzQyMza1.html</t>
  </si>
  <si>
    <t xml:space="preserve">MODIANO</t>
  </si>
  <si>
    <t xml:space="preserve">DAVID</t>
  </si>
  <si>
    <t xml:space="preserve">MODIANO DAVID</t>
  </si>
  <si>
    <t xml:space="preserve">11 AVENUE MOZART</t>
  </si>
  <si>
    <t xml:space="preserve">AVENUE MOZART</t>
  </si>
  <si>
    <t xml:space="preserve">01 45 27 27 09</t>
  </si>
  <si>
    <t xml:space="preserve">https://biocodex6--c.vf.force.com/0014L00000KFsWfQAL</t>
  </si>
  <si>
    <t xml:space="preserve">https://annuairesante.ameli.fr/professionnels-de-sante/recherche/fiche-detaillee-B7c1lDo4ODSy.html</t>
  </si>
  <si>
    <t xml:space="preserve">EL JABRI</t>
  </si>
  <si>
    <t xml:space="preserve">LAILA</t>
  </si>
  <si>
    <t xml:space="preserve">EL JABRI LAILA</t>
  </si>
  <si>
    <t xml:space="preserve">21 RUE CHANEZ</t>
  </si>
  <si>
    <t xml:space="preserve">RUE CHANEZ</t>
  </si>
  <si>
    <t xml:space="preserve">01 40 71 19 05</t>
  </si>
  <si>
    <t xml:space="preserve">https://biocodex6--c.vf.force.com/0014L00000KFQ4QQAX</t>
  </si>
  <si>
    <t xml:space="preserve">https://annuairesante.ameli.fr/professionnels-de-sante/recherche/fiche-detaillee-B7c1lTAzODOy.html</t>
  </si>
  <si>
    <t xml:space="preserve">[Timestamp('2023-07-05 14:00:00'), Timestamp('2024-02-27 12:00:00'), Timestamp('2024-05-21 10:30:00')]</t>
  </si>
  <si>
    <t xml:space="preserve">15:00-20:30(?)</t>
  </si>
  <si>
    <t xml:space="preserve">09:40-14:00(?)</t>
  </si>
  <si>
    <t xml:space="preserve">14:00-20:30(?)</t>
  </si>
  <si>
    <t xml:space="preserve">KIAHASHEMI</t>
  </si>
  <si>
    <t xml:space="preserve">KATAYOUN</t>
  </si>
  <si>
    <t xml:space="preserve">KIAHASHEMI KATAYOUN</t>
  </si>
  <si>
    <t xml:space="preserve">01 40 72 41 10</t>
  </si>
  <si>
    <t xml:space="preserve">https://biocodex6--c.vf.force.com/0014L00000KG5mnQAD</t>
  </si>
  <si>
    <t xml:space="preserve">https://annuairesante.ameli.fr/professionnels-de-sante/recherche/fiche-detaillee-B7c1mjA3MzGy.html</t>
  </si>
  <si>
    <t xml:space="preserve">NPAI</t>
  </si>
  <si>
    <t xml:space="preserve">EL NABBOUT TARANTINO</t>
  </si>
  <si>
    <t xml:space="preserve">RIMA</t>
  </si>
  <si>
    <t xml:space="preserve">EL NABBOUT TARANTINO RIMA</t>
  </si>
  <si>
    <t xml:space="preserve">https://biocodex6--c.vf.force.com/0014L00000KFttSQAT</t>
  </si>
  <si>
    <t xml:space="preserve">FARHAT</t>
  </si>
  <si>
    <t xml:space="preserve">MOUNIR</t>
  </si>
  <si>
    <t xml:space="preserve">FARHAT MOUNIR</t>
  </si>
  <si>
    <t xml:space="preserve">76 RUE DE LA TOUR</t>
  </si>
  <si>
    <t xml:space="preserve">RUE DE LA TOUR</t>
  </si>
  <si>
    <t xml:space="preserve">01 45 20 03 66</t>
  </si>
  <si>
    <t xml:space="preserve">https://biocodex6--c.vf.force.com/0014L00000KFai9QAD</t>
  </si>
  <si>
    <t xml:space="preserve">https://annuairesante.ameli.fr/professionnels-de-sante/recherche/fiche-detaillee-B7c1lTEyNjey.html</t>
  </si>
  <si>
    <t xml:space="preserve">[Timestamp('2024-03-04 15:30:00'), Timestamp('2024-05-28 14:30:00')]</t>
  </si>
  <si>
    <t xml:space="preserve">APP AM</t>
  </si>
  <si>
    <t xml:space="preserve">VINCHENT</t>
  </si>
  <si>
    <t xml:space="preserve">VINCHENT ERIC</t>
  </si>
  <si>
    <t xml:space="preserve">66 RUE DU PRESIDENT WILSON</t>
  </si>
  <si>
    <t xml:space="preserve">RUE DU PRESIDENT WILSON</t>
  </si>
  <si>
    <t xml:space="preserve">01 47 37 02 59</t>
  </si>
  <si>
    <t xml:space="preserve">https://biocodex6--c.vf.force.com/0014L00000KG5M1QAL</t>
  </si>
  <si>
    <t xml:space="preserve">https://annuairesante.ameli.fr/professionnels-de-sante/recherche/fiche-detaillee-CbA1kjo3Mjew.html</t>
  </si>
  <si>
    <t xml:space="preserve">07:45-14:00(R)</t>
  </si>
  <si>
    <t xml:space="preserve">07:45-12:30(R)</t>
  </si>
  <si>
    <t xml:space="preserve">VINCENT</t>
  </si>
  <si>
    <t xml:space="preserve">NICOLE</t>
  </si>
  <si>
    <t xml:space="preserve">VINCENT NICOLE</t>
  </si>
  <si>
    <t xml:space="preserve">16 BOULEVARD EMILE AUGIER</t>
  </si>
  <si>
    <t xml:space="preserve">01 45 03 27 02</t>
  </si>
  <si>
    <t xml:space="preserve">https://biocodex6--c.vf.force.com/0014L00000KG6gXQAT</t>
  </si>
  <si>
    <t xml:space="preserve">https://annuairesante.ameli.fr/professionnels-de-sante/recherche/fiche-detaillee-B7c1lDE1NDSy.html</t>
  </si>
  <si>
    <t xml:space="preserve">[Timestamp('2023-07-07 10:30:00'), Timestamp('2023-11-08 10:30:00'), Timestamp('2024-05-29 11:00:00')]</t>
  </si>
  <si>
    <t xml:space="preserve">DOCTOLIB</t>
  </si>
  <si>
    <t xml:space="preserve">08:30-13:00(R)</t>
  </si>
  <si>
    <t xml:space="preserve">14:30-19:30(R)</t>
  </si>
  <si>
    <t xml:space="preserve">10:00-13:00(R)</t>
  </si>
  <si>
    <t xml:space="preserve">EL MOUHEBB</t>
  </si>
  <si>
    <t xml:space="preserve">MUHIEDDINE</t>
  </si>
  <si>
    <t xml:space="preserve">EL MOUHEBB MUHIEDDINE</t>
  </si>
  <si>
    <t xml:space="preserve">01 42 27 92 00 // 01 48 24 87 47</t>
  </si>
  <si>
    <t xml:space="preserve">https://annuairesante.ameli.fr/professionnels-de-sante/recherche/fiche-detaillee-B7c1lTM1NDu2.html</t>
  </si>
  <si>
    <t xml:space="preserve">GOLDBERG FELLOUS</t>
  </si>
  <si>
    <t xml:space="preserve">LAURE</t>
  </si>
  <si>
    <t xml:space="preserve">GOLDBERG FELLOUS LAURE</t>
  </si>
  <si>
    <t xml:space="preserve">8 RUE MARGUERITTE</t>
  </si>
  <si>
    <t xml:space="preserve">01 47 64 47 71</t>
  </si>
  <si>
    <t xml:space="preserve">https://biocodex6--c.vf.force.com/0014L00000KFaITQA1</t>
  </si>
  <si>
    <t xml:space="preserve">https://annuairesante.ameli.fr/professionnels-de-sante/recherche/fiche-detaillee-B7c1mzYzMTC7.html</t>
  </si>
  <si>
    <t xml:space="preserve">LECHEQUE</t>
  </si>
  <si>
    <t xml:space="preserve">LECHEQUE ALAIN</t>
  </si>
  <si>
    <t xml:space="preserve">https://biocodex6--c.vf.force.com/0014L00000KFnCtQAL</t>
  </si>
  <si>
    <t xml:space="preserve">AMMOUS</t>
  </si>
  <si>
    <t xml:space="preserve">HASSAN</t>
  </si>
  <si>
    <t xml:space="preserve">AMMOUS HASSAN</t>
  </si>
  <si>
    <t xml:space="preserve">https://biocodex6--c.vf.force.com/0014L00000KGGU6QAP</t>
  </si>
  <si>
    <t xml:space="preserve">MANTEL</t>
  </si>
  <si>
    <t xml:space="preserve">AYMERIC</t>
  </si>
  <si>
    <t xml:space="preserve">MANTEL AYMERIC</t>
  </si>
  <si>
    <t xml:space="preserve">01 47 58 40 60</t>
  </si>
  <si>
    <t xml:space="preserve">https://biocodex6--c.vf.force.com/0014L00000KFpjQQAT</t>
  </si>
  <si>
    <t xml:space="preserve">https://annuairesante.ameli.fr/professionnels-de-sante/recherche/fiche-detaillee-CbA1kzU5Mjqz.html</t>
  </si>
  <si>
    <t xml:space="preserve">LEDOUX</t>
  </si>
  <si>
    <t xml:space="preserve">LEDOUX FLORENCE</t>
  </si>
  <si>
    <t xml:space="preserve">19 RUE D EDIMBOURG</t>
  </si>
  <si>
    <t xml:space="preserve">RUE D EDIMBOURG</t>
  </si>
  <si>
    <t xml:space="preserve">florence.ledoux@aphp.fr</t>
  </si>
  <si>
    <t xml:space="preserve">https://biocodex6--c.vf.force.com/0014L00000KFM7ZQAX</t>
  </si>
  <si>
    <t xml:space="preserve">[Timestamp('2023-11-21 13:30:00'), Timestamp('2024-01-30 16:00:00'), Timestamp('2024-05-15 16:00:00')]</t>
  </si>
  <si>
    <t xml:space="preserve">SABBAH LIM</t>
  </si>
  <si>
    <t xml:space="preserve">ISABELLE</t>
  </si>
  <si>
    <t xml:space="preserve">SABBAH LIM ISABELLE</t>
  </si>
  <si>
    <t xml:space="preserve">PPSY</t>
  </si>
  <si>
    <t xml:space="preserve">6 RUE PICOT</t>
  </si>
  <si>
    <t xml:space="preserve">RUE PICOT</t>
  </si>
  <si>
    <t xml:space="preserve">01 45 65 61 05</t>
  </si>
  <si>
    <t xml:space="preserve">D9</t>
  </si>
  <si>
    <t xml:space="preserve">https://biocodex6--c.vf.force.com/0014L00000KFpcbQAD</t>
  </si>
  <si>
    <t xml:space="preserve">DUFEU BERAT</t>
  </si>
  <si>
    <t xml:space="preserve">CLAIRE MARINE</t>
  </si>
  <si>
    <t xml:space="preserve">DUFEU BERAT CLAIRE MARINE</t>
  </si>
  <si>
    <t xml:space="preserve">https://biocodex6--c.vf.force.com/0014L00000KGE5OQAX</t>
  </si>
  <si>
    <t xml:space="preserve">AMOUYAL</t>
  </si>
  <si>
    <t xml:space="preserve">ELSA</t>
  </si>
  <si>
    <t xml:space="preserve">AMOUYAL ELSA</t>
  </si>
  <si>
    <t xml:space="preserve">06 98 95 83 81</t>
  </si>
  <si>
    <t xml:space="preserve">https://biocodex6--c.vf.force.com/0014L00000KGC2oQAH</t>
  </si>
  <si>
    <t xml:space="preserve">https://annuairesante.ameli.fr/professionnels-de-sante/recherche/fiche-detaillee-B7c1mzczMTS7.html</t>
  </si>
  <si>
    <t xml:space="preserve">[Timestamp('2024-05-29 08:30:00'), Timestamp('2024-06-19 12:30:00')]</t>
  </si>
  <si>
    <t xml:space="preserve">ATHIAS</t>
  </si>
  <si>
    <t xml:space="preserve">LEA</t>
  </si>
  <si>
    <t xml:space="preserve">ATHIAS LEA</t>
  </si>
  <si>
    <t xml:space="preserve">COURCELLES MEDICAL</t>
  </si>
  <si>
    <t xml:space="preserve">97 RUE JOUFFROY D ABBANS</t>
  </si>
  <si>
    <t xml:space="preserve">RUE JOUFFROY D ABBANS</t>
  </si>
  <si>
    <t xml:space="preserve">01 53 81 41 96</t>
  </si>
  <si>
    <t xml:space="preserve">https://biocodex6--c.vf.force.com/0014L00000NBvpmQAD</t>
  </si>
  <si>
    <t xml:space="preserve">ESTHETIQUE</t>
  </si>
  <si>
    <t xml:space="preserve">RUBINSZTEJN</t>
  </si>
  <si>
    <t xml:space="preserve">DANIEL</t>
  </si>
  <si>
    <t xml:space="preserve">RUBINSZTEJN DANIEL</t>
  </si>
  <si>
    <t xml:space="preserve">01 34 28 33 33</t>
  </si>
  <si>
    <t xml:space="preserve">https://biocodex6--c.vf.force.com/0014L00000KG7zqQAD</t>
  </si>
  <si>
    <t xml:space="preserve">COHEN</t>
  </si>
  <si>
    <t xml:space="preserve">LAURA</t>
  </si>
  <si>
    <t xml:space="preserve">COHEN LAURA</t>
  </si>
  <si>
    <t xml:space="preserve">164 RUE DE COURCELLES</t>
  </si>
  <si>
    <t xml:space="preserve">RUE DE COURCELLES</t>
  </si>
  <si>
    <t xml:space="preserve">01 73 70 97 77</t>
  </si>
  <si>
    <t xml:space="preserve">https://biocodex6--c.vf.force.com/0014L00000KG8dvQAD</t>
  </si>
  <si>
    <t xml:space="preserve">https://annuairesante.ameli.fr/professionnels-de-sante/recherche/fiche-detaillee-B7c1kzE1Njez.html</t>
  </si>
  <si>
    <t xml:space="preserve">BELLAICHE</t>
  </si>
  <si>
    <t xml:space="preserve">MARC</t>
  </si>
  <si>
    <t xml:space="preserve">BELLAICHE MARC</t>
  </si>
  <si>
    <t xml:space="preserve">96 RUE ST CHARLES</t>
  </si>
  <si>
    <t xml:space="preserve">RUE ST CHARLES</t>
  </si>
  <si>
    <t xml:space="preserve">01 45 79 56 41</t>
  </si>
  <si>
    <t xml:space="preserve">https://biocodex6--c.vf.force.com/0014L00000KFSLqQAP</t>
  </si>
  <si>
    <t xml:space="preserve">https://annuairesante.ameli.fr/professionnels-de-sante/recherche/fiche-detaillee-B7c1kTc1MjG2.html</t>
  </si>
  <si>
    <t xml:space="preserve">CHARBIT</t>
  </si>
  <si>
    <t xml:space="preserve">CHARBIT MICHEL</t>
  </si>
  <si>
    <t xml:space="preserve">01 46 41 27 26 // 01 47 58 80 05</t>
  </si>
  <si>
    <t xml:space="preserve">https://biocodex6--c.vf.force.com/0014L00000KFW8dQAH</t>
  </si>
  <si>
    <t xml:space="preserve">https://annuairesante.ameli.fr/professionnels-de-sante/recherche/fiche-detaillee-CbA1lTIwNjC7.html</t>
  </si>
  <si>
    <t xml:space="preserve">SLOANE</t>
  </si>
  <si>
    <t xml:space="preserve">CELINE</t>
  </si>
  <si>
    <t xml:space="preserve">SLOANE CELINE</t>
  </si>
  <si>
    <t xml:space="preserve">https://biocodex6--c.vf.force.com/0014L00000KFprRQAT</t>
  </si>
  <si>
    <t xml:space="preserve">https://annuairesante.ameli.fr/professionnels-de-sante/recherche/fiche-detaillee-B7c1kjIyNzqz.html</t>
  </si>
  <si>
    <t xml:space="preserve">[Timestamp('2023-07-10 10:00:00'), Timestamp('2024-02-27 13:30:00')]</t>
  </si>
  <si>
    <t xml:space="preserve">BOTELLA</t>
  </si>
  <si>
    <t xml:space="preserve">BOTELLA CAMILLE</t>
  </si>
  <si>
    <t xml:space="preserve">01 40 88 61 84</t>
  </si>
  <si>
    <t xml:space="preserve">https://biocodex6--c.vf.force.com/0014L00000KFUwPQAX</t>
  </si>
  <si>
    <t xml:space="preserve">POSPAIT</t>
  </si>
  <si>
    <t xml:space="preserve">DAN</t>
  </si>
  <si>
    <t xml:space="preserve">POSPAIT DAN</t>
  </si>
  <si>
    <t xml:space="preserve">16 RUE GASTON DE CAILLAVET</t>
  </si>
  <si>
    <t xml:space="preserve">RUE GASTON DE CAILLAVET</t>
  </si>
  <si>
    <t xml:space="preserve">01 55 25 46 19</t>
  </si>
  <si>
    <t xml:space="preserve">https://biocodex6--c.vf.force.com/0014L00000KFwhUQAT</t>
  </si>
  <si>
    <t xml:space="preserve">https://annuairesante.ameli.fr/professionnels-de-sante/recherche/fiche-detaillee-B7c1mjI2NzW1.html</t>
  </si>
  <si>
    <t xml:space="preserve">CARLIER</t>
  </si>
  <si>
    <t xml:space="preserve">MARTINE</t>
  </si>
  <si>
    <t xml:space="preserve">CARLIER MARTINE</t>
  </si>
  <si>
    <t xml:space="preserve">PROCT</t>
  </si>
  <si>
    <t xml:space="preserve">28 AVENUE HOCHE</t>
  </si>
  <si>
    <t xml:space="preserve">AVENUE HOCHE</t>
  </si>
  <si>
    <t xml:space="preserve">01 40 68 72 46</t>
  </si>
  <si>
    <t xml:space="preserve">https://biocodex6--c.vf.force.com/0014L00000KFRSvQAP</t>
  </si>
  <si>
    <t xml:space="preserve">SMADJA</t>
  </si>
  <si>
    <t xml:space="preserve">SMADJA LAURA</t>
  </si>
  <si>
    <t xml:space="preserve">4 RUE KLEBER</t>
  </si>
  <si>
    <t xml:space="preserve">01 47 59 18 93</t>
  </si>
  <si>
    <t xml:space="preserve">https://biocodex6--c.vf.force.com/0014L00000KFOcmQAH</t>
  </si>
  <si>
    <t xml:space="preserve">MC GINNIS</t>
  </si>
  <si>
    <t xml:space="preserve">JOCELYN</t>
  </si>
  <si>
    <t xml:space="preserve">MC GINNIS JOCELYN</t>
  </si>
  <si>
    <t xml:space="preserve">01 46 41 84 88</t>
  </si>
  <si>
    <t xml:space="preserve">https://biocodex6--c.vf.force.com/0014L00000KG7KuQAL</t>
  </si>
  <si>
    <t xml:space="preserve">BOLOT</t>
  </si>
  <si>
    <t xml:space="preserve">ELOISE</t>
  </si>
  <si>
    <t xml:space="preserve">BOLOT ELOISE</t>
  </si>
  <si>
    <t xml:space="preserve">https://biocodex6--c.vf.force.com/0014L00000fZirfQAC</t>
  </si>
  <si>
    <t xml:space="preserve">MATILE</t>
  </si>
  <si>
    <t xml:space="preserve">JULIA</t>
  </si>
  <si>
    <t xml:space="preserve">MATILE JULIA</t>
  </si>
  <si>
    <t xml:space="preserve">https://biocodex6--c.vf.force.com/0014L00000KH2s0QAD</t>
  </si>
  <si>
    <t xml:space="preserve">MARSAC</t>
  </si>
  <si>
    <t xml:space="preserve">CHARLOTTE</t>
  </si>
  <si>
    <t xml:space="preserve">MARSAC CHARLOTTE</t>
  </si>
  <si>
    <t xml:space="preserve">https://biocodex6--c.vf.force.com/0014L00000KGGjrQAH</t>
  </si>
  <si>
    <t xml:space="preserve">AYACHE</t>
  </si>
  <si>
    <t xml:space="preserve">AYACHE PATRICK</t>
  </si>
  <si>
    <t xml:space="preserve">41 RUE CLEMENT BAYARD</t>
  </si>
  <si>
    <t xml:space="preserve">RUE CLEMENT BAYARD</t>
  </si>
  <si>
    <t xml:space="preserve">01 47 39 09 53</t>
  </si>
  <si>
    <t xml:space="preserve">https://biocodex6--c.vf.force.com/0014L00000KFQbGQAX</t>
  </si>
  <si>
    <t xml:space="preserve">https://annuairesante.ameli.fr/professionnels-de-sante/recherche/fiche-detaillee-CbA1kzE4MjC0.html</t>
  </si>
  <si>
    <t xml:space="preserve">RATAJCZAK</t>
  </si>
  <si>
    <t xml:space="preserve">RATAJCZAK JACQUES</t>
  </si>
  <si>
    <t xml:space="preserve">45 AVENUE DE SEGUR</t>
  </si>
  <si>
    <t xml:space="preserve">AVENUE DE SEGUR</t>
  </si>
  <si>
    <t xml:space="preserve">01 47 34 42 98</t>
  </si>
  <si>
    <t xml:space="preserve">https://biocodex6--c.vf.force.com/0014L00000KFdCgQAL</t>
  </si>
  <si>
    <t xml:space="preserve">https://annuairesante.ameli.fr/professionnels-de-sante/recherche/fiche-detaillee-B7c1lzE3MTew.html</t>
  </si>
  <si>
    <t xml:space="preserve">SUDAKA</t>
  </si>
  <si>
    <t xml:space="preserve">CLAUDE</t>
  </si>
  <si>
    <t xml:space="preserve">SUDAKA CLAUDE</t>
  </si>
  <si>
    <t xml:space="preserve">199 RUE DE GRENELLE</t>
  </si>
  <si>
    <t xml:space="preserve">RUE DE GRENELLE</t>
  </si>
  <si>
    <t xml:space="preserve">01 47 05 00 99</t>
  </si>
  <si>
    <t xml:space="preserve">https://biocodex6--c.vf.force.com/0014L00000KG2IdQAL</t>
  </si>
  <si>
    <t xml:space="preserve">https://annuairesante.ameli.fr/professionnels-de-sante/recherche/fiche-detaillee-B7c1lzE2ODex.html</t>
  </si>
  <si>
    <t xml:space="preserve">TERDJMAN</t>
  </si>
  <si>
    <t xml:space="preserve">JEAN PIERRE</t>
  </si>
  <si>
    <t xml:space="preserve">TERDJMAN JEAN PIERRE</t>
  </si>
  <si>
    <t xml:space="preserve">ALL</t>
  </si>
  <si>
    <t xml:space="preserve">8 RUE D AUTEUIL</t>
  </si>
  <si>
    <t xml:space="preserve">RUE D AUTEUIL</t>
  </si>
  <si>
    <t xml:space="preserve">01 45 24 55 73</t>
  </si>
  <si>
    <t xml:space="preserve">https://biocodex6--c.vf.force.com/0014L00000YvMW4QAN</t>
  </si>
  <si>
    <t xml:space="preserve">https://annuairesante.ameli.fr/professionnels-de-sante/recherche/fiche-detaillee-B7c1kTIwNja7.html</t>
  </si>
  <si>
    <t xml:space="preserve">16:30-19:00(R)</t>
  </si>
  <si>
    <t xml:space="preserve">EMMANUELLI</t>
  </si>
  <si>
    <t xml:space="preserve">JEAN MARC</t>
  </si>
  <si>
    <t xml:space="preserve">EMMANUELLI JEAN MARC</t>
  </si>
  <si>
    <t xml:space="preserve">20 RUE SCHEFFER</t>
  </si>
  <si>
    <t xml:space="preserve">RUE SCHEFFER</t>
  </si>
  <si>
    <t xml:space="preserve">01 47 27 29 00</t>
  </si>
  <si>
    <t xml:space="preserve">https://biocodex6--c.vf.force.com/0014L00000KFceAQAT</t>
  </si>
  <si>
    <t xml:space="preserve">https://annuairesante.ameli.fr/professionnels-de-sante/recherche/fiche-detaillee-B7c1ljcwMjCy.html</t>
  </si>
  <si>
    <t xml:space="preserve">[Timestamp('2023-07-07 11:30:00'), Timestamp('2024-03-08 12:00:00')]</t>
  </si>
  <si>
    <t xml:space="preserve">APPELER AVANT</t>
  </si>
  <si>
    <t xml:space="preserve">FIN</t>
  </si>
  <si>
    <t xml:space="preserve">KOEHLER JARRION</t>
  </si>
  <si>
    <t xml:space="preserve">SYLVIA</t>
  </si>
  <si>
    <t xml:space="preserve">KOEHLER JARRION SYLVIA</t>
  </si>
  <si>
    <t xml:space="preserve">4 RUE DE LUYNES</t>
  </si>
  <si>
    <t xml:space="preserve">RUE DE LUYNES</t>
  </si>
  <si>
    <t xml:space="preserve">https://biocodex6--c.vf.force.com/0014L00000KFktUQAT</t>
  </si>
  <si>
    <t xml:space="preserve">MENEUX</t>
  </si>
  <si>
    <t xml:space="preserve">MENEUX ERIC</t>
  </si>
  <si>
    <t xml:space="preserve">85 AVENUE CHARLES DE GAULLE</t>
  </si>
  <si>
    <t xml:space="preserve">01 46 24 33 38</t>
  </si>
  <si>
    <t xml:space="preserve">eric.meneux@gmail.com</t>
  </si>
  <si>
    <t xml:space="preserve">https://biocodex6--c.vf.force.com/0014L00000KFpuoQAD</t>
  </si>
  <si>
    <t xml:space="preserve">https://annuairesante.ameli.fr/professionnels-de-sante/recherche/fiche-detaillee-B7c1mjAxNTCx.html</t>
  </si>
  <si>
    <t xml:space="preserve">SAYOUS</t>
  </si>
  <si>
    <t xml:space="preserve">SAYOUS DOMINIQUE</t>
  </si>
  <si>
    <t xml:space="preserve">https://biocodex6--c.vf.force.com/0014L00000bPPa4QAG</t>
  </si>
  <si>
    <t xml:space="preserve">ANJOU SIMON</t>
  </si>
  <si>
    <t xml:space="preserve">ANJOU SIMON NATHALIE</t>
  </si>
  <si>
    <t xml:space="preserve">60 AVENUE FELIX FAURE</t>
  </si>
  <si>
    <t xml:space="preserve">01 40 60 02 84</t>
  </si>
  <si>
    <t xml:space="preserve">https://biocodex6--c.vf.force.com/0014L00000KFQmHQAX</t>
  </si>
  <si>
    <t xml:space="preserve">https://annuairesante.ameli.fr/professionnels-de-sante/recherche/fiche-detaillee-B7c1lzU3OTS6.html</t>
  </si>
  <si>
    <t xml:space="preserve">09:30-12:30(R)</t>
  </si>
  <si>
    <t xml:space="preserve">BLANC PELLET</t>
  </si>
  <si>
    <t xml:space="preserve">ANNE MARIE</t>
  </si>
  <si>
    <t xml:space="preserve">BLANC PELLET ANNE MARIE</t>
  </si>
  <si>
    <t xml:space="preserve">https://biocodex6--c.vf.force.com/0014L00000KFvVGQA1</t>
  </si>
  <si>
    <t xml:space="preserve">[Timestamp('2023-11-09 16:00:00'), Timestamp('2024-02-07 09:30:00'), Timestamp('2024-05-17 17:00:00')]</t>
  </si>
  <si>
    <t xml:space="preserve">VERSINI</t>
  </si>
  <si>
    <t xml:space="preserve">STEPHANE</t>
  </si>
  <si>
    <t xml:space="preserve">VERSINI STEPHANE</t>
  </si>
  <si>
    <t xml:space="preserve">SEX</t>
  </si>
  <si>
    <t xml:space="preserve">52 AVENUE DE WAGRAM</t>
  </si>
  <si>
    <t xml:space="preserve">01 46 22 78 89</t>
  </si>
  <si>
    <t xml:space="preserve">https://biocodex6--c.vf.force.com/0014L00000KG4qIQAT</t>
  </si>
  <si>
    <t xml:space="preserve">https://annuairesante.ameli.fr/professionnels-de-sante/recherche/fiche-detaillee-B7c1ljo1MzOw.html</t>
  </si>
  <si>
    <t xml:space="preserve">MOUY</t>
  </si>
  <si>
    <t xml:space="preserve">MOUY RICHARD</t>
  </si>
  <si>
    <t xml:space="preserve">15 RUE EUGENE FLACHAT</t>
  </si>
  <si>
    <t xml:space="preserve">RUE EUGENE FLACHAT</t>
  </si>
  <si>
    <t xml:space="preserve">01 42 67 67 67</t>
  </si>
  <si>
    <t xml:space="preserve">richard.mouy@gmail.com</t>
  </si>
  <si>
    <t xml:space="preserve">https://biocodex6--c.vf.force.com/0014L00000KFszIQAT</t>
  </si>
  <si>
    <t xml:space="preserve">https://annuairesante.ameli.fr/professionnels-de-sante/recherche/fiche-detaillee-B7c1ljM0NTO2.html</t>
  </si>
  <si>
    <t xml:space="preserve">10:00-12:00(?)</t>
  </si>
  <si>
    <t xml:space="preserve">09:30-12:00(?)</t>
  </si>
  <si>
    <t xml:space="preserve">14:00-19:00(?)</t>
  </si>
  <si>
    <t xml:space="preserve">GILLET</t>
  </si>
  <si>
    <t xml:space="preserve">ADELINE</t>
  </si>
  <si>
    <t xml:space="preserve">GILLET ADELINE</t>
  </si>
  <si>
    <t xml:space="preserve">169 AVENUE ACHILLE PERETTI</t>
  </si>
  <si>
    <t xml:space="preserve">AVENUE ACHILLE PERETTI</t>
  </si>
  <si>
    <t xml:space="preserve">01 53 40 60 33 // 01 58 83 50 35</t>
  </si>
  <si>
    <t xml:space="preserve">https://biocodex6--c.vf.force.com/0014L00000KFhGaQAL</t>
  </si>
  <si>
    <t xml:space="preserve">https://annuairesante.ameli.fr/professionnels-de-sante/recherche/fiche-detaillee-CbA1kDMwNDOx.html</t>
  </si>
  <si>
    <t xml:space="preserve">09:00-12:00(R)</t>
  </si>
  <si>
    <t xml:space="preserve">09:00-11:30(R)</t>
  </si>
  <si>
    <t xml:space="preserve">SCHILDT</t>
  </si>
  <si>
    <t xml:space="preserve">PAULINE</t>
  </si>
  <si>
    <t xml:space="preserve">SCHILDT PAULINE</t>
  </si>
  <si>
    <t xml:space="preserve">MDS MARY JACOBI</t>
  </si>
  <si>
    <t xml:space="preserve">11 RUE DE VARIZE</t>
  </si>
  <si>
    <t xml:space="preserve">RUE DE VARIZE</t>
  </si>
  <si>
    <t xml:space="preserve">01 45 27 15 33</t>
  </si>
  <si>
    <t xml:space="preserve">https://biocodex6--c.vf.force.com/0014L00000KFOOAQA5</t>
  </si>
  <si>
    <t xml:space="preserve">https://annuairesante.ameli.fr/professionnels-de-sante/recherche/fiche-detaillee-B7c1kjA1Mjuy.html</t>
  </si>
  <si>
    <t xml:space="preserve">[Timestamp('2023-06-28 11:00:00'), Timestamp('2023-09-25 14:00:00'), Timestamp('2024-01-17 11:30:00'), Timestamp('2024-05-27 13:00:00')]</t>
  </si>
  <si>
    <t xml:space="preserve">09:30-13:30(R)</t>
  </si>
  <si>
    <t xml:space="preserve">SABAN</t>
  </si>
  <si>
    <t xml:space="preserve">SABAN ERIC</t>
  </si>
  <si>
    <t xml:space="preserve">41 RUE ARISTIDE BRIAND</t>
  </si>
  <si>
    <t xml:space="preserve">RUE ARISTIDE BRIAND</t>
  </si>
  <si>
    <t xml:space="preserve">01 47 57 12 13</t>
  </si>
  <si>
    <t xml:space="preserve">https://biocodex6--c.vf.force.com/0014L00000KG00uQAD</t>
  </si>
  <si>
    <t xml:space="preserve">https://annuairesante.ameli.fr/professionnels-de-sante/recherche/fiche-detaillee-CbA1kjs4MzK3.html</t>
  </si>
  <si>
    <t xml:space="preserve">AYACHE MIMOUN</t>
  </si>
  <si>
    <t xml:space="preserve">AYACHE MIMOUN MURIEL</t>
  </si>
  <si>
    <t xml:space="preserve">25 RUE ERNEST COGNACQ</t>
  </si>
  <si>
    <t xml:space="preserve">RUE ERNEST COGNACQ</t>
  </si>
  <si>
    <t xml:space="preserve">01 47 57 58 13</t>
  </si>
  <si>
    <t xml:space="preserve">https://biocodex6--c.vf.force.com/0014L00000KFsLdQAL</t>
  </si>
  <si>
    <t xml:space="preserve">https://annuairesante.ameli.fr/professionnels-de-sante/recherche/fiche-detaillee-CbA1kDM4Nza1.html</t>
  </si>
  <si>
    <t xml:space="preserve">[Timestamp('2024-02-05 17:00:00'), Timestamp('2024-05-17 09:00:00')]</t>
  </si>
  <si>
    <t xml:space="preserve">SUSSMANN NADJAR</t>
  </si>
  <si>
    <t xml:space="preserve">SUSSMANN NADJAR DEBORAH</t>
  </si>
  <si>
    <t xml:space="preserve">CLI BIZET</t>
  </si>
  <si>
    <t xml:space="preserve">23 RUE GEORGES BIZET</t>
  </si>
  <si>
    <t xml:space="preserve">RUE GEORGES BIZET</t>
  </si>
  <si>
    <t xml:space="preserve">01 40 69 34 35</t>
  </si>
  <si>
    <t xml:space="preserve">https://biocodex6--c.vf.force.com/0014L00000KG2qyQAD</t>
  </si>
  <si>
    <t xml:space="preserve">https://annuairesante.ameli.fr/professionnels-de-sante/recherche/fiche-detaillee-B7c1lTE4NDW3.html</t>
  </si>
  <si>
    <t xml:space="preserve">THIEBAUT PEDRONO</t>
  </si>
  <si>
    <t xml:space="preserve">THIEBAUT PEDRONO ELISABETH</t>
  </si>
  <si>
    <t xml:space="preserve">121 RUE DE LA POMPE</t>
  </si>
  <si>
    <t xml:space="preserve">RUE DE LA POMPE</t>
  </si>
  <si>
    <t xml:space="preserve">01 45 53 14 08</t>
  </si>
  <si>
    <t xml:space="preserve">https://biocodex6--c.vf.force.com/0014L00000KG330QAD</t>
  </si>
  <si>
    <t xml:space="preserve">https://annuairesante.ameli.fr/professionnels-de-sante/recherche/fiche-detaillee-B7c1ljc2NDS0.html</t>
  </si>
  <si>
    <t xml:space="preserve">[Timestamp('2023-06-30 15:29:00'), Timestamp('2023-09-14 16:00:00')]</t>
  </si>
  <si>
    <t xml:space="preserve">CHUPIN</t>
  </si>
  <si>
    <t xml:space="preserve">CHUPIN ANTOINE</t>
  </si>
  <si>
    <t xml:space="preserve">6 RUE DE SONTAY</t>
  </si>
  <si>
    <t xml:space="preserve">RUE DE SONTAY</t>
  </si>
  <si>
    <t xml:space="preserve">01 56 09 35 61 // 01 40 67 93 93</t>
  </si>
  <si>
    <t xml:space="preserve">https://biocodex6--c.vf.force.com/0014L00000KGGeqQAH</t>
  </si>
  <si>
    <t xml:space="preserve">https://annuairesante.ameli.fr/professionnels-de-sante/recherche/fiche-detaillee-B7c1kzIyMDSy.html</t>
  </si>
  <si>
    <t xml:space="preserve">08:00-13:00(R)</t>
  </si>
  <si>
    <t xml:space="preserve">16:00-18:00(R)</t>
  </si>
  <si>
    <t xml:space="preserve">LANZ</t>
  </si>
  <si>
    <t xml:space="preserve">MICHELE</t>
  </si>
  <si>
    <t xml:space="preserve">LANZ MICHELE</t>
  </si>
  <si>
    <t xml:space="preserve">https://biocodex6--c.vf.force.com/0014L00000KFlzJQAT</t>
  </si>
  <si>
    <t xml:space="preserve">[Timestamp('2023-07-26 14:30:00'), Timestamp('2024-01-30 14:30:00'), Timestamp('2024-05-16 13:30:00')]</t>
  </si>
  <si>
    <t xml:space="preserve">BOURY</t>
  </si>
  <si>
    <t xml:space="preserve">BOURY MARION</t>
  </si>
  <si>
    <t xml:space="preserve">boury@gmail.com</t>
  </si>
  <si>
    <t xml:space="preserve">https://biocodex6--c.vf.force.com/0014L00000KFKEDQA5</t>
  </si>
  <si>
    <t xml:space="preserve">[Timestamp('2023-12-06 11:30:00'), Timestamp('2024-02-27 16:00:00')]</t>
  </si>
  <si>
    <t xml:space="preserve">GUERIN</t>
  </si>
  <si>
    <t xml:space="preserve">CAPUCINE</t>
  </si>
  <si>
    <t xml:space="preserve">GUERIN CAPUCINE</t>
  </si>
  <si>
    <t xml:space="preserve">capguerin@gmail.com</t>
  </si>
  <si>
    <t xml:space="preserve">https://biocodex6--c.vf.force.com/0014L00000KFO3pQAH</t>
  </si>
  <si>
    <t xml:space="preserve">GOTTHEFF SOUSSAN</t>
  </si>
  <si>
    <t xml:space="preserve">KEREN</t>
  </si>
  <si>
    <t xml:space="preserve">GOTTHEFF SOUSSAN KEREN</t>
  </si>
  <si>
    <t xml:space="preserve">86 RUE MARIUS AUFAN</t>
  </si>
  <si>
    <t xml:space="preserve">01 47 58 71 04</t>
  </si>
  <si>
    <t xml:space="preserve">https://biocodex6--c.vf.force.com/0014L00000KFOY7QAP</t>
  </si>
  <si>
    <t xml:space="preserve">https://annuairesante.ameli.fr/professionnels-de-sante/recherche/fiche-detaillee-CbA1lTMxNTK3.html</t>
  </si>
  <si>
    <t xml:space="preserve">BORNE</t>
  </si>
  <si>
    <t xml:space="preserve">HELENE</t>
  </si>
  <si>
    <t xml:space="preserve">BORNE HELENE</t>
  </si>
  <si>
    <t xml:space="preserve">RUE DES MATHURINS</t>
  </si>
  <si>
    <t xml:space="preserve">01 42 66 29 37</t>
  </si>
  <si>
    <t xml:space="preserve">drborne@hborne.com</t>
  </si>
  <si>
    <t xml:space="preserve">https://biocodex6--c.vf.force.com/0014L00000KFU5rQAH</t>
  </si>
  <si>
    <t xml:space="preserve">https://annuairesante.ameli.fr/professionnels-de-sante/recherche/fiche-detaillee-B7c1mjI2NDK3.html</t>
  </si>
  <si>
    <t xml:space="preserve">GODOT</t>
  </si>
  <si>
    <t xml:space="preserve">CECILE</t>
  </si>
  <si>
    <t xml:space="preserve">GODOT CECILE</t>
  </si>
  <si>
    <t xml:space="preserve">01 44 49 47 43</t>
  </si>
  <si>
    <t xml:space="preserve">https://biocodex6--c.vf.force.com/0014L00000KFdTeQAL</t>
  </si>
  <si>
    <t xml:space="preserve">PRAJS</t>
  </si>
  <si>
    <t xml:space="preserve">PRAJS NATHALIE</t>
  </si>
  <si>
    <t xml:space="preserve">92 RUE BAUDIN</t>
  </si>
  <si>
    <t xml:space="preserve">RUE BAUDIN</t>
  </si>
  <si>
    <t xml:space="preserve">01 41 06 17 56</t>
  </si>
  <si>
    <t xml:space="preserve">https://biocodex6--c.vf.force.com/0014L00000KFxSlQAL</t>
  </si>
  <si>
    <t xml:space="preserve">https://annuairesante.ameli.fr/professionnels-de-sante/recherche/fiche-detaillee-CbA1lTI5NTuy.html</t>
  </si>
  <si>
    <t xml:space="preserve">ROMAIN</t>
  </si>
  <si>
    <t xml:space="preserve">ROMAIN OLIVIER</t>
  </si>
  <si>
    <t xml:space="preserve">126 RUE BLOMET</t>
  </si>
  <si>
    <t xml:space="preserve">01 48 28 36 82 // 01 48 28 10 40</t>
  </si>
  <si>
    <t xml:space="preserve">https://biocodex6--c.vf.force.com/0014L00000KFzCXQA1</t>
  </si>
  <si>
    <t xml:space="preserve">https://annuairesante.ameli.fr/professionnels-de-sante/recherche/fiche-detaillee-B7c1lzI0NDOx.html</t>
  </si>
  <si>
    <t xml:space="preserve">NISOLLE TAOUREL</t>
  </si>
  <si>
    <t xml:space="preserve">BRIGITTE</t>
  </si>
  <si>
    <t xml:space="preserve">NISOLLE TAOUREL BRIGITTE</t>
  </si>
  <si>
    <t xml:space="preserve">https://biocodex6--c.vf.force.com/0014L00000KFtgmQAD</t>
  </si>
  <si>
    <t xml:space="preserve">https://annuairesante.ameli.fr/professionnels-de-sante/recherche/fiche-detaillee-CbA1kjs0NjG2.html</t>
  </si>
  <si>
    <t xml:space="preserve">[Timestamp('2023-07-05 12:00:00'), Timestamp('2024-01-31 13:00:00'), Timestamp('2024-05-16 17:00:00')]</t>
  </si>
  <si>
    <t xml:space="preserve">ROMANELLO</t>
  </si>
  <si>
    <t xml:space="preserve">SILVIA</t>
  </si>
  <si>
    <t xml:space="preserve">ROMANELLO SILVIA</t>
  </si>
  <si>
    <t xml:space="preserve">4 BOULEVARD FLANDRIN</t>
  </si>
  <si>
    <t xml:space="preserve">BOULEVARD FLANDRIN</t>
  </si>
  <si>
    <t xml:space="preserve">01 73 70 31 75</t>
  </si>
  <si>
    <t xml:space="preserve">https://biocodex6--c.vf.force.com/0014L00000KFOnuQAH</t>
  </si>
  <si>
    <t xml:space="preserve">https://annuairesante.ameli.fr/professionnels-de-sante/recherche/fiche-detaillee-B7c1lTY0MTe7.html</t>
  </si>
  <si>
    <t xml:space="preserve">BOUDOT DE LA MOTTE</t>
  </si>
  <si>
    <t xml:space="preserve">BOUDOT DE LA MOTTE ERIC</t>
  </si>
  <si>
    <t xml:space="preserve">01 45 51 38 99</t>
  </si>
  <si>
    <t xml:space="preserve">https://biocodex6--c.vf.force.com/0014L00000KFUEsQAP</t>
  </si>
  <si>
    <t xml:space="preserve">https://annuairesante.ameli.fr/professionnels-de-sante/recherche/fiche-detaillee-B7c1lTIyNDCw.html</t>
  </si>
  <si>
    <t xml:space="preserve">[Timestamp('2023-10-10 11:30:00'), Timestamp('2024-02-06 12:00:00'), Timestamp('2024-05-17 15:30:00')]</t>
  </si>
  <si>
    <t xml:space="preserve">PARTOUCHE</t>
  </si>
  <si>
    <t xml:space="preserve">ELIE</t>
  </si>
  <si>
    <t xml:space="preserve">PARTOUCHE ELIE</t>
  </si>
  <si>
    <t xml:space="preserve">9 RUE GREFFULHE</t>
  </si>
  <si>
    <t xml:space="preserve">RUE GREFFULHE</t>
  </si>
  <si>
    <t xml:space="preserve">01 46 39 22 35 // 01 47 59 02 84</t>
  </si>
  <si>
    <t xml:space="preserve">https://biocodex6--c.vf.force.com/0014L00000KFuiUQAT</t>
  </si>
  <si>
    <t xml:space="preserve">https://annuairesante.ameli.fr/professionnels-de-sante/recherche/fiche-detaillee-CbA1kzAzNDK2.html</t>
  </si>
  <si>
    <t xml:space="preserve">CHEMLA</t>
  </si>
  <si>
    <t xml:space="preserve">CHEMLA STEPHANE</t>
  </si>
  <si>
    <t xml:space="preserve">PHARM</t>
  </si>
  <si>
    <t xml:space="preserve">21 RUE ROYALE</t>
  </si>
  <si>
    <t xml:space="preserve">RUE ROYALE</t>
  </si>
  <si>
    <t xml:space="preserve">01 40 17 91 86</t>
  </si>
  <si>
    <t xml:space="preserve">https://biocodex6--c.vf.force.com/0014L00000KFehvQAD</t>
  </si>
  <si>
    <t xml:space="preserve">BONET</t>
  </si>
  <si>
    <t xml:space="preserve">JULIE</t>
  </si>
  <si>
    <t xml:space="preserve">BONET JULIE</t>
  </si>
  <si>
    <t xml:space="preserve">01 47 34 69 65 // 06 79 67 25 06</t>
  </si>
  <si>
    <t xml:space="preserve">https://biocodex6--c.vf.force.com/0014L00000kRGfaQAG</t>
  </si>
  <si>
    <t xml:space="preserve">https://annuairesante.ameli.fr/professionnels-de-sante/recherche/fiche-detaillee-B7c1kzM5NTa6.html</t>
  </si>
  <si>
    <t xml:space="preserve">15:00-19:00(R)</t>
  </si>
  <si>
    <t xml:space="preserve">10:00-13:30(R)</t>
  </si>
  <si>
    <t xml:space="preserve">15:00-19:00(D)</t>
  </si>
  <si>
    <t xml:space="preserve">10:00-14:00(D)</t>
  </si>
  <si>
    <t xml:space="preserve">GANEM</t>
  </si>
  <si>
    <t xml:space="preserve">GANEM ROMAIN</t>
  </si>
  <si>
    <t xml:space="preserve">14 RUE NICOLO</t>
  </si>
  <si>
    <t xml:space="preserve">RUE NICOLO</t>
  </si>
  <si>
    <t xml:space="preserve">01 40 50 88 62</t>
  </si>
  <si>
    <t xml:space="preserve">https://biocodex6--c.vf.force.com/0014L00000KGETzQAP</t>
  </si>
  <si>
    <t xml:space="preserve">https://annuairesante.ameli.fr/professionnels-de-sante/recherche/fiche-detaillee-B7c1kzMwNTO7.html</t>
  </si>
  <si>
    <t xml:space="preserve">CHEMLA PERETZ</t>
  </si>
  <si>
    <t xml:space="preserve">MYRIAM</t>
  </si>
  <si>
    <t xml:space="preserve">CHEMLA PERETZ MYRIAM</t>
  </si>
  <si>
    <t xml:space="preserve">https://biocodex6--c.vf.force.com/0014L00000KJ73YQAT</t>
  </si>
  <si>
    <t xml:space="preserve">https://annuairesante.ameli.fr/professionnels-de-sante/recherche/fiche-detaillee-CbA1kjY2OTO0.html</t>
  </si>
  <si>
    <t xml:space="preserve">PROUHEZE</t>
  </si>
  <si>
    <t xml:space="preserve">AUDREY</t>
  </si>
  <si>
    <t xml:space="preserve">PROUHEZE AUDREY</t>
  </si>
  <si>
    <t xml:space="preserve">https://biocodex6--c.vf.force.com/0014L00000KGEYSQA5</t>
  </si>
  <si>
    <t xml:space="preserve">CLAVERO</t>
  </si>
  <si>
    <t xml:space="preserve">JOSE</t>
  </si>
  <si>
    <t xml:space="preserve">CLAVERO JOSE</t>
  </si>
  <si>
    <t xml:space="preserve">S1O</t>
  </si>
  <si>
    <t xml:space="preserve">01 45 77 25 77</t>
  </si>
  <si>
    <t xml:space="preserve">https://biocodex6--c.vf.force.com/0014L00000KFWsRQAX</t>
  </si>
  <si>
    <t xml:space="preserve">https://annuairesante.ameli.fr/professionnels-de-sante/recherche/fiche-detaillee-B7c1lTI4MzK2.html</t>
  </si>
  <si>
    <t xml:space="preserve">09:00-11:00(R)</t>
  </si>
  <si>
    <t xml:space="preserve">MAYER</t>
  </si>
  <si>
    <t xml:space="preserve">MAYER FREDERIC</t>
  </si>
  <si>
    <t xml:space="preserve">23 RUE DU LAOS</t>
  </si>
  <si>
    <t xml:space="preserve">RUE DU LAOS</t>
  </si>
  <si>
    <t xml:space="preserve">01 47 83 60 88</t>
  </si>
  <si>
    <t xml:space="preserve">https://biocodex6--c.vf.force.com/0014L00000KFqGjQAL</t>
  </si>
  <si>
    <t xml:space="preserve">https://annuairesante.ameli.fr/professionnels-de-sante/recherche/fiche-detaillee-B7c1lzU1NDKz.html</t>
  </si>
  <si>
    <t xml:space="preserve">HOLLOS</t>
  </si>
  <si>
    <t xml:space="preserve">JUDITH</t>
  </si>
  <si>
    <t xml:space="preserve">HOLLOS JUDITH</t>
  </si>
  <si>
    <t xml:space="preserve">4 RUE PARFAIT JANS</t>
  </si>
  <si>
    <t xml:space="preserve">RUE PARFAIT JANS</t>
  </si>
  <si>
    <t xml:space="preserve">01 47 39 81 81</t>
  </si>
  <si>
    <t xml:space="preserve">https://biocodex6--c.vf.force.com/0014L00000KFj2tQAD</t>
  </si>
  <si>
    <t xml:space="preserve">https://annuairesante.ameli.fr/professionnels-de-sante/recherche/fiche-detaillee-CbA1kjE5MTe2.html</t>
  </si>
  <si>
    <t xml:space="preserve">MERIGNARGUES</t>
  </si>
  <si>
    <t xml:space="preserve">MERIGNARGUES ISABELLE</t>
  </si>
  <si>
    <t xml:space="preserve">11 RUE LEON COGNIET</t>
  </si>
  <si>
    <t xml:space="preserve">RUE LEON COGNIET</t>
  </si>
  <si>
    <t xml:space="preserve">01 42 27 83 58</t>
  </si>
  <si>
    <t xml:space="preserve">isabellevillepelet@orange.fr</t>
  </si>
  <si>
    <t xml:space="preserve">https://biocodex6--c.vf.force.com/0014L00000KFrRjQAL</t>
  </si>
  <si>
    <t xml:space="preserve">https://annuairesante.ameli.fr/professionnels-de-sante/recherche/fiche-detaillee-B7c1lzY4MzOw.html</t>
  </si>
  <si>
    <t xml:space="preserve">[Timestamp('2023-08-31 11:30:00'), Timestamp('2023-12-21 12:30:00')]</t>
  </si>
  <si>
    <t xml:space="preserve">DUPUY</t>
  </si>
  <si>
    <t xml:space="preserve">DUPUY CATHERINE</t>
  </si>
  <si>
    <t xml:space="preserve">175 RUE DE LA CONVENTION</t>
  </si>
  <si>
    <t xml:space="preserve">01 45 33 05 21</t>
  </si>
  <si>
    <t xml:space="preserve">https://biocodex6--c.vf.force.com/0014L00000KFc6GQAT</t>
  </si>
  <si>
    <t xml:space="preserve">https://annuairesante.ameli.fr/professionnels-de-sante/recherche/fiche-detaillee-B7c1lDQ2MTWz.html</t>
  </si>
  <si>
    <t xml:space="preserve">ALLEMANDI</t>
  </si>
  <si>
    <t xml:space="preserve">JEAN LUC</t>
  </si>
  <si>
    <t xml:space="preserve">ALLEMANDI JEAN LUC</t>
  </si>
  <si>
    <t xml:space="preserve">6 RUE BREY</t>
  </si>
  <si>
    <t xml:space="preserve">RUE BREY</t>
  </si>
  <si>
    <t xml:space="preserve">01 47 63 52 74</t>
  </si>
  <si>
    <t xml:space="preserve">https://biocodex6--c.vf.force.com/0014L00000KFQEyQAP</t>
  </si>
  <si>
    <t xml:space="preserve">https://annuairesante.ameli.fr/professionnels-de-sante/recherche/fiche-detaillee-B7c1lTI3MTux.html</t>
  </si>
  <si>
    <t xml:space="preserve">BOUAMOUD</t>
  </si>
  <si>
    <t xml:space="preserve">MOUNA</t>
  </si>
  <si>
    <t xml:space="preserve">BOUAMOUD MOUNA</t>
  </si>
  <si>
    <t xml:space="preserve">01 47 59 55 55</t>
  </si>
  <si>
    <t xml:space="preserve">https://biocodex6--c.vf.force.com/0014L00000KG9mhQAD</t>
  </si>
  <si>
    <t xml:space="preserve">DUPUIS</t>
  </si>
  <si>
    <t xml:space="preserve">DUPUIS MURIEL</t>
  </si>
  <si>
    <t xml:space="preserve">354 RUE LECOURBE</t>
  </si>
  <si>
    <t xml:space="preserve">01 45 54 00 96</t>
  </si>
  <si>
    <t xml:space="preserve">https://biocodex6--c.vf.force.com/0014L00000KFZWkQAP</t>
  </si>
  <si>
    <t xml:space="preserve">https://annuairesante.ameli.fr/professionnels-de-sante/recherche/fiche-detaillee-B7c1mzY0MDO3.html</t>
  </si>
  <si>
    <t xml:space="preserve">[Timestamp('2023-07-13 12:30:00'), Timestamp('2024-02-29 11:30:00')]</t>
  </si>
  <si>
    <t xml:space="preserve">AL RIDA AIDIBI</t>
  </si>
  <si>
    <t xml:space="preserve">ALI</t>
  </si>
  <si>
    <t xml:space="preserve">AL RIDA AIDIBI ALI</t>
  </si>
  <si>
    <t xml:space="preserve">https://biocodex6--c.vf.force.com/0014L00000KGMUXQA5</t>
  </si>
  <si>
    <t xml:space="preserve">QUITTELIER</t>
  </si>
  <si>
    <t xml:space="preserve">REGIS</t>
  </si>
  <si>
    <t xml:space="preserve">QUITTELIER REGIS</t>
  </si>
  <si>
    <t xml:space="preserve">CH RIVES DE SEINE</t>
  </si>
  <si>
    <t xml:space="preserve">58 BOULEVARD D ARGENSON</t>
  </si>
  <si>
    <t xml:space="preserve">BOULEVARD D ARGENSON</t>
  </si>
  <si>
    <t xml:space="preserve">01 40 88 62 23</t>
  </si>
  <si>
    <t xml:space="preserve">https://biocodex6--c.vf.force.com/0014L00000KFjXlQAL</t>
  </si>
  <si>
    <t xml:space="preserve">KHAYAT</t>
  </si>
  <si>
    <t xml:space="preserve">GERARD</t>
  </si>
  <si>
    <t xml:space="preserve">KHAYAT GERARD</t>
  </si>
  <si>
    <t xml:space="preserve">01 46 41 27 37</t>
  </si>
  <si>
    <t xml:space="preserve">https://biocodex6--c.vf.force.com/0014L00000KFkihQAD</t>
  </si>
  <si>
    <t xml:space="preserve">VIENNOT</t>
  </si>
  <si>
    <t xml:space="preserve">STEPHANIE</t>
  </si>
  <si>
    <t xml:space="preserve">VIENNOT STEPHANIE</t>
  </si>
  <si>
    <t xml:space="preserve">https://biocodex6--c.vf.force.com/0014L00000KG6XzQAL</t>
  </si>
  <si>
    <t xml:space="preserve">https://annuairesante.ameli.fr/professionnels-de-sante/recherche/fiche-detaillee-B7c1kzA3NDuz.html</t>
  </si>
  <si>
    <t xml:space="preserve">[Timestamp('2024-01-26 13:30:00'), Timestamp('2024-03-08 14:30:00')]</t>
  </si>
  <si>
    <t xml:space="preserve">PIOCHE</t>
  </si>
  <si>
    <t xml:space="preserve">PIOCHE DOMINIQUE</t>
  </si>
  <si>
    <t xml:space="preserve">17 RUE DU COLONEL MOLL</t>
  </si>
  <si>
    <t xml:space="preserve">RUE DU COLONEL MOLL</t>
  </si>
  <si>
    <t xml:space="preserve">01 43 80 64 89</t>
  </si>
  <si>
    <t xml:space="preserve">https://biocodex6--c.vf.force.com/0014L00000KFxuDQAT</t>
  </si>
  <si>
    <t xml:space="preserve">https://annuairesante.ameli.fr/professionnels-de-sante/recherche/fiche-detaillee-B7c1lzUxNDC3.html</t>
  </si>
  <si>
    <t xml:space="preserve">SAMAHA</t>
  </si>
  <si>
    <t xml:space="preserve">ELIA</t>
  </si>
  <si>
    <t xml:space="preserve">SAMAHA ELIA</t>
  </si>
  <si>
    <t xml:space="preserve">ENDSC</t>
  </si>
  <si>
    <t xml:space="preserve">01 46 41 27 26 // 01 45 53 27 62</t>
  </si>
  <si>
    <t xml:space="preserve">https://biocodex6--c.vf.force.com/0014L00000KG1gHQAT</t>
  </si>
  <si>
    <t xml:space="preserve">https://annuairesante.ameli.fr/professionnels-de-sante/recherche/fiche-detaillee-B7c1kjA4MDS1.html</t>
  </si>
  <si>
    <t xml:space="preserve">SCHNEIDER</t>
  </si>
  <si>
    <t xml:space="preserve">LUCIEN</t>
  </si>
  <si>
    <t xml:space="preserve">SCHNEIDER LUCIEN</t>
  </si>
  <si>
    <t xml:space="preserve">https://biocodex6--c.vf.force.com/0014L00000KG0tWQAT</t>
  </si>
  <si>
    <t xml:space="preserve">[Timestamp('2023-07-26 13:34:00'), Timestamp('2024-01-30 10:30:00')]</t>
  </si>
  <si>
    <t xml:space="preserve">VERBEQUE</t>
  </si>
  <si>
    <t xml:space="preserve">ASTRID</t>
  </si>
  <si>
    <t xml:space="preserve">VERBEQUE ASTRID</t>
  </si>
  <si>
    <t xml:space="preserve">https://biocodex6--c.vf.force.com/0014L00000KGEf8QAH</t>
  </si>
  <si>
    <t xml:space="preserve">ENRICO</t>
  </si>
  <si>
    <t xml:space="preserve">JULIETTE</t>
  </si>
  <si>
    <t xml:space="preserve">ENRICO JULIETTE</t>
  </si>
  <si>
    <t xml:space="preserve">juliettenrico@yahoo.fr</t>
  </si>
  <si>
    <t xml:space="preserve">https://biocodex6--c.vf.force.com/0014L00000KFQnzQAH</t>
  </si>
  <si>
    <t xml:space="preserve">[Timestamp('2023-12-05 11:30:00'), Timestamp('2024-02-29 09:30:00')]</t>
  </si>
  <si>
    <t xml:space="preserve">CERF</t>
  </si>
  <si>
    <t xml:space="preserve">CERF PATRICK</t>
  </si>
  <si>
    <t xml:space="preserve">25 AVENUE BOSQUET</t>
  </si>
  <si>
    <t xml:space="preserve">AVENUE BOSQUET</t>
  </si>
  <si>
    <t xml:space="preserve">07 68 72 43 72</t>
  </si>
  <si>
    <t xml:space="preserve">https://biocodex6--c.vf.force.com/0014L00000KFVrrQAH</t>
  </si>
  <si>
    <t xml:space="preserve">https://annuairesante.ameli.fr/professionnels-de-sante/recherche/fiche-detaillee-B7c1lTY1MTq0.html</t>
  </si>
  <si>
    <t xml:space="preserve">PETIT</t>
  </si>
  <si>
    <t xml:space="preserve">ERIN</t>
  </si>
  <si>
    <t xml:space="preserve">PETIT ERIN</t>
  </si>
  <si>
    <t xml:space="preserve">https://biocodex6--c.vf.force.com/0014L00000KG9yxQAD</t>
  </si>
  <si>
    <t xml:space="preserve">LAURENCE</t>
  </si>
  <si>
    <t xml:space="preserve">PETIT LAURENCE</t>
  </si>
  <si>
    <t xml:space="preserve">86 RUE DU PRESIDENT WILSON</t>
  </si>
  <si>
    <t xml:space="preserve">01 55 46 90 50</t>
  </si>
  <si>
    <t xml:space="preserve">https://biocodex6--c.vf.force.com/0014L00000KFvyfQAD</t>
  </si>
  <si>
    <t xml:space="preserve">BOUADAM</t>
  </si>
  <si>
    <t xml:space="preserve">HANA</t>
  </si>
  <si>
    <t xml:space="preserve">BOUADAM HANA</t>
  </si>
  <si>
    <t xml:space="preserve">01 46 39 22 35</t>
  </si>
  <si>
    <t xml:space="preserve">https://biocodex6--c.vf.force.com/0014L00000KFVY9QAP</t>
  </si>
  <si>
    <t xml:space="preserve">ISSARTEL</t>
  </si>
  <si>
    <t xml:space="preserve">ISSARTEL FRANCOISE</t>
  </si>
  <si>
    <t xml:space="preserve">12 RUE BARBES</t>
  </si>
  <si>
    <t xml:space="preserve">01 46 17 06 11</t>
  </si>
  <si>
    <t xml:space="preserve">https://biocodex6--c.vf.force.com/0014L00000KFjSnQAL</t>
  </si>
  <si>
    <t xml:space="preserve">TRICHOT</t>
  </si>
  <si>
    <t xml:space="preserve">CAROLINE</t>
  </si>
  <si>
    <t xml:space="preserve">TRICHOT CAROLINE</t>
  </si>
  <si>
    <t xml:space="preserve">OBS
M/O</t>
  </si>
  <si>
    <t xml:space="preserve">01 46 39 22 35 // 01 87 44 67 77</t>
  </si>
  <si>
    <t xml:space="preserve">caroline.trichot@abc.aphp.frf</t>
  </si>
  <si>
    <t xml:space="preserve">https://biocodex6--c.vf.force.com/0014L00000KG4OzQAL</t>
  </si>
  <si>
    <t xml:space="preserve">https://annuairesante.ameli.fr/professionnels-de-sante/recherche/fiche-detaillee-B7c1mzY4NDSw.html</t>
  </si>
  <si>
    <t xml:space="preserve">CHASTE</t>
  </si>
  <si>
    <t xml:space="preserve">CHASTE PAULINE</t>
  </si>
  <si>
    <t xml:space="preserve">01 44 49 45 61</t>
  </si>
  <si>
    <t xml:space="preserve">D5</t>
  </si>
  <si>
    <t xml:space="preserve">https://biocodex6--c.vf.force.com/0014L00000KFfR5QAL</t>
  </si>
  <si>
    <t xml:space="preserve">LUPINSKA BOURGEOIS</t>
  </si>
  <si>
    <t xml:space="preserve">MAGDALENA</t>
  </si>
  <si>
    <t xml:space="preserve">LUPINSKA BOURGEOIS MAGDALENA</t>
  </si>
  <si>
    <t xml:space="preserve">5 PLACE VICTOR HUGO</t>
  </si>
  <si>
    <t xml:space="preserve">PLACE VICTOR HUGO</t>
  </si>
  <si>
    <t xml:space="preserve">06 01 85 86 24</t>
  </si>
  <si>
    <t xml:space="preserve">https://biocodex6--c.vf.force.com/0014L00000kSSGDQA4</t>
  </si>
  <si>
    <t xml:space="preserve">LUQUET</t>
  </si>
  <si>
    <t xml:space="preserve">LUQUET PIERRE</t>
  </si>
  <si>
    <t xml:space="preserve">01 47 37 77 55 // 01 47 56 15 41</t>
  </si>
  <si>
    <t xml:space="preserve">https://biocodex6--c.vf.force.com/0014L00000KFp51QAD</t>
  </si>
  <si>
    <t xml:space="preserve">https://annuairesante.ameli.fr/professionnels-de-sante/recherche/fiche-detaillee-CbA1kzE4NTu6.html</t>
  </si>
  <si>
    <t xml:space="preserve">DIZIN</t>
  </si>
  <si>
    <t xml:space="preserve">DIZIN MICHEL</t>
  </si>
  <si>
    <t xml:space="preserve">74 BOULEVARD EXELMANS</t>
  </si>
  <si>
    <t xml:space="preserve">BOULEVARD EXELMANS</t>
  </si>
  <si>
    <t xml:space="preserve">01 46 51 95 37</t>
  </si>
  <si>
    <t xml:space="preserve">https://biocodex6--c.vf.force.com/0014L00000KFayoQAD</t>
  </si>
  <si>
    <t xml:space="preserve">https://annuairesante.ameli.fr/professionnels-de-sante/recherche/fiche-detaillee-B7c1kTc3MjK3.html</t>
  </si>
  <si>
    <t xml:space="preserve">[Timestamp('2023-07-04 14:00:00'), Timestamp('2024-03-15 16:00:00'), Timestamp('2024-05-21 15:30:00')]</t>
  </si>
  <si>
    <t xml:space="preserve">INSCR. MA 14h`</t>
  </si>
  <si>
    <t xml:space="preserve">MOULY</t>
  </si>
  <si>
    <t xml:space="preserve">MOULY MICHEL</t>
  </si>
  <si>
    <t xml:space="preserve">ONCO
OBS</t>
  </si>
  <si>
    <t xml:space="preserve">44 AVENUE KLEBER</t>
  </si>
  <si>
    <t xml:space="preserve">AVENUE KLEBER</t>
  </si>
  <si>
    <t xml:space="preserve">01 45 62 44 05 // 01 47 03 06 07</t>
  </si>
  <si>
    <t xml:space="preserve">https://biocodex6--c.vf.force.com/0014L00000KFtZQQA1</t>
  </si>
  <si>
    <t xml:space="preserve">https://annuairesante.ameli.fr/professionnels-de-sante/recherche/fiche-detaillee-B7c1lTEwMDq2.html</t>
  </si>
  <si>
    <t xml:space="preserve">AZZI</t>
  </si>
  <si>
    <t xml:space="preserve">NAYLA</t>
  </si>
  <si>
    <t xml:space="preserve">AZZI NAYLA</t>
  </si>
  <si>
    <t xml:space="preserve">76 RUE LECOURBE</t>
  </si>
  <si>
    <t xml:space="preserve">01 45 67 61 00</t>
  </si>
  <si>
    <t xml:space="preserve">nayla.azzi@wanadoo.fr</t>
  </si>
  <si>
    <t xml:space="preserve">https://biocodex6--c.vf.force.com/0014L00000KFRCOQA5</t>
  </si>
  <si>
    <t xml:space="preserve">https://annuairesante.ameli.fr/professionnels-de-sante/recherche/fiche-detaillee-B7c1lDI2Mjuw.html</t>
  </si>
  <si>
    <t xml:space="preserve">[Timestamp('2023-07-13 17:00:00'), Timestamp('2024-03-04 11:00:00')]</t>
  </si>
  <si>
    <t xml:space="preserve">LAUNOIS LANBA</t>
  </si>
  <si>
    <t xml:space="preserve">LAUNOIS LANBA CATHERINE</t>
  </si>
  <si>
    <t xml:space="preserve">54 RUE DE PRONY</t>
  </si>
  <si>
    <t xml:space="preserve">RUE DE PRONY</t>
  </si>
  <si>
    <t xml:space="preserve">01 47 63 14 08</t>
  </si>
  <si>
    <t xml:space="preserve">catherinelanba@hotmail.fr</t>
  </si>
  <si>
    <t xml:space="preserve">https://biocodex6--c.vf.force.com/0014L00000KFmLWQA1</t>
  </si>
  <si>
    <t xml:space="preserve">https://annuairesante.ameli.fr/professionnels-de-sante/recherche/fiche-detaillee-B7c1lDI4OTC0.html</t>
  </si>
  <si>
    <t xml:space="preserve">RUDOWSKI</t>
  </si>
  <si>
    <t xml:space="preserve">RUDOWSKI HERVE</t>
  </si>
  <si>
    <t xml:space="preserve">147 BOULEVARD MALESHERBES</t>
  </si>
  <si>
    <t xml:space="preserve">BOULEVARD MALESHERBES</t>
  </si>
  <si>
    <t xml:space="preserve">01 42 27 44 59 // 01 47 63 27 87</t>
  </si>
  <si>
    <t xml:space="preserve">https://biocodex6--c.vf.force.com/0014L00000KFzuvQAD</t>
  </si>
  <si>
    <t xml:space="preserve">https://annuairesante.ameli.fr/professionnels-de-sante/recherche/fiche-detaillee-B7c1ljI5MjCy.html</t>
  </si>
  <si>
    <t xml:space="preserve">HADDAD</t>
  </si>
  <si>
    <t xml:space="preserve">HADDAD AUDREY</t>
  </si>
  <si>
    <t xml:space="preserve">https://biocodex6--c.vf.force.com/0014L00000KFR6uQAH</t>
  </si>
  <si>
    <t xml:space="preserve">https://annuairesante.ameli.fr/professionnels-de-sante/recherche/fiche-detaillee-B7c1kjMyMzS6.html</t>
  </si>
  <si>
    <t xml:space="preserve">[Timestamp('2023-06-28 14:00:00'), Timestamp('2023-09-26 10:30:00'), Timestamp('2024-01-17 10:30:00'), Timestamp('2024-05-27 14:00:00')]</t>
  </si>
  <si>
    <t xml:space="preserve">14:00-17:30(R)</t>
  </si>
  <si>
    <t xml:space="preserve">14:00-18:15(R)</t>
  </si>
  <si>
    <t xml:space="preserve">SPATZIERER</t>
  </si>
  <si>
    <t xml:space="preserve">SPATZIERER OLIVIER</t>
  </si>
  <si>
    <t xml:space="preserve">01 45 53 27 62</t>
  </si>
  <si>
    <t xml:space="preserve">https://biocodex6--c.vf.force.com/0014L00000KG24dQAD</t>
  </si>
  <si>
    <t xml:space="preserve">https://annuairesante.ameli.fr/professionnels-de-sante/recherche/fiche-detaillee-B7c1lzQwODq1.html</t>
  </si>
  <si>
    <t xml:space="preserve">JACOB</t>
  </si>
  <si>
    <t xml:space="preserve">JACOB ALAIN</t>
  </si>
  <si>
    <t xml:space="preserve">30 RUE BREY</t>
  </si>
  <si>
    <t xml:space="preserve">01 43 80 83 53</t>
  </si>
  <si>
    <t xml:space="preserve">https://biocodex6--c.vf.force.com/0014L00000KFjUWQA1</t>
  </si>
  <si>
    <t xml:space="preserve">https://annuairesante.ameli.fr/professionnels-de-sante/recherche/fiche-detaillee-B7c1ljowODq6.html</t>
  </si>
  <si>
    <t xml:space="preserve">DERRAR</t>
  </si>
  <si>
    <t xml:space="preserve">NAIMA</t>
  </si>
  <si>
    <t xml:space="preserve">DERRAR NAIMA</t>
  </si>
  <si>
    <t xml:space="preserve">54 RUE CARDINET</t>
  </si>
  <si>
    <t xml:space="preserve">RUE CARDINET</t>
  </si>
  <si>
    <t xml:space="preserve">01 42 27 45 99</t>
  </si>
  <si>
    <t xml:space="preserve">docteur.derrar@free.fr</t>
  </si>
  <si>
    <t xml:space="preserve">https://biocodex6--c.vf.force.com/0014L00000KFXSRQA5</t>
  </si>
  <si>
    <t xml:space="preserve">https://annuairesante.ameli.fr/professionnels-de-sante/recherche/fiche-detaillee-B7c1lDQxMzGx.html</t>
  </si>
  <si>
    <t xml:space="preserve">14:00-16:30(R)</t>
  </si>
  <si>
    <t xml:space="preserve">TRINH</t>
  </si>
  <si>
    <t xml:space="preserve">QUANG NGOC</t>
  </si>
  <si>
    <t xml:space="preserve">TRINH QUANG NGOC</t>
  </si>
  <si>
    <t xml:space="preserve">6 AVENUE MAC MAHON</t>
  </si>
  <si>
    <t xml:space="preserve">AVENUE MAC MAHON</t>
  </si>
  <si>
    <t xml:space="preserve">01 56 68 89 00</t>
  </si>
  <si>
    <t xml:space="preserve">https://biocodex6--c.vf.force.com/0014L00000KG3mCQAT</t>
  </si>
  <si>
    <t xml:space="preserve">https://annuairesante.ameli.fr/professionnels-de-sante/recherche/fiche-detaillee-B7c1kTYzMjG7.html</t>
  </si>
  <si>
    <t xml:space="preserve">DOUTRIAUX</t>
  </si>
  <si>
    <t xml:space="preserve">DOUTRIAUX LAURENCE</t>
  </si>
  <si>
    <t xml:space="preserve">74 RUE LECOURBE</t>
  </si>
  <si>
    <t xml:space="preserve">01 45 67 58 33</t>
  </si>
  <si>
    <t xml:space="preserve">https://biocodex6--c.vf.force.com/0014L00000KFxLoQAL</t>
  </si>
  <si>
    <t xml:space="preserve">https://annuairesante.ameli.fr/professionnels-de-sante/recherche/fiche-detaillee-B7c1mzEzMzOy.html</t>
  </si>
  <si>
    <t xml:space="preserve">ADNET</t>
  </si>
  <si>
    <t xml:space="preserve">ADNET FREDERIC</t>
  </si>
  <si>
    <t xml:space="preserve">REA</t>
  </si>
  <si>
    <t xml:space="preserve">01 44 49 23 23</t>
  </si>
  <si>
    <t xml:space="preserve">https://biocodex6--c.vf.force.com/0014L00000KFPvIQAX</t>
  </si>
  <si>
    <t xml:space="preserve">THOUX</t>
  </si>
  <si>
    <t xml:space="preserve">ZOE</t>
  </si>
  <si>
    <t xml:space="preserve">THOUX ZOE</t>
  </si>
  <si>
    <t xml:space="preserve">85 AVENUE DE LA BOURDONNAIS</t>
  </si>
  <si>
    <t xml:space="preserve">AVENUE DE LA BOURDONNAIS</t>
  </si>
  <si>
    <t xml:space="preserve">01 44 42 92 55</t>
  </si>
  <si>
    <t xml:space="preserve">https://biocodex6--c.vf.force.com/0014L00000KG4lIQAT</t>
  </si>
  <si>
    <t xml:space="preserve">https://annuairesante.ameli.fr/professionnels-de-sante/recherche/fiche-detaillee-B7c1lTA4MzOy.html</t>
  </si>
  <si>
    <t xml:space="preserve">BICHARA</t>
  </si>
  <si>
    <t xml:space="preserve">EMMANUELLE</t>
  </si>
  <si>
    <t xml:space="preserve">BICHARA EMMANUELLE</t>
  </si>
  <si>
    <t xml:space="preserve">01 56 09 36 21</t>
  </si>
  <si>
    <t xml:space="preserve">https://biocodex6--c.vf.force.com/0014L00000KG9mIQAT</t>
  </si>
  <si>
    <t xml:space="preserve">BAYLE GACOIN</t>
  </si>
  <si>
    <t xml:space="preserve">BAYLE GACOIN VERONIQUE</t>
  </si>
  <si>
    <t xml:space="preserve">https://biocodex6--c.vf.force.com/0014L00000KFcTlQAL</t>
  </si>
  <si>
    <t xml:space="preserve">[Timestamp('2023-07-07 13:00:00'), Timestamp('2023-10-13 13:00:00'), Timestamp('2024-02-21 15:00:00')]</t>
  </si>
  <si>
    <t xml:space="preserve">BERBERIAN</t>
  </si>
  <si>
    <t xml:space="preserve">BERBERIAN STEPHANE</t>
  </si>
  <si>
    <t xml:space="preserve">8 RUE GUSTAVE DORE</t>
  </si>
  <si>
    <t xml:space="preserve">01 44 40 22 88</t>
  </si>
  <si>
    <t xml:space="preserve">https://biocodex6--c.vf.force.com/0014L00000KFT18QAH</t>
  </si>
  <si>
    <t xml:space="preserve">https://annuairesante.ameli.fr/professionnels-de-sante/recherche/fiche-detaillee-B7c1lTI5NTex.html</t>
  </si>
  <si>
    <t xml:space="preserve">ARRAGO</t>
  </si>
  <si>
    <t xml:space="preserve">JEAN PAUL</t>
  </si>
  <si>
    <t xml:space="preserve">ARRAGO JEAN PAUL</t>
  </si>
  <si>
    <t xml:space="preserve">01 42 89 10 11</t>
  </si>
  <si>
    <t xml:space="preserve">https://biocodex6--c.vf.force.com/0014L00000KFQjiQAH</t>
  </si>
  <si>
    <t xml:space="preserve">https://annuairesante.ameli.fr/professionnels-de-sante/recherche/fiche-detaillee-B7c1ljE1ODa0.html</t>
  </si>
  <si>
    <t xml:space="preserve">REY</t>
  </si>
  <si>
    <t xml:space="preserve">MADELEINE</t>
  </si>
  <si>
    <t xml:space="preserve">REY MADELEINE</t>
  </si>
  <si>
    <t xml:space="preserve">35 RUE DUPLEIX</t>
  </si>
  <si>
    <t xml:space="preserve">RUE DUPLEIX</t>
  </si>
  <si>
    <t xml:space="preserve">01 42 73 33 62</t>
  </si>
  <si>
    <t xml:space="preserve">https://biocodex6--c.vf.force.com/0014L00000KFxgrQAD</t>
  </si>
  <si>
    <t xml:space="preserve">MUCKENSTURM</t>
  </si>
  <si>
    <t xml:space="preserve">DANIELE</t>
  </si>
  <si>
    <t xml:space="preserve">MUCKENSTURM DANIELE</t>
  </si>
  <si>
    <t xml:space="preserve">7 VILLA MONCEAU</t>
  </si>
  <si>
    <t xml:space="preserve">VILLA MONCEAU</t>
  </si>
  <si>
    <t xml:space="preserve">01 45 72 10 55</t>
  </si>
  <si>
    <t xml:space="preserve">https://biocodex6--c.vf.force.com/0014L00000KFt6xQAD</t>
  </si>
  <si>
    <t xml:space="preserve">https://annuairesante.ameli.fr/professionnels-de-sante/recherche/fiche-detaillee-B7c1lzU1NTqx.html</t>
  </si>
  <si>
    <t xml:space="preserve">SOAVA</t>
  </si>
  <si>
    <t xml:space="preserve">MARINA</t>
  </si>
  <si>
    <t xml:space="preserve">SOAVA MARINA</t>
  </si>
  <si>
    <t xml:space="preserve">4 RUE THUREAU DANGIN</t>
  </si>
  <si>
    <t xml:space="preserve">RUE THUREAU DANGIN</t>
  </si>
  <si>
    <t xml:space="preserve">01 48 28 81 01</t>
  </si>
  <si>
    <t xml:space="preserve">https://biocodex6--c.vf.force.com/0014L00000KG7r5QAD</t>
  </si>
  <si>
    <t xml:space="preserve">https://annuairesante.ameli.fr/professionnels-de-sante/recherche/fiche-detaillee-B7c1kjI2MTSw.html</t>
  </si>
  <si>
    <t xml:space="preserve">11:30-13:30(D)
09:30-11:00(R)</t>
  </si>
  <si>
    <t xml:space="preserve">DELAFFOND</t>
  </si>
  <si>
    <t xml:space="preserve">FRANCOIS</t>
  </si>
  <si>
    <t xml:space="preserve">DELAFFOND FRANCOIS</t>
  </si>
  <si>
    <t xml:space="preserve">50 AVENUE DE LA MOTTE PICQUET</t>
  </si>
  <si>
    <t xml:space="preserve">AVENUE DE LA MOTTE PICQUET</t>
  </si>
  <si>
    <t xml:space="preserve">01 47 34 93 96</t>
  </si>
  <si>
    <t xml:space="preserve">refus car ne consulte jamais son adresse mail</t>
  </si>
  <si>
    <t xml:space="preserve">https://biocodex6--c.vf.force.com/0014L00000KFZbzQAH</t>
  </si>
  <si>
    <t xml:space="preserve">https://annuairesante.ameli.fr/professionnels-de-sante/recherche/fiche-detaillee-B7c1kTIxNDO7.html</t>
  </si>
  <si>
    <t xml:space="preserve">[Timestamp('2023-07-17 14:00:00'), Timestamp('2023-12-14 15:30:00')]</t>
  </si>
  <si>
    <t xml:space="preserve">14:00-16:00</t>
  </si>
  <si>
    <t xml:space="preserve">BISROR</t>
  </si>
  <si>
    <t xml:space="preserve">VALERIE</t>
  </si>
  <si>
    <t xml:space="preserve">BISROR VALERIE</t>
  </si>
  <si>
    <t xml:space="preserve">138 RUE DE COURCELLES</t>
  </si>
  <si>
    <t xml:space="preserve">01 47 63 95 15</t>
  </si>
  <si>
    <t xml:space="preserve">https://biocodex6--c.vf.force.com/0014L00000KFTP8QAP</t>
  </si>
  <si>
    <t xml:space="preserve">https://annuairesante.ameli.fr/professionnels-de-sante/recherche/fiche-detaillee-B7c1lDEzMTC0.html</t>
  </si>
  <si>
    <t xml:space="preserve">DJABOUROV</t>
  </si>
  <si>
    <t xml:space="preserve">JEANINE</t>
  </si>
  <si>
    <t xml:space="preserve">DJABOUROV JEANINE</t>
  </si>
  <si>
    <t xml:space="preserve">4 RUE VIGEE LEBRUN</t>
  </si>
  <si>
    <t xml:space="preserve">RUE VIGEE LEBRUN</t>
  </si>
  <si>
    <t xml:space="preserve">https://biocodex6--c.vf.force.com/0014L00000KFaypQAD</t>
  </si>
  <si>
    <t xml:space="preserve">EDERY</t>
  </si>
  <si>
    <t xml:space="preserve">JOEL</t>
  </si>
  <si>
    <t xml:space="preserve">EDERY JOEL</t>
  </si>
  <si>
    <t xml:space="preserve">72 AVENUE D IENA</t>
  </si>
  <si>
    <t xml:space="preserve">01 40 69 35 89</t>
  </si>
  <si>
    <t xml:space="preserve">https://biocodex6--c.vf.force.com/0014L00000KFMZiQAP</t>
  </si>
  <si>
    <t xml:space="preserve">https://annuairesante.ameli.fr/professionnels-de-sante/recherche/fiche-detaillee-B7c1lTE5Mja0.html</t>
  </si>
  <si>
    <t xml:space="preserve">ISVY VIGNOLA</t>
  </si>
  <si>
    <t xml:space="preserve">ISVY VIGNOLA NICOLE</t>
  </si>
  <si>
    <t xml:space="preserve">TRAV</t>
  </si>
  <si>
    <t xml:space="preserve">https://biocodex6--c.vf.force.com/0014L00000KFjSsQAL</t>
  </si>
  <si>
    <t xml:space="preserve">[Timestamp('2023-08-30 15:30:00'), Timestamp('2023-12-05 16:00:00'), Timestamp('2023-12-20 14:30:00')]</t>
  </si>
  <si>
    <t xml:space="preserve">ABOULKER</t>
  </si>
  <si>
    <t xml:space="preserve">J PIERRE</t>
  </si>
  <si>
    <t xml:space="preserve">ABOULKER J PIERRE</t>
  </si>
  <si>
    <t xml:space="preserve">https://biocodex6--c.vf.force.com/0014L00000KFNkDQAX</t>
  </si>
  <si>
    <t xml:space="preserve">LAMBE</t>
  </si>
  <si>
    <t xml:space="preserve">LAMBE CECILE</t>
  </si>
  <si>
    <t xml:space="preserve">01 44 49 44 12</t>
  </si>
  <si>
    <t xml:space="preserve">https://biocodex6--c.vf.force.com/0014L00000KFkGxQAL</t>
  </si>
  <si>
    <t xml:space="preserve">GASTRO ENTÉRO</t>
  </si>
  <si>
    <t xml:space="preserve">CHEMALY PERIN</t>
  </si>
  <si>
    <t xml:space="preserve">CHEMALY PERIN NICOLE</t>
  </si>
  <si>
    <t xml:space="preserve">https://biocodex6--c.vf.force.com/0014L00000KFei4QAD</t>
  </si>
  <si>
    <t xml:space="preserve">LAPILLONNE</t>
  </si>
  <si>
    <t xml:space="preserve">LAPILLONNE ALEXANDRE</t>
  </si>
  <si>
    <t xml:space="preserve">01 71 19 61 94</t>
  </si>
  <si>
    <t xml:space="preserve">https://biocodex6--c.vf.force.com/0014L00000KFoNiQAL</t>
  </si>
  <si>
    <t xml:space="preserve">NÉONAT</t>
  </si>
  <si>
    <t xml:space="preserve">QUARTIER DIT MAIRE</t>
  </si>
  <si>
    <t xml:space="preserve">QUARTIER DIT MAIRE PIERRE</t>
  </si>
  <si>
    <t xml:space="preserve">HEMA</t>
  </si>
  <si>
    <t xml:space="preserve">01 44 49 48 24</t>
  </si>
  <si>
    <t xml:space="preserve">https://biocodex6--c.vf.force.com/0014L00000KFxHDQA1</t>
  </si>
  <si>
    <t xml:space="preserve">PELTA DULMAN</t>
  </si>
  <si>
    <t xml:space="preserve">PELTA DULMAN DOMINIQUE</t>
  </si>
  <si>
    <t xml:space="preserve">01 55 56 62 51</t>
  </si>
  <si>
    <t xml:space="preserve">dominiquepelta@gmail.com</t>
  </si>
  <si>
    <t xml:space="preserve">https://biocodex6--c.vf.force.com/0014L00000KFvCZQA1</t>
  </si>
  <si>
    <t xml:space="preserve">LAHOUEL ZAIER</t>
  </si>
  <si>
    <t xml:space="preserve">WAFA</t>
  </si>
  <si>
    <t xml:space="preserve">LAHOUEL ZAIER WAFA</t>
  </si>
  <si>
    <t xml:space="preserve">57 RUE BOISSIERE</t>
  </si>
  <si>
    <t xml:space="preserve">RUE BOISSIERE</t>
  </si>
  <si>
    <t xml:space="preserve">01 47 04 63 49 // 06 84 56 49 90</t>
  </si>
  <si>
    <t xml:space="preserve">https://biocodex6--c.vf.force.com/0014L00000KFoktQAD</t>
  </si>
  <si>
    <t xml:space="preserve">https://annuairesante.ameli.fr/professionnels-de-sante/recherche/fiche-detaillee-B7c1lTY3NjC7.html</t>
  </si>
  <si>
    <t xml:space="preserve">VITALI</t>
  </si>
  <si>
    <t xml:space="preserve">MARIE</t>
  </si>
  <si>
    <t xml:space="preserve">VITALI MARIE</t>
  </si>
  <si>
    <t xml:space="preserve">1 RUE COLLANGE</t>
  </si>
  <si>
    <t xml:space="preserve">RUE COLLANGE</t>
  </si>
  <si>
    <t xml:space="preserve">https://biocodex6--c.vf.force.com/0014L00000KG5OLQA1</t>
  </si>
  <si>
    <t xml:space="preserve">STEYAERT</t>
  </si>
  <si>
    <t xml:space="preserve">LOUIS ALBERT</t>
  </si>
  <si>
    <t xml:space="preserve">STEYAERT LOUIS ALBERT</t>
  </si>
  <si>
    <t xml:space="preserve">https://biocodex6--c.vf.force.com/0014L00000KG2BfQAL</t>
  </si>
  <si>
    <t xml:space="preserve">[Timestamp('2023-11-09 10:00:00'), Timestamp('2023-11-22 10:00:00')]</t>
  </si>
  <si>
    <t xml:space="preserve">08:00-10:00</t>
  </si>
  <si>
    <t xml:space="preserve">14;00-18;00</t>
  </si>
  <si>
    <t xml:space="preserve">09:00-0102:00</t>
  </si>
  <si>
    <t xml:space="preserve">14:00-18:00</t>
  </si>
  <si>
    <t xml:space="preserve">BOUCHEREAU</t>
  </si>
  <si>
    <t xml:space="preserve">BOUCHEREAU JULIETTE</t>
  </si>
  <si>
    <t xml:space="preserve">https://biocodex6--c.vf.force.com/0014L00000KFPk5QAH</t>
  </si>
  <si>
    <t xml:space="preserve">ROSEFORT</t>
  </si>
  <si>
    <t xml:space="preserve">ROSEFORT AUDREY</t>
  </si>
  <si>
    <t xml:space="preserve">audroz@hotmail.com</t>
  </si>
  <si>
    <t xml:space="preserve">https://biocodex6--c.vf.force.com/0014L00000KG05zQAD</t>
  </si>
  <si>
    <t xml:space="preserve">HADDAD HALIMI</t>
  </si>
  <si>
    <t xml:space="preserve">CHLOE</t>
  </si>
  <si>
    <t xml:space="preserve">HADDAD HALIMI CHLOE</t>
  </si>
  <si>
    <t xml:space="preserve">136 AVENUE ACHILLE PERETTI</t>
  </si>
  <si>
    <t xml:space="preserve">01 47 22 36 74 // 06 99 78 06 26</t>
  </si>
  <si>
    <t xml:space="preserve">https://biocodex6--c.vf.force.com/0014L00000KGEFOQA5</t>
  </si>
  <si>
    <t xml:space="preserve">https://annuairesante.ameli.fr/professionnels-de-sante/recherche/fiche-detaillee-CbA1kjc0OTC1.html</t>
  </si>
  <si>
    <t xml:space="preserve">[Timestamp('2023-08-30 13:30:00'), Timestamp('2023-12-20 13:00:00')]</t>
  </si>
  <si>
    <t xml:space="preserve">DUPONT ANDRE</t>
  </si>
  <si>
    <t xml:space="preserve">GHISLAINE</t>
  </si>
  <si>
    <t xml:space="preserve">DUPONT ANDRE GHISLAINE</t>
  </si>
  <si>
    <t xml:space="preserve">https://biocodex6--c.vf.force.com/0014L00000KFc2BQAT</t>
  </si>
  <si>
    <t xml:space="preserve">PINTO</t>
  </si>
  <si>
    <t xml:space="preserve">GRAZIELLA</t>
  </si>
  <si>
    <t xml:space="preserve">PINTO GRAZIELLA</t>
  </si>
  <si>
    <t xml:space="preserve">https://biocodex6--c.vf.force.com/0014L00000KFy1GQAT</t>
  </si>
  <si>
    <t xml:space="preserve">HANNA</t>
  </si>
  <si>
    <t xml:space="preserve">NAIM</t>
  </si>
  <si>
    <t xml:space="preserve">HANNA NAIM</t>
  </si>
  <si>
    <t xml:space="preserve">https://biocodex6--c.vf.force.com/0014L00000KGL4mQAH</t>
  </si>
  <si>
    <t xml:space="preserve">GENTILHOMME</t>
  </si>
  <si>
    <t xml:space="preserve">LUCIE</t>
  </si>
  <si>
    <t xml:space="preserve">GENTILHOMME LUCIE</t>
  </si>
  <si>
    <t xml:space="preserve">01 88 32 62 29</t>
  </si>
  <si>
    <t xml:space="preserve">https://biocodex6--c.vf.force.com/0014L00000KG7erQAD</t>
  </si>
  <si>
    <t xml:space="preserve">https://annuairesante.ameli.fr/professionnels-de-sante/recherche/fiche-detaillee-B7c1kzMwNzqw.html</t>
  </si>
  <si>
    <t xml:space="preserve">LAI</t>
  </si>
  <si>
    <t xml:space="preserve">MASSIMO</t>
  </si>
  <si>
    <t xml:space="preserve">LAI MASSIMO</t>
  </si>
  <si>
    <t xml:space="preserve">81 AVENUE MARCEAU</t>
  </si>
  <si>
    <t xml:space="preserve">AVENUE MARCEAU</t>
  </si>
  <si>
    <t xml:space="preserve">https://biocodex6--c.vf.force.com/0014L00000KFlhKQAT</t>
  </si>
  <si>
    <t xml:space="preserve">CRÉATION</t>
  </si>
  <si>
    <t xml:space="preserve">BECHARD DE SPIRLET</t>
  </si>
  <si>
    <t xml:space="preserve">BECHARD DE SPIRLET MARINA</t>
  </si>
  <si>
    <t xml:space="preserve">01 40 89 31 22</t>
  </si>
  <si>
    <t xml:space="preserve">https://biocodex6--c.vf.force.com/0014L00000KFXLZQA5</t>
  </si>
  <si>
    <t xml:space="preserve">https://annuairesante.ameli.fr/professionnels-de-sante/recherche/fiche-detaillee-CbA1lTMwMDS3.html</t>
  </si>
  <si>
    <t xml:space="preserve">08:00-12:30(R)</t>
  </si>
  <si>
    <t xml:space="preserve">DUPONT</t>
  </si>
  <si>
    <t xml:space="preserve">DUPONT CHRISTINE</t>
  </si>
  <si>
    <t xml:space="preserve">6 AVENUE DE TOURVILLE</t>
  </si>
  <si>
    <t xml:space="preserve">AVENUE DE TOURVILLE</t>
  </si>
  <si>
    <t xml:space="preserve">https://biocodex6--c.vf.force.com/0014L00000KFZWNQA5</t>
  </si>
  <si>
    <t xml:space="preserve">LAHANA</t>
  </si>
  <si>
    <t xml:space="preserve">ARMAND</t>
  </si>
  <si>
    <t xml:space="preserve">LAHANA ARMAND</t>
  </si>
  <si>
    <t xml:space="preserve">01 46 41 27 67 // 01 42 27 92 00</t>
  </si>
  <si>
    <t xml:space="preserve">https://biocodex6--c.vf.force.com/0014L00000KGBl0QAH</t>
  </si>
  <si>
    <t xml:space="preserve">https://annuairesante.ameli.fr/professionnels-de-sante/recherche/fiche-detaillee-B7c1kjs2OTC2.html</t>
  </si>
  <si>
    <t xml:space="preserve">14:00-18:30(?)</t>
  </si>
  <si>
    <t xml:space="preserve">BELKAID</t>
  </si>
  <si>
    <t xml:space="preserve">CELENA</t>
  </si>
  <si>
    <t xml:space="preserve">BELKAID CELENA</t>
  </si>
  <si>
    <t xml:space="preserve">https://biocodex6--c.vf.force.com/0014L00000KGLPIQA5</t>
  </si>
  <si>
    <t xml:space="preserve">SEBEYRAN</t>
  </si>
  <si>
    <t xml:space="preserve">SEBEYRAN ANNE</t>
  </si>
  <si>
    <t xml:space="preserve">HÔP MARMOTTAN</t>
  </si>
  <si>
    <t xml:space="preserve">17 RUE D ARMAILLE</t>
  </si>
  <si>
    <t xml:space="preserve">RUE D ARMAILLE</t>
  </si>
  <si>
    <t xml:space="preserve">01 56 68 70 13</t>
  </si>
  <si>
    <t xml:space="preserve">https://biocodex6--c.vf.force.com/0014L00000KG0mTQAT</t>
  </si>
  <si>
    <t xml:space="preserve">GADEYNE</t>
  </si>
  <si>
    <t xml:space="preserve">GADEYNE BRIGITTE</t>
  </si>
  <si>
    <t xml:space="preserve">29 RUE ST DIDIER</t>
  </si>
  <si>
    <t xml:space="preserve">RUE ST DIDIER</t>
  </si>
  <si>
    <t xml:space="preserve">01 45 65 87 14</t>
  </si>
  <si>
    <t xml:space="preserve">D6</t>
  </si>
  <si>
    <t xml:space="preserve">https://biocodex6--c.vf.force.com/0014L00000KFcRlQAL</t>
  </si>
  <si>
    <t xml:space="preserve">ROSE</t>
  </si>
  <si>
    <t xml:space="preserve">MATHILDE</t>
  </si>
  <si>
    <t xml:space="preserve">ROSE MATHILDE</t>
  </si>
  <si>
    <t xml:space="preserve">https://biocodex6--c.vf.force.com/0014L00000KJ93GQAT</t>
  </si>
  <si>
    <t xml:space="preserve">BELATRECHE</t>
  </si>
  <si>
    <t xml:space="preserve">LYDIA</t>
  </si>
  <si>
    <t xml:space="preserve">BELATRECHE LYDIA</t>
  </si>
  <si>
    <t xml:space="preserve">CHIR ESTH</t>
  </si>
  <si>
    <t xml:space="preserve">10 RUE DU LAOS</t>
  </si>
  <si>
    <t xml:space="preserve">01 43 31 57 24</t>
  </si>
  <si>
    <t xml:space="preserve">https://biocodex6--c.vf.force.com/0014L00000KGEJ9QAP</t>
  </si>
  <si>
    <t xml:space="preserve">ALRIC</t>
  </si>
  <si>
    <t xml:space="preserve">HADRIEN</t>
  </si>
  <si>
    <t xml:space="preserve">ALRIC HADRIEN</t>
  </si>
  <si>
    <t xml:space="preserve">https://biocodex6--c.vf.force.com/0014L00000KGGVEQA5</t>
  </si>
  <si>
    <t xml:space="preserve">MARTIN</t>
  </si>
  <si>
    <t xml:space="preserve">GABRIELLE MARIE</t>
  </si>
  <si>
    <t xml:space="preserve">MARTIN GABRIELLE MARIE</t>
  </si>
  <si>
    <t xml:space="preserve">https://biocodex6--c.vf.force.com/0014L00000KGGd9QAH</t>
  </si>
  <si>
    <t xml:space="preserve">BENADJAOUD</t>
  </si>
  <si>
    <t xml:space="preserve">YASMINE</t>
  </si>
  <si>
    <t xml:space="preserve">BENADJAOUD YASMINE</t>
  </si>
  <si>
    <t xml:space="preserve">01 44 49 43 44</t>
  </si>
  <si>
    <t xml:space="preserve">https://biocodex6--c.vf.force.com/0014L00000fcHArQAM</t>
  </si>
  <si>
    <t xml:space="preserve">LEQUOY</t>
  </si>
  <si>
    <t xml:space="preserve">LEQUOY MARIE AMELIE</t>
  </si>
  <si>
    <t xml:space="preserve">https://biocodex6--c.vf.force.com/0014L00000bNS64QAG</t>
  </si>
  <si>
    <t xml:space="preserve">MIFSUD</t>
  </si>
  <si>
    <t xml:space="preserve">REMI</t>
  </si>
  <si>
    <t xml:space="preserve">MIFSUD REMI</t>
  </si>
  <si>
    <t xml:space="preserve">3 RUE BALNY D AVRICOURT</t>
  </si>
  <si>
    <t xml:space="preserve">RUE BALNY D AVRICOURT</t>
  </si>
  <si>
    <t xml:space="preserve">01 43 80 71 05</t>
  </si>
  <si>
    <t xml:space="preserve">https://biocodex6--c.vf.force.com/0014L00000KFrs6QAD</t>
  </si>
  <si>
    <t xml:space="preserve">NUMÉRO NON ATTRIBUÉ – PAS D’AUTRE</t>
  </si>
  <si>
    <t xml:space="preserve">OKAMBA BELLE</t>
  </si>
  <si>
    <t xml:space="preserve">DIANA</t>
  </si>
  <si>
    <t xml:space="preserve">OKAMBA BELLE DIANA</t>
  </si>
  <si>
    <t xml:space="preserve">01 56 09 33 11</t>
  </si>
  <si>
    <t xml:space="preserve">https://biocodex6--c.vf.force.com/0014L00000KGI2VQAX</t>
  </si>
  <si>
    <t xml:space="preserve">LE</t>
  </si>
  <si>
    <t xml:space="preserve">SEBASTIEN</t>
  </si>
  <si>
    <t xml:space="preserve">LE SEBASTIEN</t>
  </si>
  <si>
    <t xml:space="preserve">01 88 61 48 20</t>
  </si>
  <si>
    <t xml:space="preserve">https://biocodex6--c.vf.force.com/0014L00000KGI5iQAH</t>
  </si>
  <si>
    <t xml:space="preserve">BEN NASR</t>
  </si>
  <si>
    <t xml:space="preserve">MEHDI</t>
  </si>
  <si>
    <t xml:space="preserve">BEN NASR MEHDI</t>
  </si>
  <si>
    <t xml:space="preserve">https://biocodex6--c.vf.force.com/0014L00000eecORQAY</t>
  </si>
  <si>
    <t xml:space="preserve">JUNG HAMOUDE</t>
  </si>
  <si>
    <t xml:space="preserve">SOLANGE</t>
  </si>
  <si>
    <t xml:space="preserve">JUNG HAMOUDE SOLANGE</t>
  </si>
  <si>
    <t xml:space="preserve">30 AVENUE DES CHAMPS ELYSEES</t>
  </si>
  <si>
    <t xml:space="preserve">01 43 70 28 28 // 01 43 22 85 90</t>
  </si>
  <si>
    <t xml:space="preserve">https://biocodex6--c.vf.force.com/0014L00000KFhm0QAD</t>
  </si>
  <si>
    <t xml:space="preserve">https://annuairesante.ameli.fr/professionnels-de-sante/recherche/fiche-detaillee-B7c1kjIzMDu6.html</t>
  </si>
  <si>
    <t xml:space="preserve">JOCHIMEK CHOLAL</t>
  </si>
  <si>
    <t xml:space="preserve">FRANCINE</t>
  </si>
  <si>
    <t xml:space="preserve">JOCHIMEK CHOLAL FRANCINE</t>
  </si>
  <si>
    <t xml:space="preserve">CAB MÉD R POINCARÉ</t>
  </si>
  <si>
    <t xml:space="preserve">76 AVENUE RAYMOND POINCARE</t>
  </si>
  <si>
    <t xml:space="preserve">AVENUE RAYMOND POINCARE</t>
  </si>
  <si>
    <t xml:space="preserve">01 46 22 47 90</t>
  </si>
  <si>
    <t xml:space="preserve">refus</t>
  </si>
  <si>
    <t xml:space="preserve">https://biocodex6--c.vf.force.com/0014L00000KFjzuQAD</t>
  </si>
  <si>
    <t xml:space="preserve">https://annuairesante.ameli.fr/professionnels-de-sante/recherche/fiche-detaillee-B7c1ljM1ODe3.html</t>
  </si>
  <si>
    <t xml:space="preserve">SAUVAGE RIGAL</t>
  </si>
  <si>
    <t xml:space="preserve">SAUVAGE RIGAL SOPHIE</t>
  </si>
  <si>
    <t xml:space="preserve">1 RUE OLIVIER DE SERRES</t>
  </si>
  <si>
    <t xml:space="preserve">RUE OLIVIER DE SERRES</t>
  </si>
  <si>
    <t xml:space="preserve">01 45 33 44 68</t>
  </si>
  <si>
    <t xml:space="preserve">https://biocodex6--c.vf.force.com/0014L00000KG2UrQAL</t>
  </si>
  <si>
    <t xml:space="preserve">https://annuairesante.ameli.fr/professionnels-de-sante/recherche/fiche-detaillee-B7c1mzYyNDS3.html</t>
  </si>
  <si>
    <t xml:space="preserve">BELLIS CHAHIM</t>
  </si>
  <si>
    <t xml:space="preserve">MARYAM</t>
  </si>
  <si>
    <t xml:space="preserve">BELLIS CHAHIM MARYAM</t>
  </si>
  <si>
    <t xml:space="preserve">152 RUE DE JAVEL</t>
  </si>
  <si>
    <t xml:space="preserve">RUE DE JAVEL</t>
  </si>
  <si>
    <t xml:space="preserve">01 40 60 00 93</t>
  </si>
  <si>
    <t xml:space="preserve">https://biocodex6--c.vf.force.com/0014L00000KFVwkQAH</t>
  </si>
  <si>
    <t xml:space="preserve">https://annuairesante.ameli.fr/professionnels-de-sante/recherche/fiche-detaillee-B7c1ljU1Mja6.html</t>
  </si>
  <si>
    <t xml:space="preserve">JAULT</t>
  </si>
  <si>
    <t xml:space="preserve">JAULT ELISABETH</t>
  </si>
  <si>
    <t xml:space="preserve">CDS ST-JACQUES</t>
  </si>
  <si>
    <t xml:space="preserve">37 RUE DES VOLONTAIRES</t>
  </si>
  <si>
    <t xml:space="preserve">RUE DES VOLONTAIRES</t>
  </si>
  <si>
    <t xml:space="preserve">01 53 58 40 80</t>
  </si>
  <si>
    <t xml:space="preserve">https://biocodex6--c.vf.force.com/0014L00000KFjoWQAT</t>
  </si>
  <si>
    <t xml:space="preserve">KHEFACHA</t>
  </si>
  <si>
    <t xml:space="preserve">AHMED</t>
  </si>
  <si>
    <t xml:space="preserve">KHEFACHA AHMED</t>
  </si>
  <si>
    <t xml:space="preserve">01 46 39 89 99</t>
  </si>
  <si>
    <t xml:space="preserve">https://biocodex6--c.vf.force.com/0014L00000KFhvmQAD</t>
  </si>
  <si>
    <t xml:space="preserve">https://annuairesante.ameli.fr/professionnels-de-sante/recherche/fiche-detaillee-CbA1kzo1ODS1.html</t>
  </si>
  <si>
    <t xml:space="preserve">DE QUINCEROT</t>
  </si>
  <si>
    <t xml:space="preserve">DE QUINCEROT ANNE CHARLOTTE</t>
  </si>
  <si>
    <t xml:space="preserve">27 RUE BLOMET</t>
  </si>
  <si>
    <t xml:space="preserve">01 45 31 81 30</t>
  </si>
  <si>
    <t xml:space="preserve">https://biocodex6--c.vf.force.com/0014L00000KFNbvQAH</t>
  </si>
  <si>
    <t xml:space="preserve">https://annuairesante.ameli.fr/professionnels-de-sante/recherche/fiche-detaillee-B7c1mzYwMju3.html</t>
  </si>
  <si>
    <t xml:space="preserve">SOUFFLET</t>
  </si>
  <si>
    <t xml:space="preserve">SOUFFLET CHRISTINE</t>
  </si>
  <si>
    <t xml:space="preserve">PHYSIO</t>
  </si>
  <si>
    <t xml:space="preserve">01 44 49 50 57</t>
  </si>
  <si>
    <t xml:space="preserve">https://biocodex6--c.vf.force.com/0014L00000KG1wdQAD</t>
  </si>
  <si>
    <t xml:space="preserve">LAPEYRE PROST</t>
  </si>
  <si>
    <t xml:space="preserve">ALEXANDRA</t>
  </si>
  <si>
    <t xml:space="preserve">LAPEYRE PROST ALEXANDRA</t>
  </si>
  <si>
    <t xml:space="preserve">04 91 22 35 68</t>
  </si>
  <si>
    <t xml:space="preserve">https://biocodex6--c.vf.force.com/0014L00000KFPRwQAP</t>
  </si>
  <si>
    <t xml:space="preserve">SZEJNER GUEZ</t>
  </si>
  <si>
    <t xml:space="preserve">ANNIE</t>
  </si>
  <si>
    <t xml:space="preserve">SZEJNER GUEZ ANNIE</t>
  </si>
  <si>
    <t xml:space="preserve">https://biocodex6--c.vf.force.com/0014L00000KG2PyQAL</t>
  </si>
  <si>
    <t xml:space="preserve">[Timestamp('2024-02-19 12:00:00'), Timestamp('2024-06-17 17:00:00')]</t>
  </si>
  <si>
    <t xml:space="preserve">PENNAMEN</t>
  </si>
  <si>
    <t xml:space="preserve">ELODIE</t>
  </si>
  <si>
    <t xml:space="preserve">PENNAMEN ELODIE</t>
  </si>
  <si>
    <t xml:space="preserve">https://biocodex6--c.vf.force.com/0014L00000KFvZQQA1</t>
  </si>
  <si>
    <t xml:space="preserve">[Timestamp('2023-11-10 12:00:00'), Timestamp('2024-01-18 15:30:00'), Timestamp('2024-05-13 13:00:00')]</t>
  </si>
  <si>
    <t xml:space="preserve">SCEMAMA</t>
  </si>
  <si>
    <t xml:space="preserve">RENE</t>
  </si>
  <si>
    <t xml:space="preserve">SCEMAMA RENE</t>
  </si>
  <si>
    <t xml:space="preserve">68 RUE DUTOT</t>
  </si>
  <si>
    <t xml:space="preserve">RUE DUTOT</t>
  </si>
  <si>
    <t xml:space="preserve">01 45 66 69 80</t>
  </si>
  <si>
    <t xml:space="preserve">https://biocodex6--c.vf.force.com/0014L00000KG0iCQAT</t>
  </si>
  <si>
    <t xml:space="preserve">https://annuairesante.ameli.fr/professionnels-de-sante/recherche/fiche-detaillee-B7c1kTMxMzKz.html</t>
  </si>
  <si>
    <t xml:space="preserve">SAADI</t>
  </si>
  <si>
    <t xml:space="preserve">SAADI ALEXANDRE</t>
  </si>
  <si>
    <t xml:space="preserve">01 56 09 33 55</t>
  </si>
  <si>
    <t xml:space="preserve">ROBEY LELIEVRE</t>
  </si>
  <si>
    <t xml:space="preserve">ROBEY LELIEVRE FRANCOISE</t>
  </si>
  <si>
    <t xml:space="preserve">n a pas de mail pro</t>
  </si>
  <si>
    <t xml:space="preserve">https://biocodex6--c.vf.force.com/0014L00000KFyrOQAT</t>
  </si>
  <si>
    <t xml:space="preserve">[Timestamp('2023-07-17 16:30:00'), Timestamp('2023-12-14 14:00:00')]</t>
  </si>
  <si>
    <t xml:space="preserve">REPRODUCTION</t>
  </si>
  <si>
    <t xml:space="preserve">JOLLY PAUL</t>
  </si>
  <si>
    <t xml:space="preserve">GUNITA</t>
  </si>
  <si>
    <t xml:space="preserve">JOLLY PAUL GUNITA</t>
  </si>
  <si>
    <t xml:space="preserve">https://biocodex6--c.vf.force.com/0014L00000KFhNJQA1</t>
  </si>
  <si>
    <t xml:space="preserve">BERREBI</t>
  </si>
  <si>
    <t xml:space="preserve">BERREBI DOMINIQUE</t>
  </si>
  <si>
    <t xml:space="preserve">https://biocodex6--c.vf.force.com/0014L00000KFT1nQAH</t>
  </si>
  <si>
    <t xml:space="preserve">SENNEPIN</t>
  </si>
  <si>
    <t xml:space="preserve">PATRICE</t>
  </si>
  <si>
    <t xml:space="preserve">SENNEPIN PATRICE</t>
  </si>
  <si>
    <t xml:space="preserve">129 RUE DANTON</t>
  </si>
  <si>
    <t xml:space="preserve">RUE DANTON</t>
  </si>
  <si>
    <t xml:space="preserve">01 47 57 35 91</t>
  </si>
  <si>
    <t xml:space="preserve">https://biocodex6--c.vf.force.com/0014L00000KG1DbQAL</t>
  </si>
  <si>
    <t xml:space="preserve">https://annuairesante.ameli.fr/professionnels-de-sante/recherche/fiche-detaillee-CbA1kzM0MDW1.html</t>
  </si>
  <si>
    <t xml:space="preserve">09:15-11:30(R)</t>
  </si>
  <si>
    <t xml:space="preserve">TORTOLANI GALEPIDES</t>
  </si>
  <si>
    <t xml:space="preserve">PATRICIA</t>
  </si>
  <si>
    <t xml:space="preserve">TORTOLANI GALEPIDES PATRICIA</t>
  </si>
  <si>
    <t xml:space="preserve">https://biocodex6--c.vf.force.com/0014L00000KG3VSQA1</t>
  </si>
  <si>
    <t xml:space="preserve">[Timestamp('2023-08-30 10:00:00'), Timestamp('2023-12-20 09:30:00')]</t>
  </si>
  <si>
    <t xml:space="preserve">SERMET GAUDELUS</t>
  </si>
  <si>
    <t xml:space="preserve">SERMET GAUDELUS ISABELLE</t>
  </si>
  <si>
    <t xml:space="preserve">https://biocodex6--c.vf.force.com/0014L00000KG11sQAD</t>
  </si>
  <si>
    <t xml:space="preserve">SOUDEE MAYER</t>
  </si>
  <si>
    <t xml:space="preserve">SOUDEE MAYER SOPHIE</t>
  </si>
  <si>
    <t xml:space="preserve">30 RUE RASPAIL</t>
  </si>
  <si>
    <t xml:space="preserve">RUE RASPAIL</t>
  </si>
  <si>
    <t xml:space="preserve">09 73 05 56 03</t>
  </si>
  <si>
    <t xml:space="preserve">sophie.soudee.mayer@gmail.com</t>
  </si>
  <si>
    <t xml:space="preserve">https://biocodex6--c.vf.force.com/0014L00000KFlWhQAL</t>
  </si>
  <si>
    <t xml:space="preserve">https://annuairesante.ameli.fr/professionnels-de-sante/recherche/fiche-detaillee-CbA1kjEwMjqw.html</t>
  </si>
  <si>
    <t xml:space="preserve">KEFELIAN</t>
  </si>
  <si>
    <t xml:space="preserve">FLEUR</t>
  </si>
  <si>
    <t xml:space="preserve">KEFELIAN FLEUR</t>
  </si>
  <si>
    <t xml:space="preserve">80 AVENUE PAUL DOUMER</t>
  </si>
  <si>
    <t xml:space="preserve">AVENUE PAUL DOUMER</t>
  </si>
  <si>
    <t xml:space="preserve">01 47 27 55 55 // 06 69 11 93 08</t>
  </si>
  <si>
    <t xml:space="preserve">https://biocodex6--c.vf.force.com/0014L00000KFOY3QAP</t>
  </si>
  <si>
    <t xml:space="preserve">https://annuairesante.ameli.fr/professionnels-de-sante/recherche/fiche-detaillee-B7c1kjUwOTSy.html</t>
  </si>
  <si>
    <t xml:space="preserve">08:30-13:35(R)</t>
  </si>
  <si>
    <t xml:space="preserve">YAMGNANE KIRSCH</t>
  </si>
  <si>
    <t xml:space="preserve">AMINA</t>
  </si>
  <si>
    <t xml:space="preserve">YAMGNANE KIRSCH AMINA</t>
  </si>
  <si>
    <t xml:space="preserve">01 44 25 00 00</t>
  </si>
  <si>
    <t xml:space="preserve">amina.yam17@gmail.com</t>
  </si>
  <si>
    <t xml:space="preserve">https://biocodex6--c.vf.force.com/0014L00000KG6n9QAD</t>
  </si>
  <si>
    <t xml:space="preserve">SERVAIS</t>
  </si>
  <si>
    <t xml:space="preserve">SERVAIS ANNIE</t>
  </si>
  <si>
    <t xml:space="preserve">https://biocodex6--c.vf.force.com/0014L00000KG1KKQA1</t>
  </si>
  <si>
    <t xml:space="preserve">[Timestamp('2023-09-07 11:00:00'), Timestamp('2024-01-18 10:00:00')]</t>
  </si>
  <si>
    <t xml:space="preserve">09:00-12:00</t>
  </si>
  <si>
    <t xml:space="preserve">SANANES</t>
  </si>
  <si>
    <t xml:space="preserve">SANANES SERGE</t>
  </si>
  <si>
    <t xml:space="preserve">01 40 72 33 57 // 01 53 70 43 20</t>
  </si>
  <si>
    <t xml:space="preserve">https://biocodex6--c.vf.force.com/0014L00000KG0N8QAL</t>
  </si>
  <si>
    <t xml:space="preserve">https://annuairesante.ameli.fr/professionnels-de-sante/recherche/fiche-detaillee-B7c1lTM0NDaw.html</t>
  </si>
  <si>
    <t xml:space="preserve">14:00-17:00(?)</t>
  </si>
  <si>
    <t xml:space="preserve">BABCHIA</t>
  </si>
  <si>
    <t xml:space="preserve">HABIB</t>
  </si>
  <si>
    <t xml:space="preserve">BABCHIA HABIB</t>
  </si>
  <si>
    <t xml:space="preserve">2 RUE CAMILLE PELLETAN</t>
  </si>
  <si>
    <t xml:space="preserve">RUE CAMILLE PELLETAN</t>
  </si>
  <si>
    <t xml:space="preserve">https://biocodex6--c.vf.force.com/0014L00000KFRChQAP</t>
  </si>
  <si>
    <t xml:space="preserve">PHILIPPE OLIVIER</t>
  </si>
  <si>
    <t xml:space="preserve">01 46 41 27 67</t>
  </si>
  <si>
    <t xml:space="preserve">https://biocodex6--c.vf.force.com/0014L00000KFvquQAD</t>
  </si>
  <si>
    <t xml:space="preserve">LATRACHE</t>
  </si>
  <si>
    <t xml:space="preserve">SOFYA</t>
  </si>
  <si>
    <t xml:space="preserve">LATRACHE SOFYA</t>
  </si>
  <si>
    <t xml:space="preserve">01 47 59 55 12</t>
  </si>
  <si>
    <t xml:space="preserve">https://biocodex6--c.vf.force.com/0014L00000KGAznQAH</t>
  </si>
  <si>
    <t xml:space="preserve">SUSSFELD</t>
  </si>
  <si>
    <t xml:space="preserve">SUSSFELD JULIE</t>
  </si>
  <si>
    <t xml:space="preserve">https://biocodex6--c.vf.force.com/0014L00000KG9fLQAT</t>
  </si>
  <si>
    <t xml:space="preserve">AISSAOUI</t>
  </si>
  <si>
    <t xml:space="preserve">SADYA</t>
  </si>
  <si>
    <t xml:space="preserve">AISSAOUI SADYA</t>
  </si>
  <si>
    <t xml:space="preserve">138 AVENUE DE SUFFREN</t>
  </si>
  <si>
    <t xml:space="preserve">AVENUE DE SUFFREN</t>
  </si>
  <si>
    <t xml:space="preserve">01 47 53 00 88</t>
  </si>
  <si>
    <t xml:space="preserve">sadyaaissaoui@gmail.com</t>
  </si>
  <si>
    <t xml:space="preserve">https://biocodex6--c.vf.force.com/0014L00000KFQ3PQAX</t>
  </si>
  <si>
    <t xml:space="preserve">https://annuairesante.ameli.fr/professionnels-de-sante/recherche/fiche-detaillee-B7c1lzo0MzO0.html</t>
  </si>
  <si>
    <t xml:space="preserve">12:00-14:00(R)</t>
  </si>
  <si>
    <t xml:space="preserve">LOGE</t>
  </si>
  <si>
    <t xml:space="preserve">LOGE ISABELLE</t>
  </si>
  <si>
    <t xml:space="preserve">https://biocodex6--c.vf.force.com/0014L00000KFMQVQA5</t>
  </si>
  <si>
    <t xml:space="preserve">WEYMULLER</t>
  </si>
  <si>
    <t xml:space="preserve">VICTOIRE</t>
  </si>
  <si>
    <t xml:space="preserve">WEYMULLER VICTOIRE</t>
  </si>
  <si>
    <t xml:space="preserve">https://biocodex6--c.vf.force.com/0014L00000KFPP8QAP</t>
  </si>
  <si>
    <t xml:space="preserve">MANSOUR OBEID</t>
  </si>
  <si>
    <t xml:space="preserve">VIOLETTE</t>
  </si>
  <si>
    <t xml:space="preserve">MANSOUR OBEID VIOLETTE</t>
  </si>
  <si>
    <t xml:space="preserve">2 RUE CHARLES MARIE WIDOR</t>
  </si>
  <si>
    <t xml:space="preserve">RUE CHARLES MARIE WIDOR</t>
  </si>
  <si>
    <t xml:space="preserve">09 53 34 95 40</t>
  </si>
  <si>
    <t xml:space="preserve">https://biocodex6--c.vf.force.com/0014L00000KFugAQAT</t>
  </si>
  <si>
    <t xml:space="preserve">HAIDAR</t>
  </si>
  <si>
    <t xml:space="preserve">ASSAAD</t>
  </si>
  <si>
    <t xml:space="preserve">HAIDAR ASSAAD</t>
  </si>
  <si>
    <t xml:space="preserve">https://biocodex6--c.vf.force.com/0014L00000KFi3aQAD</t>
  </si>
  <si>
    <t xml:space="preserve">8-12</t>
  </si>
  <si>
    <t xml:space="preserve">13-18</t>
  </si>
  <si>
    <t xml:space="preserve">ROBICHON GHARSALI</t>
  </si>
  <si>
    <t xml:space="preserve">FATIHA</t>
  </si>
  <si>
    <t xml:space="preserve">ROBICHON GHARSALI FATIHA</t>
  </si>
  <si>
    <t xml:space="preserve">CPMI SECHE</t>
  </si>
  <si>
    <t xml:space="preserve">2 RUE LEON SECHE</t>
  </si>
  <si>
    <t xml:space="preserve">RUE LEON SECHE</t>
  </si>
  <si>
    <t xml:space="preserve">PMI</t>
  </si>
  <si>
    <t xml:space="preserve">DUMITRESCU</t>
  </si>
  <si>
    <t xml:space="preserve">MADALINA ANDREA</t>
  </si>
  <si>
    <t xml:space="preserve">DUMITRESCU MADALINA ANDREA</t>
  </si>
  <si>
    <t xml:space="preserve">dr.andreea.mada.dumitrescu@gmail.com</t>
  </si>
  <si>
    <t xml:space="preserve">https://biocodex6--c.vf.force.com/0014L00000KFZTWQA5</t>
  </si>
  <si>
    <t xml:space="preserve">37 RUE DE MIROMESNIL</t>
  </si>
  <si>
    <t xml:space="preserve">01 42 65 06 74</t>
  </si>
  <si>
    <t xml:space="preserve">D3</t>
  </si>
  <si>
    <t xml:space="preserve">LEYDIER</t>
  </si>
  <si>
    <t xml:space="preserve">LEYDIER ANTOINE</t>
  </si>
  <si>
    <t xml:space="preserve">10 RUE GEORGES VILLE</t>
  </si>
  <si>
    <t xml:space="preserve">RUE GEORGES VILLE</t>
  </si>
  <si>
    <t xml:space="preserve">01 45 00 41 07</t>
  </si>
  <si>
    <t xml:space="preserve">D8</t>
  </si>
  <si>
    <t xml:space="preserve">https://biocodex6--c.vf.force.com/0014L00000KFoRZQA1</t>
  </si>
  <si>
    <t xml:space="preserve">?</t>
  </si>
  <si>
    <t xml:space="preserve">CALL &gt; 05/02/24</t>
  </si>
  <si>
    <t xml:space="preserve">SOULAN</t>
  </si>
  <si>
    <t xml:space="preserve">CLARISSE</t>
  </si>
  <si>
    <t xml:space="preserve">SOULAN CLARISSE</t>
  </si>
  <si>
    <t xml:space="preserve">01 45 65 61 04</t>
  </si>
  <si>
    <t xml:space="preserve">D2</t>
  </si>
  <si>
    <t xml:space="preserve">https://biocodex6--c.vf.force.com/0014L00000KG9oDQAT</t>
  </si>
  <si>
    <t xml:space="preserve">POJIDAEVA</t>
  </si>
  <si>
    <t xml:space="preserve">IANINA</t>
  </si>
  <si>
    <t xml:space="preserve">POJIDAEVA IANINA</t>
  </si>
  <si>
    <t xml:space="preserve">HDJ LAMARTINE</t>
  </si>
  <si>
    <t xml:space="preserve">2 SQUARE LAMARTINE</t>
  </si>
  <si>
    <t xml:space="preserve">SQUARE LAMARTINE</t>
  </si>
  <si>
    <t xml:space="preserve">01 45 65 61 06</t>
  </si>
  <si>
    <t xml:space="preserve">https://biocodex6--c.vf.force.com/0014L00000KFxAoQAL</t>
  </si>
  <si>
    <t xml:space="preserve">OUAZANA</t>
  </si>
  <si>
    <t xml:space="preserve">OUAZANA MARION</t>
  </si>
  <si>
    <t xml:space="preserve">INS MÉD DE FERTILITÉ</t>
  </si>
  <si>
    <t xml:space="preserve">4 SQUARE THIERS</t>
  </si>
  <si>
    <t xml:space="preserve">RUE DAVIOUD</t>
  </si>
  <si>
    <t xml:space="preserve">01 87 44 67 77 // 06 22 71 59 76</t>
  </si>
  <si>
    <t xml:space="preserve">https://biocodex6--c.vf.force.com/0014L00000KGBH5QAP</t>
  </si>
  <si>
    <t xml:space="preserve">https://annuairesante.ameli.fr/professionnels-de-sante/recherche/fiche-detaillee-B7c1lTYwNDu1.html</t>
  </si>
  <si>
    <t xml:space="preserve">14:00-19:30(?)</t>
  </si>
  <si>
    <t xml:space="preserve">RICCHI</t>
  </si>
  <si>
    <t xml:space="preserve">SARAH</t>
  </si>
  <si>
    <t xml:space="preserve">RICCHI SARAH</t>
  </si>
  <si>
    <t xml:space="preserve">21 RUE MONTROSIER</t>
  </si>
  <si>
    <t xml:space="preserve">RUE MONTROSIER</t>
  </si>
  <si>
    <t xml:space="preserve">01 77 37 59 34 // 01 80 27 54 29</t>
  </si>
  <si>
    <t xml:space="preserve">https://annuairesante.ameli.fr/professionnels-de-sante/recherche/fiche-detaillee-B7c1mzcyNTa6.html</t>
  </si>
  <si>
    <t xml:space="preserve">DOUCHET</t>
  </si>
  <si>
    <t xml:space="preserve">DOUCHET MARC</t>
  </si>
  <si>
    <t xml:space="preserve">55 AVENUE DE BRETEUIL</t>
  </si>
  <si>
    <t xml:space="preserve">AVENUE DE BRETEUIL</t>
  </si>
  <si>
    <t xml:space="preserve">01 45 67 80 38</t>
  </si>
  <si>
    <t xml:space="preserve">https://biocodex6--c.vf.force.com/0014L00000KFbDsQAL</t>
  </si>
  <si>
    <t xml:space="preserve">https://annuairesante.ameli.fr/professionnels-de-sante/recherche/fiche-detaillee-B7c1ljI1Mjew.html</t>
  </si>
  <si>
    <t xml:space="preserve">RETRAITE PROCHE</t>
  </si>
  <si>
    <t xml:space="preserve">AZOULAY JACQUES</t>
  </si>
  <si>
    <t xml:space="preserve">https://biocodex6--c.vf.force.com/0014L00000KFRBdQAP</t>
  </si>
  <si>
    <t xml:space="preserve">BAZIN BORLOO</t>
  </si>
  <si>
    <t xml:space="preserve">JEANNE MARIE</t>
  </si>
  <si>
    <t xml:space="preserve">BAZIN BORLOO JEANNE MARIE</t>
  </si>
  <si>
    <t xml:space="preserve">97 AVENUE VICTOR HUGO</t>
  </si>
  <si>
    <t xml:space="preserve">01 47 27 85 02</t>
  </si>
  <si>
    <t xml:space="preserve">drjmbb1@aol.com</t>
  </si>
  <si>
    <t xml:space="preserve">https://biocodex6--c.vf.force.com/0014L00000KFS70QAH</t>
  </si>
  <si>
    <t xml:space="preserve">[Timestamp('2023-07-05 15:30:00'), Timestamp('2023-07-21 11:20:00')]</t>
  </si>
  <si>
    <t xml:space="preserve">YANG</t>
  </si>
  <si>
    <t xml:space="preserve">YANG DAVID</t>
  </si>
  <si>
    <t xml:space="preserve">12 PLACE DU COMMERCE</t>
  </si>
  <si>
    <t xml:space="preserve">PLACE DU COMMERCE</t>
  </si>
  <si>
    <t xml:space="preserve">09 52 95 58 95</t>
  </si>
  <si>
    <t xml:space="preserve">https://biocodex6--c.vf.force.com/0014L00000KHYwrQAH</t>
  </si>
  <si>
    <t xml:space="preserve">https://annuairesante.ameli.fr/professionnels-de-sante/recherche/fiche-detaillee-B7c1kjs4NTS3.html</t>
  </si>
  <si>
    <t xml:space="preserve">HAFLIGER</t>
  </si>
  <si>
    <t xml:space="preserve">EMILIE</t>
  </si>
  <si>
    <t xml:space="preserve">HAFLIGER EMILIE</t>
  </si>
  <si>
    <t xml:space="preserve">01 56 09 35 51</t>
  </si>
  <si>
    <t xml:space="preserve">https://biocodex6--c.vf.force.com/0014L00000KGFvxQAH</t>
  </si>
  <si>
    <t xml:space="preserve">MAGNIER</t>
  </si>
  <si>
    <t xml:space="preserve">BERTRAND</t>
  </si>
  <si>
    <t xml:space="preserve">MAGNIER BERTRAND</t>
  </si>
  <si>
    <t xml:space="preserve">12 RUE PAUL HERVIEU</t>
  </si>
  <si>
    <t xml:space="preserve">RUE PAUL HERVIEU</t>
  </si>
  <si>
    <t xml:space="preserve">01 45 77 68 79 // 01 45 75 81 48</t>
  </si>
  <si>
    <t xml:space="preserve">https://biocodex6--c.vf.force.com/0014L00000KFpH6QAL</t>
  </si>
  <si>
    <t xml:space="preserve">https://annuairesante.ameli.fr/professionnels-de-sante/recherche/fiche-detaillee-B7c1lzc5ODKy.html</t>
  </si>
  <si>
    <t xml:space="preserve">08:30-10:00(R)</t>
  </si>
  <si>
    <t xml:space="preserve">08:30-11:00(R)</t>
  </si>
  <si>
    <t xml:space="preserve">GURSCHI</t>
  </si>
  <si>
    <t xml:space="preserve">VIOREL</t>
  </si>
  <si>
    <t xml:space="preserve">GURSCHI VIOREL</t>
  </si>
  <si>
    <t xml:space="preserve">CLI MED ET PED ED RIST</t>
  </si>
  <si>
    <t xml:space="preserve">14 RUE BOILEAU</t>
  </si>
  <si>
    <t xml:space="preserve">RUE BOILEAU</t>
  </si>
  <si>
    <t xml:space="preserve">01 40 50 53 64</t>
  </si>
  <si>
    <t xml:space="preserve">https://biocodex6--c.vf.force.com/0014L00000KFOjcQAH</t>
  </si>
  <si>
    <t xml:space="preserve">SILVERA</t>
  </si>
  <si>
    <t xml:space="preserve">SILVERA ERIC</t>
  </si>
  <si>
    <t xml:space="preserve">15 RUE DES FRERES MORANE</t>
  </si>
  <si>
    <t xml:space="preserve">RUE DES FRERES MORANE</t>
  </si>
  <si>
    <t xml:space="preserve">01 45 33 92 43</t>
  </si>
  <si>
    <t xml:space="preserve">https://biocodex6--c.vf.force.com/0014L00000KG215QAD</t>
  </si>
  <si>
    <t xml:space="preserve">https://annuairesante.ameli.fr/professionnels-de-sante/recherche/fiche-detaillee-B7c1lDIxOTGx.html</t>
  </si>
  <si>
    <t xml:space="preserve">ACHIR</t>
  </si>
  <si>
    <t xml:space="preserve">MOKRANE</t>
  </si>
  <si>
    <t xml:space="preserve">ACHIR MOKRANE</t>
  </si>
  <si>
    <t xml:space="preserve">URG</t>
  </si>
  <si>
    <t xml:space="preserve">8 RUE LEKAIN</t>
  </si>
  <si>
    <t xml:space="preserve">RUE LEKAIN</t>
  </si>
  <si>
    <t xml:space="preserve">01 45 25 71 27 // 07 78 84 68 17</t>
  </si>
  <si>
    <t xml:space="preserve">https://biocodex6--c.vf.force.com/0014L00000KFRGbQAP</t>
  </si>
  <si>
    <t xml:space="preserve">https://annuairesante.ameli.fr/professionnels-de-sante/recherche/fiche-detaillee-B7c1kzA2NDay.html</t>
  </si>
  <si>
    <t xml:space="preserve">14:00-21:00(R)</t>
  </si>
  <si>
    <t xml:space="preserve">NAOURI VISCHEL</t>
  </si>
  <si>
    <t xml:space="preserve">NAOURI VISCHEL MICHELE</t>
  </si>
  <si>
    <t xml:space="preserve">FIV
OBS</t>
  </si>
  <si>
    <t xml:space="preserve">01 47 63 00 38</t>
  </si>
  <si>
    <t xml:space="preserve">michele.naouri@orange.fr</t>
  </si>
  <si>
    <t xml:space="preserve">https://biocodex6--c.vf.force.com/0014L00000KFtIMQA1</t>
  </si>
  <si>
    <t xml:space="preserve">https://annuairesante.ameli.fr/professionnels-de-sante/recherche/fiche-detaillee-B7c1lzczODC7.html</t>
  </si>
  <si>
    <t xml:space="preserve">DEROIRE</t>
  </si>
  <si>
    <t xml:space="preserve">DEROIRE FRANCK</t>
  </si>
  <si>
    <t xml:space="preserve">11 RUE DE LA CONVENTION</t>
  </si>
  <si>
    <t xml:space="preserve">01 45 75 69 70</t>
  </si>
  <si>
    <t xml:space="preserve">https://biocodex6--c.vf.force.com/0014L00000KFaK1QAL</t>
  </si>
  <si>
    <t xml:space="preserve">https://annuairesante.ameli.fr/professionnels-de-sante/recherche/fiche-detaillee-B7c1lzE2Mjqx.html</t>
  </si>
  <si>
    <t xml:space="preserve">14:00-21:30(R)</t>
  </si>
  <si>
    <t xml:space="preserve">COMBASTET</t>
  </si>
  <si>
    <t xml:space="preserve">COMBASTET PHILIPPE</t>
  </si>
  <si>
    <t xml:space="preserve">https://biocodex6--c.vf.force.com/0014L00000KFXF5QAP</t>
  </si>
  <si>
    <t xml:space="preserve">https://annuairesante.ameli.fr/professionnels-de-sante/recherche/fiche-detaillee-B7c1ljAzNDC7.html</t>
  </si>
  <si>
    <t xml:space="preserve">[Timestamp('2023-06-29 11:30:00'), Timestamp('2023-09-25 11:30:00'), Timestamp('2024-01-19 10:30:00')]</t>
  </si>
  <si>
    <t xml:space="preserve">08:00-13:00(D)</t>
  </si>
  <si>
    <t xml:space="preserve">17:15-20:00(L)
14:00-17:00(R)</t>
  </si>
  <si>
    <t xml:space="preserve">AUDEBERT</t>
  </si>
  <si>
    <t xml:space="preserve">AUDEBERT PATRICK</t>
  </si>
  <si>
    <t xml:space="preserve">20 RUE RAYNOUARD</t>
  </si>
  <si>
    <t xml:space="preserve">RUE RAYNOUARD</t>
  </si>
  <si>
    <t xml:space="preserve">01 45 25 44 19</t>
  </si>
  <si>
    <t xml:space="preserve">https://biocodex6--c.vf.force.com/0014L00000KFuztQAD</t>
  </si>
  <si>
    <t xml:space="preserve">https://annuairesante.ameli.fr/professionnels-de-sante/recherche/fiche-detaillee-B7c1lDMzMzaw.html</t>
  </si>
  <si>
    <t xml:space="preserve">COSTE</t>
  </si>
  <si>
    <t xml:space="preserve">COSTE LAURENCE</t>
  </si>
  <si>
    <t xml:space="preserve">https://biocodex6--c.vf.force.com/0014L00000KFXctQAH</t>
  </si>
  <si>
    <t xml:space="preserve">[Timestamp('2023-11-09 14:30:00'), Timestamp('2024-03-06 10:30:00')]</t>
  </si>
  <si>
    <t xml:space="preserve">FLOBERT</t>
  </si>
  <si>
    <t xml:space="preserve">CHRISTELLE</t>
  </si>
  <si>
    <t xml:space="preserve">FLOBERT CHRISTELLE</t>
  </si>
  <si>
    <t xml:space="preserve">50 RUE VIOLET</t>
  </si>
  <si>
    <t xml:space="preserve">RUE VIOLET</t>
  </si>
  <si>
    <t xml:space="preserve">01 42 93 79 04</t>
  </si>
  <si>
    <t xml:space="preserve">https://biocodex6--c.vf.force.com/0014L00000KFbB1QAL</t>
  </si>
  <si>
    <t xml:space="preserve">https://annuairesante.ameli.fr/professionnels-de-sante/recherche/fiche-detaillee-B7c1lDA3NzSx.html</t>
  </si>
  <si>
    <t xml:space="preserve">ECLANCHER</t>
  </si>
  <si>
    <t xml:space="preserve">WILLIAM</t>
  </si>
  <si>
    <t xml:space="preserve">ECLANCHER WILLIAM</t>
  </si>
  <si>
    <t xml:space="preserve">https://biocodex6--c.vf.force.com/0014L00000KFPFcQAP</t>
  </si>
  <si>
    <t xml:space="preserve">https://annuairesante.ameli.fr/professionnels-de-sante/recherche/fiche-detaillee-B7c1mzE0ODO6.html</t>
  </si>
  <si>
    <t xml:space="preserve">[Timestamp('2023-06-28 09:30:00'), Timestamp('2023-09-25 10:00:00'), Timestamp('2024-01-19 12:00:00')]</t>
  </si>
  <si>
    <t xml:space="preserve">BENAIM</t>
  </si>
  <si>
    <t xml:space="preserve">BENAIM FREDERIC</t>
  </si>
  <si>
    <t xml:space="preserve">41 RUE DE PASSY</t>
  </si>
  <si>
    <t xml:space="preserve">RUE DE PASSY</t>
  </si>
  <si>
    <t xml:space="preserve">01 42 24 16 50</t>
  </si>
  <si>
    <t xml:space="preserve">https://biocodex6--c.vf.force.com/0014L00000KFSmaQAH</t>
  </si>
  <si>
    <t xml:space="preserve">https://annuairesante.ameli.fr/professionnels-de-sante/recherche/fiche-detaillee-B7c1lDM0MTK3.html</t>
  </si>
  <si>
    <t xml:space="preserve">[Timestamp('2023-07-06 11:30:00'), Timestamp('2023-09-26 14:30:00'), Timestamp('2024-01-12 14:30:00'), Timestamp('2024-05-21 13:30:00')]</t>
  </si>
  <si>
    <t xml:space="preserve">17:00-19:00(?)</t>
  </si>
  <si>
    <t xml:space="preserve">BRZAKOWSKI</t>
  </si>
  <si>
    <t xml:space="preserve">MELANIE</t>
  </si>
  <si>
    <t xml:space="preserve">BRZAKOWSKI MELANIE</t>
  </si>
  <si>
    <t xml:space="preserve">2 RUE GEORGES BERGER</t>
  </si>
  <si>
    <t xml:space="preserve">RUE GEORGES BERGER</t>
  </si>
  <si>
    <t xml:space="preserve">01 42 12 02 67 // 01 40 72 33 97</t>
  </si>
  <si>
    <t xml:space="preserve">drmelaniebrzakowski@gmail.com</t>
  </si>
  <si>
    <t xml:space="preserve">https://biocodex6--c.vf.force.com/0014L00000KFVIzQAP</t>
  </si>
  <si>
    <t xml:space="preserve">https://annuairesante.ameli.fr/professionnels-de-sante/recherche/fiche-detaillee-B7c1lTE2NDSz.html</t>
  </si>
  <si>
    <t xml:space="preserve">CHEDRU</t>
  </si>
  <si>
    <t xml:space="preserve">CHEDRU FRANCOIS</t>
  </si>
  <si>
    <t xml:space="preserve">16 RUE FARADAY</t>
  </si>
  <si>
    <t xml:space="preserve">RUE FARADAY</t>
  </si>
  <si>
    <t xml:space="preserve">01 43 80 57 68</t>
  </si>
  <si>
    <t xml:space="preserve">https://biocodex6--c.vf.force.com/0014L00000KFWNOQA5</t>
  </si>
  <si>
    <t xml:space="preserve">https://annuairesante.ameli.fr/professionnels-de-sante/recherche/fiche-detaillee-B7c1mzEwNzaw.html</t>
  </si>
  <si>
    <t xml:space="preserve">AMOYAL</t>
  </si>
  <si>
    <t xml:space="preserve">AMOYAL PHILIPPE</t>
  </si>
  <si>
    <t xml:space="preserve">CAB MÉD TOUR-MAUBOURG</t>
  </si>
  <si>
    <t xml:space="preserve">41 BOULEVARD DE LA TOUR MAUBOURG</t>
  </si>
  <si>
    <t xml:space="preserve">BOULEVARD DE LA TOUR MAUBOURG</t>
  </si>
  <si>
    <t xml:space="preserve">01 45 67 91 44</t>
  </si>
  <si>
    <t xml:space="preserve">https://biocodex6--c.vf.force.com/0014L00000KFQNLQA5</t>
  </si>
  <si>
    <t xml:space="preserve">https://annuairesante.ameli.fr/professionnels-de-sante/recherche/fiche-detaillee-B7c1mzE2Mzax.html</t>
  </si>
  <si>
    <t xml:space="preserve">MUSSUTO</t>
  </si>
  <si>
    <t xml:space="preserve">MUSSUTO PATRICIA</t>
  </si>
  <si>
    <t xml:space="preserve">18 RUE CAUCHY</t>
  </si>
  <si>
    <t xml:space="preserve">RUE CAUCHY</t>
  </si>
  <si>
    <t xml:space="preserve">01 45 54 18 18</t>
  </si>
  <si>
    <t xml:space="preserve">https://biocodex6--c.vf.force.com/0014L00000KFtFsQAL</t>
  </si>
  <si>
    <t xml:space="preserve">https://annuairesante.ameli.fr/professionnels-de-sante/recherche/fiche-detaillee-B7c1lDMyNTe3.html</t>
  </si>
  <si>
    <t xml:space="preserve">14:30-21:30(R)</t>
  </si>
  <si>
    <t xml:space="preserve"> 
14:30-21:30(R)</t>
  </si>
  <si>
    <t xml:space="preserve">DOUCHET ANNE</t>
  </si>
  <si>
    <t xml:space="preserve">4 RUE DULONG</t>
  </si>
  <si>
    <t xml:space="preserve">RUE DULONG</t>
  </si>
  <si>
    <t xml:space="preserve">01 42 27 72 40</t>
  </si>
  <si>
    <t xml:space="preserve">annedouchet@lerss.fr</t>
  </si>
  <si>
    <t xml:space="preserve">https://biocodex6--c.vf.force.com/0014L00000KFbDrQAL</t>
  </si>
  <si>
    <t xml:space="preserve">https://annuairesante.ameli.fr/professionnels-de-sante/recherche/fiche-detaillee-B7c1lzY3Mjey.html</t>
  </si>
  <si>
    <t xml:space="preserve">[Timestamp('2023-10-03 16:00:00'), Timestamp('2023-10-17 15:30:00')]</t>
  </si>
  <si>
    <t xml:space="preserve">BOURGUIGNON VARTANIAN</t>
  </si>
  <si>
    <t xml:space="preserve">BOURGUIGNON VARTANIAN VERONIQUE</t>
  </si>
  <si>
    <t xml:space="preserve">204 RUE DE LA CROIX NIVERT</t>
  </si>
  <si>
    <t xml:space="preserve">RUE DE LA CROIX NIVERT</t>
  </si>
  <si>
    <t xml:space="preserve">01 45 58 10 32</t>
  </si>
  <si>
    <t xml:space="preserve">https://biocodex6--c.vf.force.com/0014L00000KFVyJQAX</t>
  </si>
  <si>
    <t xml:space="preserve">https://annuairesante.ameli.fr/professionnels-de-sante/recherche/fiche-detaillee-B7c1lDQxMjKy.html</t>
  </si>
  <si>
    <t xml:space="preserve">CRETIN DUVERNOIS</t>
  </si>
  <si>
    <t xml:space="preserve">CRETIN DUVERNOIS ALEXANDRE</t>
  </si>
  <si>
    <t xml:space="preserve">https://biocodex6--c.vf.force.com/0014L00000KFL4WQAX</t>
  </si>
  <si>
    <t xml:space="preserve">https://annuairesante.ameli.fr/professionnels-de-sante/recherche/fiche-detaillee-B7c1kjMzOTu6.html</t>
  </si>
  <si>
    <t xml:space="preserve">ARMINJON</t>
  </si>
  <si>
    <t xml:space="preserve">ARMINJON ISABELLE</t>
  </si>
  <si>
    <t xml:space="preserve">https://biocodex6--c.vf.force.com/0014L00000KFRzrQAH</t>
  </si>
  <si>
    <t xml:space="preserve">FLAJOLLET</t>
  </si>
  <si>
    <t xml:space="preserve">JEAN GABRIEL</t>
  </si>
  <si>
    <t xml:space="preserve">FLAJOLLET JEAN GABRIEL</t>
  </si>
  <si>
    <t xml:space="preserve">OSTEO</t>
  </si>
  <si>
    <t xml:space="preserve">21 RUE DU COLONEL MOLL</t>
  </si>
  <si>
    <t xml:space="preserve">https://biocodex6--c.vf.force.com/0014L00000KFdl0QAD</t>
  </si>
  <si>
    <t xml:space="preserve">https://annuairesante.ameli.fr/professionnels-de-sante/recherche/fiche-detaillee-B7c1kjswNDe3.html</t>
  </si>
  <si>
    <t xml:space="preserve">NAUDY</t>
  </si>
  <si>
    <t xml:space="preserve">NAUDY FRANCOIS</t>
  </si>
  <si>
    <t xml:space="preserve">11 RUE AMPERE</t>
  </si>
  <si>
    <t xml:space="preserve">https://biocodex6--c.vf.force.com/0014L00000KFtKJQA1</t>
  </si>
  <si>
    <t xml:space="preserve">GOUMET</t>
  </si>
  <si>
    <t xml:space="preserve">GOUMET JACQUES</t>
  </si>
  <si>
    <t xml:space="preserve">10 RUE LEROUX</t>
  </si>
  <si>
    <t xml:space="preserve">RUE LEROUX</t>
  </si>
  <si>
    <t xml:space="preserve">01 45 01 50 92</t>
  </si>
  <si>
    <t xml:space="preserve">https://biocodex6--c.vf.force.com/0014L00000KFgcsQAD</t>
  </si>
  <si>
    <t xml:space="preserve">[Timestamp('2023-06-30 10:00:00'), Timestamp('2023-09-08 09:30:00'), Timestamp('2023-12-14 10:00:00'), Timestamp('2024-05-31 10:00:00')]</t>
  </si>
  <si>
    <t xml:space="preserve">FLORAND MAIER</t>
  </si>
  <si>
    <t xml:space="preserve">FLORAND MAIER ISABELLE</t>
  </si>
  <si>
    <t xml:space="preserve">35 AVENUE THEOPHILE GAUTIER</t>
  </si>
  <si>
    <t xml:space="preserve">AVENUE THEOPHILE GAUTIER</t>
  </si>
  <si>
    <t xml:space="preserve">01 42 88 72 16</t>
  </si>
  <si>
    <t xml:space="preserve">https://biocodex6--c.vf.force.com/0014L00000KFbBRQA1</t>
  </si>
  <si>
    <t xml:space="preserve">https://annuairesante.ameli.fr/professionnels-de-sante/recherche/fiche-detaillee-B7c1mzEyOTu3.html</t>
  </si>
  <si>
    <t xml:space="preserve">NIKPAY ASLIE</t>
  </si>
  <si>
    <t xml:space="preserve">FARAHNAZ</t>
  </si>
  <si>
    <t xml:space="preserve">NIKPAY ASLIE FARAHNAZ</t>
  </si>
  <si>
    <t xml:space="preserve">https://biocodex6--c.vf.force.com/0014L00000KFuFyQAL</t>
  </si>
  <si>
    <t xml:space="preserve">DOAT</t>
  </si>
  <si>
    <t xml:space="preserve">DOAT BRIGITTE</t>
  </si>
  <si>
    <t xml:space="preserve">10 RUE DU DOCTEUR LANCEREAUX</t>
  </si>
  <si>
    <t xml:space="preserve">RUE DU DOCTEUR LANCEREAUX</t>
  </si>
  <si>
    <t xml:space="preserve">https://biocodex6--c.vf.force.com/0014L00000KFazSQAT</t>
  </si>
  <si>
    <t xml:space="preserve">ROUCH</t>
  </si>
  <si>
    <t xml:space="preserve">BERNARD</t>
  </si>
  <si>
    <t xml:space="preserve">ROUCH BERNARD</t>
  </si>
  <si>
    <t xml:space="preserve">01 47 20 16 16</t>
  </si>
  <si>
    <t xml:space="preserve">bh.rouch@gmail.com</t>
  </si>
  <si>
    <t xml:space="preserve">https://biocodex6--c.vf.force.com/0014L00000KFzSOQA1</t>
  </si>
  <si>
    <t xml:space="preserve">https://annuairesante.ameli.fr/professionnels-de-sante/recherche/fiche-detaillee-B7c1lTExNzWz.html</t>
  </si>
  <si>
    <t xml:space="preserve">AUBERT</t>
  </si>
  <si>
    <t xml:space="preserve">AUBERT VALERIE</t>
  </si>
  <si>
    <t xml:space="preserve">01 48 88 26 60 // 01 42 12 72 90</t>
  </si>
  <si>
    <t xml:space="preserve">https://biocodex6--c.vf.force.com/0014L00000KFufWQAT</t>
  </si>
  <si>
    <t xml:space="preserve">https://annuairesante.ameli.fr/professionnels-de-sante/recherche/fiche-detaillee-B7c1mzE5MDOy.html</t>
  </si>
  <si>
    <t xml:space="preserve">PELTRIAUX</t>
  </si>
  <si>
    <t xml:space="preserve">PELTRIAUX PHILIPPE</t>
  </si>
  <si>
    <t xml:space="preserve">20 RUE DARU</t>
  </si>
  <si>
    <t xml:space="preserve">RUE DARU</t>
  </si>
  <si>
    <t xml:space="preserve">01 42 27 07 29</t>
  </si>
  <si>
    <t xml:space="preserve">https://biocodex6--c.vf.force.com/0014L00000KFvCnQAL</t>
  </si>
  <si>
    <t xml:space="preserve">https://annuairesante.ameli.fr/professionnels-de-sante/recherche/fiche-detaillee-B7c1ljc3NDuw.html</t>
  </si>
  <si>
    <t xml:space="preserve">HOMASSON</t>
  </si>
  <si>
    <t xml:space="preserve">NELLY</t>
  </si>
  <si>
    <t xml:space="preserve">HOMASSON NELLY</t>
  </si>
  <si>
    <t xml:space="preserve">n.homasson@orange.fr</t>
  </si>
  <si>
    <t xml:space="preserve">https://biocodex6--c.vf.force.com/0014L00000KFj32QAD</t>
  </si>
  <si>
    <t xml:space="preserve">PASSET</t>
  </si>
  <si>
    <t xml:space="preserve">PASSET DOMINIQUE</t>
  </si>
  <si>
    <t xml:space="preserve">83 RUE DE LA CONVENTION</t>
  </si>
  <si>
    <t xml:space="preserve">01 84 25 60 97 // 01 76 36 05 68</t>
  </si>
  <si>
    <t xml:space="preserve">https://biocodex6--c.vf.force.com/0014L00000KFv0BQAT</t>
  </si>
  <si>
    <t xml:space="preserve">https://annuairesante.ameli.fr/professionnels-de-sante/recherche/fiche-detaillee-B7c1kjo4OTOx.html</t>
  </si>
  <si>
    <t xml:space="preserve">09:15-14:00(D)</t>
  </si>
  <si>
    <t xml:space="preserve">09:15-11:45(R)</t>
  </si>
  <si>
    <t xml:space="preserve">14:00-15:00(D)
15:00-19:00(R)</t>
  </si>
  <si>
    <t xml:space="preserve">14:00-15:00(D)</t>
  </si>
  <si>
    <t xml:space="preserve">BELOUCIF KEFSI</t>
  </si>
  <si>
    <t xml:space="preserve">LYNDA</t>
  </si>
  <si>
    <t xml:space="preserve">BELOUCIF KEFSI LYNDA</t>
  </si>
  <si>
    <t xml:space="preserve">https://biocodex6--c.vf.force.com/0014L00000KFSbfQAH</t>
  </si>
  <si>
    <t xml:space="preserve">ZYLBERBERG</t>
  </si>
  <si>
    <t xml:space="preserve">ZYLBERBERG HERVE</t>
  </si>
  <si>
    <t xml:space="preserve">IMM</t>
  </si>
  <si>
    <t xml:space="preserve">01 46 41 27 26</t>
  </si>
  <si>
    <t xml:space="preserve">https://biocodex6--c.vf.force.com/0014L00000KG6GhQAL</t>
  </si>
  <si>
    <t xml:space="preserve">https://annuairesante.ameli.fr/professionnels-de-sante/recherche/fiche-detaillee-CbA1kjI2ODOz.html</t>
  </si>
  <si>
    <t xml:space="preserve">BOURGEOIS</t>
  </si>
  <si>
    <t xml:space="preserve">BOURGEOIS DIDIER</t>
  </si>
  <si>
    <t xml:space="preserve">https://biocodex6--c.vf.force.com/0014L00000KFUP6QAP</t>
  </si>
  <si>
    <t xml:space="preserve">https://annuairesante.ameli.fr/professionnels-de-sante/recherche/fiche-detaillee-CbA1lTMzNTKz.html</t>
  </si>
  <si>
    <t xml:space="preserve">BELLET</t>
  </si>
  <si>
    <t xml:space="preserve">ANNE SOPHIE</t>
  </si>
  <si>
    <t xml:space="preserve">BELLET ANNE SOPHIE</t>
  </si>
  <si>
    <t xml:space="preserve">82 RUE BAUDIN</t>
  </si>
  <si>
    <t xml:space="preserve">09 53 91 77 67</t>
  </si>
  <si>
    <t xml:space="preserve">https://biocodex6--c.vf.force.com/0014L00000KFSggQAH</t>
  </si>
  <si>
    <t xml:space="preserve">https://annuairesante.ameli.fr/professionnels-de-sante/recherche/fiche-detaillee-CbA1kjEyMjOx.html</t>
  </si>
  <si>
    <t xml:space="preserve">SALATO</t>
  </si>
  <si>
    <t xml:space="preserve">SALATO PHILIPPE</t>
  </si>
  <si>
    <t xml:space="preserve">1 RUE LAMENNAIS</t>
  </si>
  <si>
    <t xml:space="preserve">RUE LAMENNAIS</t>
  </si>
  <si>
    <t xml:space="preserve">01 42 89 83 30</t>
  </si>
  <si>
    <t xml:space="preserve">https://biocodex6--c.vf.force.com/0014L00000KG0D0QAL</t>
  </si>
  <si>
    <t xml:space="preserve">https://annuairesante.ameli.fr/professionnels-de-sante/recherche/fiche-detaillee-B7c1lzMzMTW7.html</t>
  </si>
  <si>
    <t xml:space="preserve">14:00-19:40(R)</t>
  </si>
  <si>
    <t xml:space="preserve">ELY</t>
  </si>
  <si>
    <t xml:space="preserve">CHANTAL</t>
  </si>
  <si>
    <t xml:space="preserve">ELY CHANTAL</t>
  </si>
  <si>
    <t xml:space="preserve">106 RUE JEAN DE LA FONTAINE</t>
  </si>
  <si>
    <t xml:space="preserve">RUE JEAN DE LA FONTAINE</t>
  </si>
  <si>
    <t xml:space="preserve">01 45 25 20 64</t>
  </si>
  <si>
    <t xml:space="preserve">https://biocodex6--c.vf.force.com/0014L00000KFcdlQAD</t>
  </si>
  <si>
    <t xml:space="preserve">https://annuairesante.ameli.fr/professionnels-de-sante/recherche/fiche-detaillee-B7c1kTc3ODaz.html</t>
  </si>
  <si>
    <t xml:space="preserve">07:30-14:00(R)</t>
  </si>
  <si>
    <t xml:space="preserve">WICART POQUE</t>
  </si>
  <si>
    <t xml:space="preserve">FABIENNE</t>
  </si>
  <si>
    <t xml:space="preserve">WICART POQUE FABIENNE</t>
  </si>
  <si>
    <t xml:space="preserve">80 AVENUE CHARLES DE GAULLE</t>
  </si>
  <si>
    <t xml:space="preserve">01 47 47 80 87</t>
  </si>
  <si>
    <t xml:space="preserve">dr.wicartpoque@gmail.com</t>
  </si>
  <si>
    <t xml:space="preserve">https://biocodex6--c.vf.force.com/0014L00000KG6DHQA1</t>
  </si>
  <si>
    <t xml:space="preserve">https://annuairesante.ameli.fr/professionnels-de-sante/recherche/fiche-detaillee-CbA1lTIzMjq6.html</t>
  </si>
  <si>
    <t xml:space="preserve">MSIKA</t>
  </si>
  <si>
    <t xml:space="preserve">MSIKA LAURENCE</t>
  </si>
  <si>
    <t xml:space="preserve">161 RUE DE JAVEL</t>
  </si>
  <si>
    <t xml:space="preserve">01 45 33 07 42 // 01 45 33 92 43</t>
  </si>
  <si>
    <t xml:space="preserve">https://biocodex6--c.vf.force.com/0014L00000KFt61QAD</t>
  </si>
  <si>
    <t xml:space="preserve">https://annuairesante.ameli.fr/professionnels-de-sante/recherche/fiche-detaillee-B7c1lDEzODq0.html</t>
  </si>
  <si>
    <t xml:space="preserve">MAIDENBERG</t>
  </si>
  <si>
    <t xml:space="preserve">MANUEL</t>
  </si>
  <si>
    <t xml:space="preserve">MAIDENBERG MANUEL</t>
  </si>
  <si>
    <t xml:space="preserve">57 RUE DE LA CONVENTION</t>
  </si>
  <si>
    <t xml:space="preserve">01 40 59 01 90</t>
  </si>
  <si>
    <t xml:space="preserve">https://biocodex6--c.vf.force.com/0014L00000KFpKtQAL</t>
  </si>
  <si>
    <t xml:space="preserve">AUFFRET</t>
  </si>
  <si>
    <t xml:space="preserve">AUFFRET JULIE</t>
  </si>
  <si>
    <t xml:space="preserve">01 47 59 19 24</t>
  </si>
  <si>
    <t xml:space="preserve">https://biocodex6--c.vf.force.com/0014L00000KG8rMQAT</t>
  </si>
  <si>
    <t xml:space="preserve">BOURGEOIS MARIE</t>
  </si>
  <si>
    <t xml:space="preserve">01 44 49 42 52</t>
  </si>
  <si>
    <t xml:space="preserve">https://biocodex6--c.vf.force.com/0014L00000KFVx8QAH</t>
  </si>
  <si>
    <t xml:space="preserve">KAMINSKA</t>
  </si>
  <si>
    <t xml:space="preserve">ANNA</t>
  </si>
  <si>
    <t xml:space="preserve">KAMINSKA ANNA</t>
  </si>
  <si>
    <t xml:space="preserve">https://biocodex6--c.vf.force.com/0014L00000KFiaFQAT</t>
  </si>
  <si>
    <t xml:space="preserve">BOUTBOUL</t>
  </si>
  <si>
    <t xml:space="preserve">BOUTBOUL GILLES</t>
  </si>
  <si>
    <t xml:space="preserve">23 AVENUE VICTOR HUGO</t>
  </si>
  <si>
    <t xml:space="preserve">01 53 75 06 55 // 01 45 01 68 37</t>
  </si>
  <si>
    <t xml:space="preserve">https://biocodex6--c.vf.force.com/0014L00000KFW7FQAX</t>
  </si>
  <si>
    <t xml:space="preserve">https://annuairesante.ameli.fr/professionnels-de-sante/recherche/fiche-detaillee-B7c1lTM4Mjq1.html</t>
  </si>
  <si>
    <t xml:space="preserve">BUI</t>
  </si>
  <si>
    <t xml:space="preserve">THUY THAO</t>
  </si>
  <si>
    <t xml:space="preserve">BUI THUY THAO</t>
  </si>
  <si>
    <t xml:space="preserve">01 47 66 24 21</t>
  </si>
  <si>
    <t xml:space="preserve">thao2508@yahoo.fr</t>
  </si>
  <si>
    <t xml:space="preserve">https://biocodex6--c.vf.force.com/0014L00000KFViQQAX</t>
  </si>
  <si>
    <t xml:space="preserve">https://annuairesante.ameli.fr/professionnels-de-sante/recherche/fiche-detaillee-B7c1mzY2Nju6.html</t>
  </si>
  <si>
    <t xml:space="preserve">[Timestamp('2024-01-09 15:30:00'), Timestamp('2024-06-03 14:30:00')]</t>
  </si>
  <si>
    <t xml:space="preserve">ZAANAN</t>
  </si>
  <si>
    <t xml:space="preserve">AZIZ</t>
  </si>
  <si>
    <t xml:space="preserve">ZAANAN AZIZ</t>
  </si>
  <si>
    <t xml:space="preserve">https://biocodex6--c.vf.force.com/0014L00000KG6vPQAT</t>
  </si>
  <si>
    <t xml:space="preserve">SIMON LAB</t>
  </si>
  <si>
    <t xml:space="preserve">SIMON LAB ELISABETH</t>
  </si>
  <si>
    <t xml:space="preserve">77 AVENUE DE WAGRAM</t>
  </si>
  <si>
    <t xml:space="preserve">01 43 80 42 10</t>
  </si>
  <si>
    <t xml:space="preserve">https://biocodex6--c.vf.force.com/0014L00000KFnmeQAD</t>
  </si>
  <si>
    <t xml:space="preserve">https://annuairesante.ameli.fr/professionnels-de-sante/recherche/fiche-detaillee-B7c1lzo4NDaz.html</t>
  </si>
  <si>
    <t xml:space="preserve">AMSELLEM SOLAL</t>
  </si>
  <si>
    <t xml:space="preserve">AMSELLEM SOLAL MARTINE</t>
  </si>
  <si>
    <t xml:space="preserve">ACCESS SANTE</t>
  </si>
  <si>
    <t xml:space="preserve">6 RUE FOURCROY</t>
  </si>
  <si>
    <t xml:space="preserve">RUE FOURCROY</t>
  </si>
  <si>
    <t xml:space="preserve">01 84 80 80 37</t>
  </si>
  <si>
    <t xml:space="preserve">https://biocodex6--c.vf.force.com/0014L00000KFQOHQA5</t>
  </si>
  <si>
    <t xml:space="preserve">BOUDJABI FADLI</t>
  </si>
  <si>
    <t xml:space="preserve">BOUDJABI FADLI SARAH</t>
  </si>
  <si>
    <t xml:space="preserve">6 RUE AMPERE</t>
  </si>
  <si>
    <t xml:space="preserve">01 56 90 08 25</t>
  </si>
  <si>
    <t xml:space="preserve">https://biocodex6--c.vf.force.com/0014L00000KFVlEQAX</t>
  </si>
  <si>
    <t xml:space="preserve">KHIDER</t>
  </si>
  <si>
    <t xml:space="preserve">LINA</t>
  </si>
  <si>
    <t xml:space="preserve">KHIDER LINA</t>
  </si>
  <si>
    <t xml:space="preserve">01 56 09 37 55</t>
  </si>
  <si>
    <t xml:space="preserve">https://biocodex6--c.vf.force.com/0014L00000KGDzIQAX</t>
  </si>
  <si>
    <t xml:space="preserve">TRIALOUP</t>
  </si>
  <si>
    <t xml:space="preserve">SARAH LAURE</t>
  </si>
  <si>
    <t xml:space="preserve">TRIALOUP SARAH LAURE</t>
  </si>
  <si>
    <t xml:space="preserve">https://biocodex6--c.vf.force.com/0014L00000KG9H5QAL</t>
  </si>
  <si>
    <t xml:space="preserve">MEIMOUN</t>
  </si>
  <si>
    <t xml:space="preserve">MEIMOUN JULIA</t>
  </si>
  <si>
    <t xml:space="preserve">01 56 09 28 47</t>
  </si>
  <si>
    <t xml:space="preserve">https://biocodex6--c.vf.force.com/0014L00000KFpu3QAD</t>
  </si>
  <si>
    <t xml:space="preserve">CADENNES</t>
  </si>
  <si>
    <t xml:space="preserve">ALICE</t>
  </si>
  <si>
    <t xml:space="preserve">CADENNES ALICE</t>
  </si>
  <si>
    <t xml:space="preserve">https://biocodex6--c.vf.force.com/0014L00000KGD6LQAX</t>
  </si>
  <si>
    <t xml:space="preserve">DOUIBI</t>
  </si>
  <si>
    <t xml:space="preserve">SAMIRA</t>
  </si>
  <si>
    <t xml:space="preserve">DOUIBI SAMIRA</t>
  </si>
  <si>
    <t xml:space="preserve">https://biocodex6--c.vf.force.com/0014L00000KFKmZQAX</t>
  </si>
  <si>
    <t xml:space="preserve">RONSIN ZANKER</t>
  </si>
  <si>
    <t xml:space="preserve">RONSIN ZANKER CAROLINE</t>
  </si>
  <si>
    <t xml:space="preserve">https://biocodex6--c.vf.force.com/0014L00000KG6uqQAD</t>
  </si>
  <si>
    <t xml:space="preserve">LAMBERTI</t>
  </si>
  <si>
    <t xml:space="preserve">CARLA</t>
  </si>
  <si>
    <t xml:space="preserve">LAMBERTI CARLA</t>
  </si>
  <si>
    <t xml:space="preserve">https://biocodex6--c.vf.force.com/0014L00000KFlnxQAD</t>
  </si>
  <si>
    <t xml:space="preserve">https://annuairesante.ameli.fr/professionnels-de-sante/recherche/fiche-detaillee-B7c1lzU3MTe6.html</t>
  </si>
  <si>
    <t xml:space="preserve">[Timestamp('2023-08-31 10:00:00'), Timestamp('2023-12-21 10:30:00')]</t>
  </si>
  <si>
    <t xml:space="preserve">CONVINDASSAMY CHEN</t>
  </si>
  <si>
    <t xml:space="preserve">CONVINDASSAMY CHEN CHARLES</t>
  </si>
  <si>
    <t xml:space="preserve">https://biocodex6--c.vf.force.com/0014L00000KFXQAQA5</t>
  </si>
  <si>
    <t xml:space="preserve">LAYT</t>
  </si>
  <si>
    <t xml:space="preserve">ANAS</t>
  </si>
  <si>
    <t xml:space="preserve">LAYT ANAS</t>
  </si>
  <si>
    <t xml:space="preserve">https://biocodex6--c.vf.force.com/0014L00000KFmYzQAL</t>
  </si>
  <si>
    <t xml:space="preserve">MORJANE</t>
  </si>
  <si>
    <t xml:space="preserve">AMINE</t>
  </si>
  <si>
    <t xml:space="preserve">MORJANE AMINE</t>
  </si>
  <si>
    <t xml:space="preserve">https://biocodex6--c.vf.force.com/0014L00000KG8QoQAL</t>
  </si>
  <si>
    <t xml:space="preserve">CROIZIER CHANIOT</t>
  </si>
  <si>
    <t xml:space="preserve">OZANNE</t>
  </si>
  <si>
    <t xml:space="preserve">CROIZIER CHANIOT OZANNE</t>
  </si>
  <si>
    <t xml:space="preserve">81 RUE DE ROME</t>
  </si>
  <si>
    <t xml:space="preserve">RUE DE ROME</t>
  </si>
  <si>
    <t xml:space="preserve">01 47 42 51 09</t>
  </si>
  <si>
    <t xml:space="preserve">https://biocodex6--c.vf.force.com/0014L00000KG9a2QAD</t>
  </si>
  <si>
    <t xml:space="preserve">https://annuairesante.ameli.fr/professionnels-de-sante/recherche/fiche-detaillee-B7c1kjUzMTGx.html</t>
  </si>
  <si>
    <t xml:space="preserve">WAGHELA</t>
  </si>
  <si>
    <t xml:space="preserve">ROSELYNE</t>
  </si>
  <si>
    <t xml:space="preserve">WAGHELA ROSELYNE</t>
  </si>
  <si>
    <t xml:space="preserve">01 47 59 55 15</t>
  </si>
  <si>
    <t xml:space="preserve">https://biocodex6--c.vf.force.com/0014L00000KG6rDQAT</t>
  </si>
  <si>
    <t xml:space="preserve">MARQUET</t>
  </si>
  <si>
    <t xml:space="preserve">MARQUET LAURENT</t>
  </si>
  <si>
    <t xml:space="preserve">11 PLACE ADOLPHE CHERIOUX</t>
  </si>
  <si>
    <t xml:space="preserve">PLACE ADOLPHE CHERIOUX</t>
  </si>
  <si>
    <t xml:space="preserve">01 80 50 38 36</t>
  </si>
  <si>
    <t xml:space="preserve">https://biocodex6--c.vf.force.com/0014L00000KFr5OQAT</t>
  </si>
  <si>
    <t xml:space="preserve">https://annuairesante.ameli.fr/professionnels-de-sante/recherche/fiche-detaillee-B7c1mzY4NzC6.html</t>
  </si>
  <si>
    <t xml:space="preserve">CHEDEVERGNE</t>
  </si>
  <si>
    <t xml:space="preserve">FREDERIQUE</t>
  </si>
  <si>
    <t xml:space="preserve">CHEDEVERGNE FREDERIQUE</t>
  </si>
  <si>
    <t xml:space="preserve">https://biocodex6--c.vf.force.com/0014L00000KFefwQAD</t>
  </si>
  <si>
    <t xml:space="preserve">DRUMMOND</t>
  </si>
  <si>
    <t xml:space="preserve">DRUMMOND DAVID</t>
  </si>
  <si>
    <t xml:space="preserve">https://biocodex6--c.vf.force.com/0014L00000KFM0sQAH</t>
  </si>
  <si>
    <t xml:space="preserve">COTTIN</t>
  </si>
  <si>
    <t xml:space="preserve">JEAN FRANCOIS</t>
  </si>
  <si>
    <t xml:space="preserve">COTTIN JEAN FRANCOIS</t>
  </si>
  <si>
    <t xml:space="preserve">210 RUE LECOURBE</t>
  </si>
  <si>
    <t xml:space="preserve">01 42 50 44 50</t>
  </si>
  <si>
    <t xml:space="preserve">https://biocodex6--c.vf.force.com/0014L00000KFkdDQAT</t>
  </si>
  <si>
    <t xml:space="preserve">https://annuairesante.ameli.fr/professionnels-de-sante/recherche/fiche-detaillee-B7c1lzU4NTGx.html</t>
  </si>
  <si>
    <t xml:space="preserve">CORNU</t>
  </si>
  <si>
    <t xml:space="preserve">ANTONIN</t>
  </si>
  <si>
    <t xml:space="preserve">CORNU ANTONIN</t>
  </si>
  <si>
    <t xml:space="preserve">https://biocodex6--c.vf.force.com/0014L00000KFPPiQAP</t>
  </si>
  <si>
    <t xml:space="preserve">DEBACHE</t>
  </si>
  <si>
    <t xml:space="preserve">DEBACHE CLAUDE</t>
  </si>
  <si>
    <t xml:space="preserve">12 AVENUE MONTAIGNE</t>
  </si>
  <si>
    <t xml:space="preserve">AVENUE MONTAIGNE</t>
  </si>
  <si>
    <t xml:space="preserve">01 47 20 79 00</t>
  </si>
  <si>
    <t xml:space="preserve">https://biocodex6--c.vf.force.com/0014L00000KFZQ9QAP</t>
  </si>
  <si>
    <t xml:space="preserve">https://annuairesante.ameli.fr/professionnels-de-sante/recherche/fiche-detaillee-B7c1kTQzMDa1.html</t>
  </si>
  <si>
    <t xml:space="preserve">CHABY</t>
  </si>
  <si>
    <t xml:space="preserve">CHABY LUCIEN</t>
  </si>
  <si>
    <t xml:space="preserve">ECHO</t>
  </si>
  <si>
    <t xml:space="preserve">lucien.chaby@free.fr</t>
  </si>
  <si>
    <t xml:space="preserve">https://biocodex6--c.vf.force.com/0014L00000KFVvYQAX</t>
  </si>
  <si>
    <t xml:space="preserve">[Timestamp('2023-10-13 14:00:00'), Timestamp('2023-12-01 11:30:00'), Timestamp('2024-03-28 10:00:00')]</t>
  </si>
  <si>
    <t xml:space="preserve">DACCACHE</t>
  </si>
  <si>
    <t xml:space="preserve">DOLLY</t>
  </si>
  <si>
    <t xml:space="preserve">DACCACHE DOLLY</t>
  </si>
  <si>
    <t xml:space="preserve">01 47 69 66 37</t>
  </si>
  <si>
    <t xml:space="preserve">dollydaccache@hotmail.fr</t>
  </si>
  <si>
    <t xml:space="preserve">https://biocodex6--c.vf.force.com/0014L00000KFXu4QAH</t>
  </si>
  <si>
    <t xml:space="preserve">[Timestamp('2024-01-09 11:00:00'), Timestamp('2024-06-03 11:00:00')]</t>
  </si>
  <si>
    <t xml:space="preserve">FRESCO</t>
  </si>
  <si>
    <t xml:space="preserve">FRESCO OLIVIER</t>
  </si>
  <si>
    <t xml:space="preserve">11 RUE EUGENE GIBEZ</t>
  </si>
  <si>
    <t xml:space="preserve">RUE EUGENE GIBEZ</t>
  </si>
  <si>
    <t xml:space="preserve">01 74 64 11 40</t>
  </si>
  <si>
    <t xml:space="preserve">dr.olivierfresco@gmail.com</t>
  </si>
  <si>
    <t xml:space="preserve">https://biocodex6--c.vf.force.com/0014L00000KFbRwQAL</t>
  </si>
  <si>
    <t xml:space="preserve">https://annuairesante.ameli.fr/professionnels-de-sante/recherche/fiche-detaillee-B7c1lzU0Mjaw.html</t>
  </si>
  <si>
    <t xml:space="preserve">MAZIGHI LE GOFF</t>
  </si>
  <si>
    <t xml:space="preserve">SOLENE</t>
  </si>
  <si>
    <t xml:space="preserve">MAZIGHI LE GOFF SOLENE</t>
  </si>
  <si>
    <t xml:space="preserve">https://biocodex6--c.vf.force.com/0014L00000KFmAxQAL</t>
  </si>
  <si>
    <t xml:space="preserve">LAM THANH TRONG</t>
  </si>
  <si>
    <t xml:space="preserve">THU LAN</t>
  </si>
  <si>
    <t xml:space="preserve">LAM THANH TRONG THU LAN</t>
  </si>
  <si>
    <t xml:space="preserve">https://biocodex6--c.vf.force.com/0014L00000KFoIDQA1</t>
  </si>
  <si>
    <t xml:space="preserve">FALZON</t>
  </si>
  <si>
    <t xml:space="preserve">FALZON LAURENCE</t>
  </si>
  <si>
    <t xml:space="preserve">https://biocodex6--c.vf.force.com/0014L00000KGNyjQAH</t>
  </si>
  <si>
    <t xml:space="preserve">SIMEON</t>
  </si>
  <si>
    <t xml:space="preserve">SIMEON SOPHIE</t>
  </si>
  <si>
    <t xml:space="preserve">124 RUE MARIUS AUFAN</t>
  </si>
  <si>
    <t xml:space="preserve">01 47 59 99 89</t>
  </si>
  <si>
    <t xml:space="preserve">https://biocodex6--c.vf.force.com/0014L00000KG1aMQAT</t>
  </si>
  <si>
    <t xml:space="preserve">https://annuairesante.ameli.fr/professionnels-de-sante/recherche/fiche-detaillee-CbA1kzE1MjC1.html</t>
  </si>
  <si>
    <t xml:space="preserve">BURSAUX</t>
  </si>
  <si>
    <t xml:space="preserve">BURSAUX SARAH</t>
  </si>
  <si>
    <t xml:space="preserve">133 AVENUE DE SUFFREN</t>
  </si>
  <si>
    <t xml:space="preserve">01 42 73 00 80</t>
  </si>
  <si>
    <t xml:space="preserve">https://biocodex6--c.vf.force.com/0014L00000KFVQNQA5</t>
  </si>
  <si>
    <t xml:space="preserve">https://annuairesante.ameli.fr/professionnels-de-sante/recherche/fiche-detaillee-B7c1mzE2NjO0.html</t>
  </si>
  <si>
    <t xml:space="preserve">08:30-13:30(R)</t>
  </si>
  <si>
    <t xml:space="preserve">TURBERG ROMAIN</t>
  </si>
  <si>
    <t xml:space="preserve">TURBERG ROMAIN CATHERINE</t>
  </si>
  <si>
    <t xml:space="preserve">01 48 28 36 82</t>
  </si>
  <si>
    <t xml:space="preserve">https://biocodex6--c.vf.force.com/0014L00000KG3wlQAD</t>
  </si>
  <si>
    <t xml:space="preserve">https://annuairesante.ameli.fr/professionnels-de-sante/recherche/fiche-detaillee-B7c1ljE0MzCw.html</t>
  </si>
  <si>
    <t xml:space="preserve">[Timestamp('2023-07-11 15:00:00'), Timestamp('2024-01-05 16:00:00'), Timestamp('2024-05-31 14:30:00')]</t>
  </si>
  <si>
    <t xml:space="preserve">GOETGHELUCK</t>
  </si>
  <si>
    <t xml:space="preserve">GOETGHELUCK JULIE</t>
  </si>
  <si>
    <t xml:space="preserve">17 RUE DARU</t>
  </si>
  <si>
    <t xml:space="preserve">01 47 63 37 94</t>
  </si>
  <si>
    <t xml:space="preserve">docteurjuliegoetgheluck@gmail.com</t>
  </si>
  <si>
    <t xml:space="preserve">https://biocodex6--c.vf.force.com/0014L00000KFcHJQA1</t>
  </si>
  <si>
    <t xml:space="preserve">https://annuairesante.ameli.fr/professionnels-de-sante/recherche/fiche-detaillee-B7c1mjAxNzG7.html</t>
  </si>
  <si>
    <t xml:space="preserve">VALENTIN SANTARNECCH</t>
  </si>
  <si>
    <t xml:space="preserve">VALENTIN SANTARNECCH CECILE</t>
  </si>
  <si>
    <t xml:space="preserve">48 RUE RAFFET</t>
  </si>
  <si>
    <t xml:space="preserve">RUE RAFFET</t>
  </si>
  <si>
    <t xml:space="preserve">01 34 44 28 20</t>
  </si>
  <si>
    <t xml:space="preserve">https://biocodex6--c.vf.force.com/0014L00000KFMLYQA5</t>
  </si>
  <si>
    <t xml:space="preserve">CHAPPUY</t>
  </si>
  <si>
    <t xml:space="preserve">CHAPPUY HELENE</t>
  </si>
  <si>
    <t xml:space="preserve">01 44 49 42 92</t>
  </si>
  <si>
    <t xml:space="preserve">https://biocodex6--c.vf.force.com/0014L00000KFfF4QAL</t>
  </si>
  <si>
    <t xml:space="preserve">LEPAGNOL</t>
  </si>
  <si>
    <t xml:space="preserve">LEPAGNOL ASTRID</t>
  </si>
  <si>
    <t xml:space="preserve">34 RUE DESNOUETTES</t>
  </si>
  <si>
    <t xml:space="preserve">RUE DESNOUETTES</t>
  </si>
  <si>
    <t xml:space="preserve">01 40 09 70 12</t>
  </si>
  <si>
    <t xml:space="preserve">lepagnola@gmail.com</t>
  </si>
  <si>
    <t xml:space="preserve">https://biocodex6--c.vf.force.com/0014L00000KFmy5QAD</t>
  </si>
  <si>
    <t xml:space="preserve">https://annuairesante.ameli.fr/professionnels-de-sante/recherche/fiche-detaillee-B7c1kjIwODG3.html</t>
  </si>
  <si>
    <t xml:space="preserve">LAGHA</t>
  </si>
  <si>
    <t xml:space="preserve">MAHA</t>
  </si>
  <si>
    <t xml:space="preserve">LAGHA MAHA</t>
  </si>
  <si>
    <t xml:space="preserve">https://biocodex6--c.vf.force.com/0014L00000KGHb4QAH</t>
  </si>
  <si>
    <t xml:space="preserve">ABOULKHEIR HADIDA</t>
  </si>
  <si>
    <t xml:space="preserve">RUTH</t>
  </si>
  <si>
    <t xml:space="preserve">ABOULKHEIR HADIDA RUTH</t>
  </si>
  <si>
    <t xml:space="preserve">OBS
MED</t>
  </si>
  <si>
    <t xml:space="preserve">14 RUE DE VOUILLE</t>
  </si>
  <si>
    <t xml:space="preserve">RUE DE VOUILLE</t>
  </si>
  <si>
    <t xml:space="preserve">01 45 30 01 19</t>
  </si>
  <si>
    <t xml:space="preserve">https://biocodex6--c.vf.force.com/0014L00000KFNpNQAX</t>
  </si>
  <si>
    <t xml:space="preserve">https://annuairesante.ameli.fr/professionnels-de-sante/recherche/fiche-detaillee-B7c1lTI0MzOy.html</t>
  </si>
  <si>
    <t xml:space="preserve">GOULET</t>
  </si>
  <si>
    <t xml:space="preserve">GOULET OLIVIER</t>
  </si>
  <si>
    <t xml:space="preserve">https://biocodex6--c.vf.force.com/0014L00000KFgc7QAD</t>
  </si>
  <si>
    <t xml:space="preserve">HAROUN</t>
  </si>
  <si>
    <t xml:space="preserve">FATIMA</t>
  </si>
  <si>
    <t xml:space="preserve">HAROUN FATIMA</t>
  </si>
  <si>
    <t xml:space="preserve">13 ALLEE ISADORA DUNCAN</t>
  </si>
  <si>
    <t xml:space="preserve">ALLEE ISADORA DUNCAN</t>
  </si>
  <si>
    <t xml:space="preserve">01 45 50 26 14</t>
  </si>
  <si>
    <t xml:space="preserve">https://biocodex6--c.vf.force.com/0014L00000KFS9eQAH</t>
  </si>
  <si>
    <t xml:space="preserve">https://annuairesante.ameli.fr/professionnels-de-sante/recherche/fiche-detaillee-B7c1lTM3MzK7.html</t>
  </si>
  <si>
    <t xml:space="preserve">[Timestamp('2023-07-12 12:00:00'), Timestamp('2023-09-13 12:00:00')]</t>
  </si>
  <si>
    <t xml:space="preserve">DEMOULIN</t>
  </si>
  <si>
    <t xml:space="preserve">MARYNE</t>
  </si>
  <si>
    <t xml:space="preserve">DEMOULIN MARYNE</t>
  </si>
  <si>
    <t xml:space="preserve">01 47 43 07 08</t>
  </si>
  <si>
    <t xml:space="preserve">https://biocodex6--c.vf.force.com/0014L00000KFKTQQA5</t>
  </si>
  <si>
    <t xml:space="preserve">https://annuairesante.ameli.fr/professionnels-de-sante/recherche/fiche-detaillee-B7c1kjEyOTSy.html</t>
  </si>
  <si>
    <t xml:space="preserve">14:00-18:20(R)</t>
  </si>
  <si>
    <t xml:space="preserve">09:40-14:00(R)</t>
  </si>
  <si>
    <t xml:space="preserve">09:00-13:30(?)</t>
  </si>
  <si>
    <t xml:space="preserve">LAGEIX</t>
  </si>
  <si>
    <t xml:space="preserve">LAGEIX FLORENCE</t>
  </si>
  <si>
    <t xml:space="preserve">01 44 49 48 82</t>
  </si>
  <si>
    <t xml:space="preserve">https://biocodex6--c.vf.force.com/0014L00000KFPjmQAH</t>
  </si>
  <si>
    <t xml:space="preserve">BATS MONGARDON</t>
  </si>
  <si>
    <t xml:space="preserve">BATS MONGARDON ANNE SOPHIE</t>
  </si>
  <si>
    <t xml:space="preserve">01 56 09 35 67</t>
  </si>
  <si>
    <t xml:space="preserve">https://biocodex6--c.vf.force.com/0014L00000KFTfXQAX</t>
  </si>
  <si>
    <t xml:space="preserve">NACCACHE</t>
  </si>
  <si>
    <t xml:space="preserve">NACCACHE ELIE</t>
  </si>
  <si>
    <t xml:space="preserve">72 RUE MICHEL ANGE</t>
  </si>
  <si>
    <t xml:space="preserve">RUE MICHEL ANGE</t>
  </si>
  <si>
    <t xml:space="preserve">01 42 50 02 61</t>
  </si>
  <si>
    <t xml:space="preserve">https://biocodex6--c.vf.force.com/0014L00000KGECKQA5</t>
  </si>
  <si>
    <t xml:space="preserve">GERMAIN</t>
  </si>
  <si>
    <t xml:space="preserve">CANDICE</t>
  </si>
  <si>
    <t xml:space="preserve">GERMAIN CANDICE</t>
  </si>
  <si>
    <t xml:space="preserve">https://biocodex6--c.vf.force.com/0014L00000KFSHWQA5</t>
  </si>
  <si>
    <t xml:space="preserve">RIZK</t>
  </si>
  <si>
    <t xml:space="preserve">RIZK ELIE</t>
  </si>
  <si>
    <t xml:space="preserve">45 RUE SAINT LAMBERT</t>
  </si>
  <si>
    <t xml:space="preserve">RUE ST LAMBERT</t>
  </si>
  <si>
    <t xml:space="preserve">01 56 08 32 08 // 01 40 72 33 97</t>
  </si>
  <si>
    <t xml:space="preserve">secretariat.rizk@gmail.com</t>
  </si>
  <si>
    <t xml:space="preserve">https://biocodex6--c.vf.force.com/0014L00000KFzX3QAL</t>
  </si>
  <si>
    <t xml:space="preserve">https://annuairesante.ameli.fr/professionnels-de-sante/recherche/fiche-detaillee-B7c1lTA1NjG2.html</t>
  </si>
  <si>
    <t xml:space="preserve">WEILL</t>
  </si>
  <si>
    <t xml:space="preserve">CLAIRE</t>
  </si>
  <si>
    <t xml:space="preserve">WEILL CLAIRE</t>
  </si>
  <si>
    <t xml:space="preserve">19 RUE CHATEAUBRIAND</t>
  </si>
  <si>
    <t xml:space="preserve">RUE CHATEAUBRIAND</t>
  </si>
  <si>
    <t xml:space="preserve">01 53 92 25 65</t>
  </si>
  <si>
    <t xml:space="preserve">https://biocodex6--c.vf.force.com/0014L00000KG5U3QAL</t>
  </si>
  <si>
    <t xml:space="preserve">CHAHINE</t>
  </si>
  <si>
    <t xml:space="preserve">CHAHINE DOMINIQUE</t>
  </si>
  <si>
    <t xml:space="preserve">ANG</t>
  </si>
  <si>
    <t xml:space="preserve">88 BOULEVARD DE COURCELLES</t>
  </si>
  <si>
    <t xml:space="preserve">BOULEVARD DE COURCELLES</t>
  </si>
  <si>
    <t xml:space="preserve">01 44 40 06 06</t>
  </si>
  <si>
    <t xml:space="preserve">https://biocodex6--c.vf.force.com/0014L00000kTkMyQAK</t>
  </si>
  <si>
    <t xml:space="preserve">https://annuairesante.ameli.fr/professionnels-de-sante/recherche/fiche-detaillee-B7c1lzM4Mzqy.html</t>
  </si>
  <si>
    <t xml:space="preserve">HOANG HUU PHUONG</t>
  </si>
  <si>
    <t xml:space="preserve">HOANG HUU PHUONG CATHERINE</t>
  </si>
  <si>
    <t xml:space="preserve">https://biocodex6--c.vf.force.com/0014L00000KFj1tQAD</t>
  </si>
  <si>
    <t xml:space="preserve">COSTE EMMANUELLE</t>
  </si>
  <si>
    <t xml:space="preserve">https://biocodex6--c.vf.force.com/0014L00000KFkXWQA1</t>
  </si>
  <si>
    <t xml:space="preserve">SEGUY</t>
  </si>
  <si>
    <t xml:space="preserve">SEGUY CAROLE</t>
  </si>
  <si>
    <t xml:space="preserve">https://biocodex6--c.vf.force.com/0014L00000KG0qEQAT</t>
  </si>
  <si>
    <t xml:space="preserve">KALMI EL LAIK</t>
  </si>
  <si>
    <t xml:space="preserve">ESTHER</t>
  </si>
  <si>
    <t xml:space="preserve">KALMI EL LAIK ESTHER</t>
  </si>
  <si>
    <t xml:space="preserve">https://biocodex6--c.vf.force.com/0014L00000KFiSUQA1</t>
  </si>
  <si>
    <t xml:space="preserve">DIGE MICHAUX</t>
  </si>
  <si>
    <t xml:space="preserve">DIGE MICHAUX CLAIRE</t>
  </si>
  <si>
    <t xml:space="preserve">3 RUE EUGENE MILLON</t>
  </si>
  <si>
    <t xml:space="preserve">RUE EUGENE MILLON</t>
  </si>
  <si>
    <t xml:space="preserve">01 45 65 61 19</t>
  </si>
  <si>
    <t xml:space="preserve">https://biocodex6--c.vf.force.com/0014L00000KFYNQQA5</t>
  </si>
  <si>
    <t xml:space="preserve">KISSELEVA ROMANOVA HOOGHE</t>
  </si>
  <si>
    <t xml:space="preserve">ELENA</t>
  </si>
  <si>
    <t xml:space="preserve">KISSELEVA ROMANOVA HOOGHE ELENA</t>
  </si>
  <si>
    <t xml:space="preserve">7 PLACE DU GENERAL CATROUX</t>
  </si>
  <si>
    <t xml:space="preserve">PLACE DU GENERAL CATROUX</t>
  </si>
  <si>
    <t xml:space="preserve">01 45 78 64 71</t>
  </si>
  <si>
    <t xml:space="preserve">https://biocodex6--c.vf.force.com/0014L00000KFjXbQAL</t>
  </si>
  <si>
    <t xml:space="preserve">https://annuairesante.ameli.fr/professionnels-de-sante/recherche/fiche-detaillee-B7c1lTM5ODKy.html</t>
  </si>
  <si>
    <t xml:space="preserve">NEVEN</t>
  </si>
  <si>
    <t xml:space="preserve">NEVEN BENEDICTE</t>
  </si>
  <si>
    <t xml:space="preserve">https://biocodex6--c.vf.force.com/0014L00000KFtq3QAD</t>
  </si>
  <si>
    <t xml:space="preserve">MAYEUX</t>
  </si>
  <si>
    <t xml:space="preserve">PIERRE ALAIN</t>
  </si>
  <si>
    <t xml:space="preserve">MAYEUX PIERRE ALAIN</t>
  </si>
  <si>
    <t xml:space="preserve">123 RUE DE LONGCHAMP</t>
  </si>
  <si>
    <t xml:space="preserve">01 45 05 44 44</t>
  </si>
  <si>
    <t xml:space="preserve">https://biocodex6--c.vf.force.com/0014L00000fZirNQAS</t>
  </si>
  <si>
    <t xml:space="preserve">https://annuairesante.ameli.fr/professionnels-de-sante/recherche/fiche-detaillee-B7c1lTA3MjGx.html</t>
  </si>
  <si>
    <t xml:space="preserve">AMRANE</t>
  </si>
  <si>
    <t xml:space="preserve">NABIL</t>
  </si>
  <si>
    <t xml:space="preserve">AMRANE NABIL</t>
  </si>
  <si>
    <t xml:space="preserve">FRESNE</t>
  </si>
  <si>
    <t xml:space="preserve">MATHIEU</t>
  </si>
  <si>
    <t xml:space="preserve">FRESNE MATHIEU</t>
  </si>
  <si>
    <t xml:space="preserve">61 RUE BALARD</t>
  </si>
  <si>
    <t xml:space="preserve">https://biocodex6--c.vf.force.com/0014L00000hto5gQAA</t>
  </si>
  <si>
    <t xml:space="preserve">DUGUET</t>
  </si>
  <si>
    <t xml:space="preserve">MARJORIE</t>
  </si>
  <si>
    <t xml:space="preserve">DUGUET MARJORIE</t>
  </si>
  <si>
    <t xml:space="preserve">https://biocodex6--c.vf.force.com/0014L00000KGERdQAP</t>
  </si>
  <si>
    <t xml:space="preserve">VALENTIN</t>
  </si>
  <si>
    <t xml:space="preserve">VALENTIN THOMAS</t>
  </si>
  <si>
    <t xml:space="preserve">01 44 49 41 72</t>
  </si>
  <si>
    <t xml:space="preserve">https://biocodex6--c.vf.force.com/0014L00000n0nx5QAA</t>
  </si>
  <si>
    <t xml:space="preserve">OHAYON</t>
  </si>
  <si>
    <t xml:space="preserve">JORDAN</t>
  </si>
  <si>
    <t xml:space="preserve">OHAYON JORDAN</t>
  </si>
  <si>
    <t xml:space="preserve">122 RUE ANATOLE FRANCE</t>
  </si>
  <si>
    <t xml:space="preserve">RUE ANATOLE FRANCE</t>
  </si>
  <si>
    <t xml:space="preserve">https://biocodex6--c.vf.force.com/0014L00000KGDnQQAX</t>
  </si>
  <si>
    <t xml:space="preserve">https://annuairesante.ameli.fr/professionnels-de-sante/recherche/fiche-detaillee-CbA1kjY4Nze3.html</t>
  </si>
  <si>
    <t xml:space="preserve">ABERTURAS</t>
  </si>
  <si>
    <t xml:space="preserve">PALOMA</t>
  </si>
  <si>
    <t xml:space="preserve">ABERTURAS PALOMA</t>
  </si>
  <si>
    <t xml:space="preserve">103 RUE ARISTIDE BRIAND</t>
  </si>
  <si>
    <t xml:space="preserve">01 47 37 22 80</t>
  </si>
  <si>
    <t xml:space="preserve">https://biocodex6--c.vf.force.com/0014L00000W3S3SQAV</t>
  </si>
  <si>
    <t xml:space="preserve">https://annuairesante.ameli.fr/professionnels-de-sante/recherche/fiche-detaillee-CbA1kjQ0MTay.html</t>
  </si>
  <si>
    <t xml:space="preserve">09:00-12:00(?)</t>
  </si>
  <si>
    <t xml:space="preserve">BOURGINE</t>
  </si>
  <si>
    <t xml:space="preserve">TINA</t>
  </si>
  <si>
    <t xml:space="preserve">BOURGINE TINA</t>
  </si>
  <si>
    <t xml:space="preserve">https://biocodex6--c.vf.force.com/0014L00000NBSpXQAX</t>
  </si>
  <si>
    <t xml:space="preserve">MASTAIN</t>
  </si>
  <si>
    <t xml:space="preserve">BRUNO</t>
  </si>
  <si>
    <t xml:space="preserve">MASTAIN BRUNO</t>
  </si>
  <si>
    <t xml:space="preserve">133 RUE DU RANELAGH</t>
  </si>
  <si>
    <t xml:space="preserve">RUE DU RANELAGH</t>
  </si>
  <si>
    <t xml:space="preserve">01 47 55 67 13</t>
  </si>
  <si>
    <t xml:space="preserve">https://biocodex6--c.vf.force.com/0014L00000KFretQAD</t>
  </si>
  <si>
    <t xml:space="preserve">https://annuairesante.ameli.fr/professionnels-de-sante/recherche/fiche-detaillee-B7c1lDo4Nju0.html</t>
  </si>
  <si>
    <t xml:space="preserve">SEE</t>
  </si>
  <si>
    <t xml:space="preserve">SEE JACQUES</t>
  </si>
  <si>
    <t xml:space="preserve">20 AVENUE CHARLES DE GAULLE</t>
  </si>
  <si>
    <t xml:space="preserve">01 47 47 53 51</t>
  </si>
  <si>
    <t xml:space="preserve">https://biocodex6--c.vf.force.com/0014L00000KG15aQAD</t>
  </si>
  <si>
    <t xml:space="preserve">https://annuairesante.ameli.fr/professionnels-de-sante/recherche/fiche-detaillee-CbA1kzY2ODqy.html</t>
  </si>
  <si>
    <t xml:space="preserve">PANAGOULIAS</t>
  </si>
  <si>
    <t xml:space="preserve">PROKOPIOS</t>
  </si>
  <si>
    <t xml:space="preserve">PANAGOULIAS PROKOPIOS</t>
  </si>
  <si>
    <t xml:space="preserve">76 RUE DE MIROMESNIL</t>
  </si>
  <si>
    <t xml:space="preserve">01 46 27 37 35 // 06 18 80 52 26</t>
  </si>
  <si>
    <t xml:space="preserve">https://biocodex6--c.vf.force.com/0014L00000KFwORQA1</t>
  </si>
  <si>
    <t xml:space="preserve">https://annuairesante.ameli.fr/professionnels-de-sante/recherche/fiche-detaillee-B7c1lTE4MTOz.html</t>
  </si>
  <si>
    <t xml:space="preserve">BENSIMHON</t>
  </si>
  <si>
    <t xml:space="preserve">RAPHAEL</t>
  </si>
  <si>
    <t xml:space="preserve">BENSIMHON RAPHAEL</t>
  </si>
  <si>
    <t xml:space="preserve">57 RUE JEAN DE LA FONTAINE</t>
  </si>
  <si>
    <t xml:space="preserve">09 86 57 57 56</t>
  </si>
  <si>
    <t xml:space="preserve">https://biocodex6--c.vf.force.com/0014L00000KFSiEQAX</t>
  </si>
  <si>
    <t xml:space="preserve">https://annuairesante.ameli.fr/professionnels-de-sante/recherche/fiche-detaillee-B7c1kjU2MTe1.html</t>
  </si>
  <si>
    <t xml:space="preserve">BELIERES</t>
  </si>
  <si>
    <t xml:space="preserve">BELIERES CHARLES</t>
  </si>
  <si>
    <t xml:space="preserve">INT</t>
  </si>
  <si>
    <t xml:space="preserve">https://biocodex6--c.vf.force.com/0014L00000hsTZYQA2</t>
  </si>
  <si>
    <t xml:space="preserve">PILLA</t>
  </si>
  <si>
    <t xml:space="preserve">LORENZO</t>
  </si>
  <si>
    <t xml:space="preserve">PILLA LORENZO</t>
  </si>
  <si>
    <t xml:space="preserve">https://biocodex6--c.vf.force.com/0014L00000KGPIRQA5</t>
  </si>
  <si>
    <t xml:space="preserve">HAIMOVICI</t>
  </si>
  <si>
    <t xml:space="preserve">HAIMOVICI PATRICK</t>
  </si>
  <si>
    <t xml:space="preserve">108 RUE DU THEATRE</t>
  </si>
  <si>
    <t xml:space="preserve">01 45 79 62 87</t>
  </si>
  <si>
    <t xml:space="preserve">https://biocodex6--c.vf.force.com/0014L00000KFi3hQAD</t>
  </si>
  <si>
    <t xml:space="preserve">https://annuairesante.ameli.fr/professionnels-de-sante/recherche/fiche-detaillee-B7c1lDQzMzCz.html</t>
  </si>
  <si>
    <t xml:space="preserve">FRANCOIS XAVIER</t>
  </si>
  <si>
    <t xml:space="preserve">BONET FRANCOIS XAVIER</t>
  </si>
  <si>
    <t xml:space="preserve">186 RUE DE LA CONVENTION</t>
  </si>
  <si>
    <t xml:space="preserve">01 45 31 82 13</t>
  </si>
  <si>
    <t xml:space="preserve">https://biocodex6--c.vf.force.com/0014L00000KFU11QAH</t>
  </si>
  <si>
    <t xml:space="preserve">https://annuairesante.ameli.fr/professionnels-de-sante/recherche/fiche-detaillee-B7c1lzo4MjW0.html</t>
  </si>
  <si>
    <t xml:space="preserve">PAROIS</t>
  </si>
  <si>
    <t xml:space="preserve">LIONEL</t>
  </si>
  <si>
    <t xml:space="preserve">PAROIS LIONEL</t>
  </si>
  <si>
    <t xml:space="preserve">01 56 09 34 37</t>
  </si>
  <si>
    <t xml:space="preserve">https://biocodex6--c.vf.force.com/0014L00000KFugzQAD</t>
  </si>
  <si>
    <t xml:space="preserve">VARILLE</t>
  </si>
  <si>
    <t xml:space="preserve">VENANCE</t>
  </si>
  <si>
    <t xml:space="preserve">VARILLE VENANCE</t>
  </si>
  <si>
    <t xml:space="preserve">20 RUE LA BOETIE</t>
  </si>
  <si>
    <t xml:space="preserve">RUE LA BOETIE</t>
  </si>
  <si>
    <t xml:space="preserve">01 44 90 03 76</t>
  </si>
  <si>
    <t xml:space="preserve">https://biocodex6--c.vf.force.com/0014L00000KG5vCQAT</t>
  </si>
  <si>
    <t xml:space="preserve">https://annuairesante.ameli.fr/professionnels-de-sante/recherche/fiche-detaillee-B7c1lzY3MDKx.html</t>
  </si>
  <si>
    <t xml:space="preserve">SAYAC</t>
  </si>
  <si>
    <t xml:space="preserve">SABINE</t>
  </si>
  <si>
    <t xml:space="preserve">SAYAC SABINE</t>
  </si>
  <si>
    <t xml:space="preserve">2 AVENUE DU GENERAL BALFOURIER</t>
  </si>
  <si>
    <t xml:space="preserve">AVENUE DU GENERAL BALFOURIER</t>
  </si>
  <si>
    <t xml:space="preserve">01 45 04 20 85</t>
  </si>
  <si>
    <t xml:space="preserve">https://biocodex6--c.vf.force.com/0014L00000KG0hAQAT</t>
  </si>
  <si>
    <t xml:space="preserve">SPITZ</t>
  </si>
  <si>
    <t xml:space="preserve">SPITZ OLIVIER</t>
  </si>
  <si>
    <t xml:space="preserve">106 AVENUE KLEBER</t>
  </si>
  <si>
    <t xml:space="preserve">01 42 53 20 20</t>
  </si>
  <si>
    <t xml:space="preserve">https://biocodex6--c.vf.force.com/0014L00000KG267QAD</t>
  </si>
  <si>
    <t xml:space="preserve">https://annuairesante.ameli.fr/professionnels-de-sante/recherche/fiche-detaillee-B7c1kjMyNTe6.html</t>
  </si>
  <si>
    <t xml:space="preserve">CALMON</t>
  </si>
  <si>
    <t xml:space="preserve">ANTONI</t>
  </si>
  <si>
    <t xml:space="preserve">CALMON ANTONI</t>
  </si>
  <si>
    <t xml:space="preserve">35 AVENUE FRANKLIN DELANO ROOSEVELT</t>
  </si>
  <si>
    <t xml:space="preserve">AVENUE FRANKLIN DELANO ROOSEVELT</t>
  </si>
  <si>
    <t xml:space="preserve">01 40 05 51 89</t>
  </si>
  <si>
    <t xml:space="preserve">https://biocodex6--c.vf.force.com/0014L00000KG9eLQAT</t>
  </si>
  <si>
    <t xml:space="preserve">BOISSIN</t>
  </si>
  <si>
    <t xml:space="preserve">BOISSIN HERVE</t>
  </si>
  <si>
    <t xml:space="preserve">86 RUE DU RANELAGH</t>
  </si>
  <si>
    <t xml:space="preserve">01 45 27 39 76</t>
  </si>
  <si>
    <t xml:space="preserve">https://biocodex6--c.vf.force.com/0014L00000KFTpyQAH</t>
  </si>
  <si>
    <t xml:space="preserve">https://annuairesante.ameli.fr/professionnels-de-sante/recherche/fiche-detaillee-B7c1kTYxOTS7.html</t>
  </si>
  <si>
    <t xml:space="preserve">DAMOUR</t>
  </si>
  <si>
    <t xml:space="preserve">DAMOUR DOMINIQUE</t>
  </si>
  <si>
    <t xml:space="preserve">269 RUE LECOURBE</t>
  </si>
  <si>
    <t xml:space="preserve">09 86 72 71 56</t>
  </si>
  <si>
    <t xml:space="preserve">https://biocodex6--c.vf.force.com/0014L00000KFYXAQA5</t>
  </si>
  <si>
    <t xml:space="preserve">https://annuairesante.ameli.fr/professionnels-de-sante/recherche/fiche-detaillee-B7c1lDMxMje2.html</t>
  </si>
  <si>
    <t xml:space="preserve">14:00-16:45(R)</t>
  </si>
  <si>
    <t xml:space="preserve">HANNOUN DJIANE</t>
  </si>
  <si>
    <t xml:space="preserve">SONIA</t>
  </si>
  <si>
    <t xml:space="preserve">HANNOUN DJIANE SONIA</t>
  </si>
  <si>
    <t xml:space="preserve">160 RUE DE L UNIVERSITE</t>
  </si>
  <si>
    <t xml:space="preserve">RUE DE L UNIVERSITE</t>
  </si>
  <si>
    <t xml:space="preserve">https://biocodex6--c.vf.force.com/0014L00000KFiABQA1</t>
  </si>
  <si>
    <t xml:space="preserve">LAMAZOU</t>
  </si>
  <si>
    <t xml:space="preserve">LAMAZOU FREDERIC</t>
  </si>
  <si>
    <t xml:space="preserve">25 RUE PIERRE DEMOURS</t>
  </si>
  <si>
    <t xml:space="preserve">RUE PIERRE DEMOURS</t>
  </si>
  <si>
    <t xml:space="preserve">01 43 80 96 64</t>
  </si>
  <si>
    <t xml:space="preserve">https://biocodex6--c.vf.force.com/0014L00000KFoJCQA1</t>
  </si>
  <si>
    <t xml:space="preserve">https://annuairesante.ameli.fr/professionnels-de-sante/recherche/fiche-detaillee-B7c1kjYwMTq1.html
LAMAZOU FREDERIC</t>
  </si>
  <si>
    <t xml:space="preserve">LAFITE</t>
  </si>
  <si>
    <t xml:space="preserve">THIERRY</t>
  </si>
  <si>
    <t xml:space="preserve">LAFITE THIERRY</t>
  </si>
  <si>
    <t xml:space="preserve">151 AVENUE DE WAGRAM</t>
  </si>
  <si>
    <t xml:space="preserve">01 42 27 57 22</t>
  </si>
  <si>
    <t xml:space="preserve">https://biocodex6--c.vf.force.com/0014L00000KFlSwQAL</t>
  </si>
  <si>
    <t xml:space="preserve">https://annuairesante.ameli.fr/professionnels-de-sante/recherche/fiche-detaillee-B7c1lzA1NDe3.html</t>
  </si>
  <si>
    <t xml:space="preserve">COELHO BRAGA</t>
  </si>
  <si>
    <t xml:space="preserve">MARIA CLARA</t>
  </si>
  <si>
    <t xml:space="preserve">COELHO BRAGA MARIA CLARA</t>
  </si>
  <si>
    <t xml:space="preserve">4 RUE DU GENERAL DE LARMINAT</t>
  </si>
  <si>
    <t xml:space="preserve">RUE DU GENERAL DE LARMINAT</t>
  </si>
  <si>
    <t xml:space="preserve">01 44 61 17 86</t>
  </si>
  <si>
    <t xml:space="preserve">https://biocodex6--c.vf.force.com/0014L00000KFhwhQAD</t>
  </si>
  <si>
    <t xml:space="preserve">https://annuairesante.ameli.fr/professionnels-de-sante/recherche/fiche-detaillee-B7c1kjQzNDa7.html</t>
  </si>
  <si>
    <t xml:space="preserve">MIRAT</t>
  </si>
  <si>
    <t xml:space="preserve">MIRAT PIERRE</t>
  </si>
  <si>
    <t xml:space="preserve">https://biocodex6--c.vf.force.com/0014L00000KFs2aQAD</t>
  </si>
  <si>
    <t xml:space="preserve">PEREZ</t>
  </si>
  <si>
    <t xml:space="preserve">PEREZ XAVIER</t>
  </si>
  <si>
    <t xml:space="preserve">90 RUE MARIUS AUFAN</t>
  </si>
  <si>
    <t xml:space="preserve">01 47 57 75 81</t>
  </si>
  <si>
    <t xml:space="preserve">https://biocodex6--c.vf.force.com/0014L00000KFvHuQAL</t>
  </si>
  <si>
    <t xml:space="preserve">https://annuairesante.ameli.fr/professionnels-de-sante/recherche/fiche-detaillee-CbA1kzU2ODq1.html</t>
  </si>
  <si>
    <t xml:space="preserve">JOLLY NERVIL</t>
  </si>
  <si>
    <t xml:space="preserve">NADINE</t>
  </si>
  <si>
    <t xml:space="preserve">JOLLY NERVIL NADINE</t>
  </si>
  <si>
    <t xml:space="preserve">nadinenervil@aol.com</t>
  </si>
  <si>
    <t xml:space="preserve">https://biocodex6--c.vf.force.com/0014L00000KFtScQAL</t>
  </si>
  <si>
    <t xml:space="preserve">[Timestamp('2023-09-07 15:00:00'), Timestamp('2023-12-07 14:30:00'), Timestamp('2024-01-18 14:00:00'), Timestamp('2024-05-13 11:00:00')]</t>
  </si>
  <si>
    <t xml:space="preserve">9-12</t>
  </si>
  <si>
    <t xml:space="preserve">14-18</t>
  </si>
  <si>
    <t xml:space="preserve">GUEVEL DELARUE</t>
  </si>
  <si>
    <t xml:space="preserve">KRISTELL</t>
  </si>
  <si>
    <t xml:space="preserve">GUEVEL DELARUE KRISTELL</t>
  </si>
  <si>
    <t xml:space="preserve">01 44 49 67 85</t>
  </si>
  <si>
    <t xml:space="preserve">https://biocodex6--c.vf.force.com/0014L00000KFcIgQAL</t>
  </si>
  <si>
    <t xml:space="preserve">DECQ</t>
  </si>
  <si>
    <t xml:space="preserve">DECQ MICHELE</t>
  </si>
  <si>
    <t xml:space="preserve">35 RUE DES MORILLONS</t>
  </si>
  <si>
    <t xml:space="preserve">RUE DES MORILLONS</t>
  </si>
  <si>
    <t xml:space="preserve">01 48 56 21 72</t>
  </si>
  <si>
    <t xml:space="preserve">https://biocodex6--c.vf.force.com/0014L00000KFZUWQA5</t>
  </si>
  <si>
    <t xml:space="preserve">https://annuairesante.ameli.fr/professionnels-de-sante/recherche/fiche-detaillee-B7c1lzM0MTO3.html</t>
  </si>
  <si>
    <t xml:space="preserve">ANJOU</t>
  </si>
  <si>
    <t xml:space="preserve">ANJOU ERIC</t>
  </si>
  <si>
    <t xml:space="preserve">74 RUE DE LA TOUR</t>
  </si>
  <si>
    <t xml:space="preserve">01 40 72 70 32</t>
  </si>
  <si>
    <t xml:space="preserve">https://biocodex6--c.vf.force.com/0014L00000KFQVtQAP</t>
  </si>
  <si>
    <t xml:space="preserve">https://annuairesante.ameli.fr/professionnels-de-sante/recherche/fiche-detaillee-B7c1lzYwODK0.html</t>
  </si>
  <si>
    <t xml:space="preserve">PEZ</t>
  </si>
  <si>
    <t xml:space="preserve">PEZ JEAN PIERRE</t>
  </si>
  <si>
    <t xml:space="preserve">15 AVENUE D EYLAU</t>
  </si>
  <si>
    <t xml:space="preserve">AVENUE D EYLAU</t>
  </si>
  <si>
    <t xml:space="preserve">https://biocodex6--c.vf.force.com/0014L00000KFvmUQAT</t>
  </si>
  <si>
    <t xml:space="preserve">FAURIE</t>
  </si>
  <si>
    <t xml:space="preserve">FAURIE CATHERINE</t>
  </si>
  <si>
    <t xml:space="preserve">28 AVENUE CARNOT</t>
  </si>
  <si>
    <t xml:space="preserve">AVENUE CARNOT</t>
  </si>
  <si>
    <t xml:space="preserve">01 45 01 87 26</t>
  </si>
  <si>
    <t xml:space="preserve">secretariat.scmcarnot@gmail.com</t>
  </si>
  <si>
    <t xml:space="preserve">https://biocodex6--c.vf.force.com/0014L00000KFdIzQAL</t>
  </si>
  <si>
    <t xml:space="preserve">https://annuairesante.ameli.fr/professionnels-de-sante/recherche/fiche-detaillee-B7c1ljc5OTKw.html</t>
  </si>
  <si>
    <t xml:space="preserve">TESQUIER</t>
  </si>
  <si>
    <t xml:space="preserve">TESQUIER LAURENT</t>
  </si>
  <si>
    <t xml:space="preserve">60 AVENUE PAUL DOUMER</t>
  </si>
  <si>
    <t xml:space="preserve">https://biocodex6--c.vf.force.com/0014L00000KG2qiQAD</t>
  </si>
  <si>
    <t xml:space="preserve">https://annuairesante.ameli.fr/professionnels-de-sante/recherche/fiche-detaillee-B7c1lTI4OTe1.html</t>
  </si>
  <si>
    <t xml:space="preserve">LUGASSY</t>
  </si>
  <si>
    <t xml:space="preserve">SIMON DANIEL</t>
  </si>
  <si>
    <t xml:space="preserve">LUGASSY SIMON DANIEL</t>
  </si>
  <si>
    <t xml:space="preserve">15 RUE SPONTINI</t>
  </si>
  <si>
    <t xml:space="preserve">RUE SPONTINI</t>
  </si>
  <si>
    <t xml:space="preserve">01 47 63 47 00</t>
  </si>
  <si>
    <t xml:space="preserve">https://biocodex6--c.vf.force.com/0014L00000YvMVeQAN</t>
  </si>
  <si>
    <t xml:space="preserve">https://annuairesante.ameli.fr/professionnels-de-sante/recherche/fiche-detaillee-B7c1kTMzOTG3.html</t>
  </si>
  <si>
    <t xml:space="preserve">KARSENTY</t>
  </si>
  <si>
    <t xml:space="preserve">LUC</t>
  </si>
  <si>
    <t xml:space="preserve">KARSENTY LUC</t>
  </si>
  <si>
    <t xml:space="preserve">01 46 41 26 48 // 01 46 41 27 26</t>
  </si>
  <si>
    <t xml:space="preserve">https://biocodex6--c.vf.force.com/0014L00000KFkZEQA1</t>
  </si>
  <si>
    <t xml:space="preserve">https://annuairesante.ameli.fr/professionnels-de-sante/recherche/fiche-detaillee-B7c1mzY2MzG2.html</t>
  </si>
  <si>
    <t xml:space="preserve">LE CONTE</t>
  </si>
  <si>
    <t xml:space="preserve">LE CONTE MARTINE</t>
  </si>
  <si>
    <t xml:space="preserve">https://biocodex6--c.vf.force.com/0014L00000KFnI2QAL</t>
  </si>
  <si>
    <t xml:space="preserve">LAUGA</t>
  </si>
  <si>
    <t xml:space="preserve">PIERRE EDOUARD</t>
  </si>
  <si>
    <t xml:space="preserve">LAUGA PIERRE EDOUARD</t>
  </si>
  <si>
    <t xml:space="preserve">9 AVENUE NIEL</t>
  </si>
  <si>
    <t xml:space="preserve">01 45 72 45 72</t>
  </si>
  <si>
    <t xml:space="preserve">https://biocodex6--c.vf.force.com/0014L00000KFmKdQAL</t>
  </si>
  <si>
    <t xml:space="preserve">https://annuairesante.ameli.fr/professionnels-de-sante/recherche/fiche-detaillee-B7c1ljEzMzu2.html</t>
  </si>
  <si>
    <t xml:space="preserve">CHOURAQUI</t>
  </si>
  <si>
    <t xml:space="preserve">ALBERT</t>
  </si>
  <si>
    <t xml:space="preserve">CHOURAQUI ALBERT</t>
  </si>
  <si>
    <t xml:space="preserve">77 AVENUE PAUL DOUMER</t>
  </si>
  <si>
    <t xml:space="preserve">01 40 72 33 56</t>
  </si>
  <si>
    <t xml:space="preserve">https://biocodex6--c.vf.force.com/0014L00000KFWjzQAH</t>
  </si>
  <si>
    <t xml:space="preserve">https://annuairesante.ameli.fr/professionnels-de-sante/recherche/fiche-detaillee-B7c1mjI2MTS3.html</t>
  </si>
  <si>
    <t xml:space="preserve">LEFEBVRE</t>
  </si>
  <si>
    <t xml:space="preserve">LEFEBVRE JEAN FRANCOIS</t>
  </si>
  <si>
    <t xml:space="preserve">CLI DE L’ALMA</t>
  </si>
  <si>
    <t xml:space="preserve">166 RUE DE L UNIVERSITE</t>
  </si>
  <si>
    <t xml:space="preserve">01 45 56 55 00</t>
  </si>
  <si>
    <t xml:space="preserve">https://biocodex6--c.vf.force.com/0014L00000KFnORQA1</t>
  </si>
  <si>
    <t xml:space="preserve">https://annuairesante.ameli.fr/professionnels-de-sante/recherche/fiche-detaillee-B7c1lzIxMDuz.html</t>
  </si>
  <si>
    <t xml:space="preserve">GARCON</t>
  </si>
  <si>
    <t xml:space="preserve">GARCON GERARD</t>
  </si>
  <si>
    <t xml:space="preserve">4 AVENUE GOURGAUD</t>
  </si>
  <si>
    <t xml:space="preserve">AVENUE GOURGAUD</t>
  </si>
  <si>
    <t xml:space="preserve">01 44 15 03 03</t>
  </si>
  <si>
    <t xml:space="preserve">https://biocodex6--c.vf.force.com/0014L00000KFf6JQAT</t>
  </si>
  <si>
    <t xml:space="preserve">https://annuairesante.ameli.fr/professionnels-de-sante/recherche/fiche-detaillee-B7c1lTYyOTu6.html</t>
  </si>
  <si>
    <t xml:space="preserve">ARNAL BERAUD</t>
  </si>
  <si>
    <t xml:space="preserve">ARNAL BERAUD FRANCOISE</t>
  </si>
  <si>
    <t xml:space="preserve">https://biocodex6--c.vf.force.com/0014L00000KFSjhQAH</t>
  </si>
  <si>
    <t xml:space="preserve">SALAMA</t>
  </si>
  <si>
    <t xml:space="preserve">SALAMA BRIGITTE</t>
  </si>
  <si>
    <t xml:space="preserve">3 AVENUE DU PRESIDENT WILSON</t>
  </si>
  <si>
    <t xml:space="preserve">AVENUE DU PRESIDENT WILSON</t>
  </si>
  <si>
    <t xml:space="preserve">01 56 62 10 71</t>
  </si>
  <si>
    <t xml:space="preserve">brigitte.salama@wanadoo.fr</t>
  </si>
  <si>
    <t xml:space="preserve">https://biocodex6--c.vf.force.com/0014L00000KG0CGQA1</t>
  </si>
  <si>
    <t xml:space="preserve">https://annuairesante.ameli.fr/professionnels-de-sante/recherche/fiche-detaillee-B7c1ljE4MTO6.html</t>
  </si>
  <si>
    <t xml:space="preserve">TAWIL</t>
  </si>
  <si>
    <t xml:space="preserve">TAWIL SOPHIE</t>
  </si>
  <si>
    <t xml:space="preserve">01 42 50 02 61 // 01 53 38 70 00</t>
  </si>
  <si>
    <t xml:space="preserve">https://biocodex6--c.vf.force.com/0014L00000KFPWxQAP</t>
  </si>
  <si>
    <t xml:space="preserve">https://annuairesante.ameli.fr/professionnels-de-sante/recherche/fiche-detaillee-B7c1kjY5MjS3.html</t>
  </si>
  <si>
    <t xml:space="preserve">LUMBROSO</t>
  </si>
  <si>
    <t xml:space="preserve">LUMBROSO ALAIN</t>
  </si>
  <si>
    <t xml:space="preserve">CLI DE LA MUETTE</t>
  </si>
  <si>
    <t xml:space="preserve">46 RUE NICOLO</t>
  </si>
  <si>
    <t xml:space="preserve">01 40 72 33 57</t>
  </si>
  <si>
    <t xml:space="preserve">https://biocodex6--c.vf.force.com/0014L00000KFp3kQAD</t>
  </si>
  <si>
    <t xml:space="preserve">https://annuairesante.ameli.fr/professionnels-de-sante/recherche/fiche-detaillee-B7c1lTA5Mzq1.html</t>
  </si>
  <si>
    <t xml:space="preserve">FLEURET BELLANGER</t>
  </si>
  <si>
    <t xml:space="preserve">FLEURET BELLANGER VICTOIRE</t>
  </si>
  <si>
    <t xml:space="preserve">01 42 50 18 64</t>
  </si>
  <si>
    <t xml:space="preserve">victoirefleuret@hotmail.fr</t>
  </si>
  <si>
    <t xml:space="preserve">https://biocodex6--c.vf.force.com/0014L00000KFKS6QAP</t>
  </si>
  <si>
    <t xml:space="preserve">https://annuairesante.ameli.fr/professionnels-de-sante/recherche/fiche-detaillee-B7c1kjM0OTG2.html</t>
  </si>
  <si>
    <t xml:space="preserve">BICLET</t>
  </si>
  <si>
    <t xml:space="preserve">BICLET ANNE SOPHIE</t>
  </si>
  <si>
    <t xml:space="preserve">https://biocodex6--c.vf.force.com/0014L00000KG5A2QAL</t>
  </si>
  <si>
    <t xml:space="preserve">https://annuairesante.ameli.fr/professionnels-de-sante/recherche/fiche-detaillee-B7c1mzsxNTO0.html</t>
  </si>
  <si>
    <t xml:space="preserve">[Timestamp('2023-10-12 11:00:00'), Timestamp('2023-11-17 15:00:00')]</t>
  </si>
  <si>
    <t xml:space="preserve">14:00-17:30(R)
18:30-19:30(R)</t>
  </si>
  <si>
    <t xml:space="preserve">08:30-9:40(R)</t>
  </si>
  <si>
    <t xml:space="preserve">17:30-19:30(R)</t>
  </si>
  <si>
    <t xml:space="preserve">ESCOUROLLE PELTIER</t>
  </si>
  <si>
    <t xml:space="preserve">ESCOUROLLE PELTIER FRANCOISE</t>
  </si>
  <si>
    <t xml:space="preserve">95 RUE MICHEL ANGE</t>
  </si>
  <si>
    <t xml:space="preserve">https://biocodex6--c.vf.force.com/0014L00000KFQS4QAP</t>
  </si>
  <si>
    <t xml:space="preserve">DUFETRE</t>
  </si>
  <si>
    <t xml:space="preserve">DUFETRE CLAUDE</t>
  </si>
  <si>
    <t xml:space="preserve">5 SQUARE DU ROULE</t>
  </si>
  <si>
    <t xml:space="preserve">SQUARE DU ROULE</t>
  </si>
  <si>
    <t xml:space="preserve">01 43 59 97 97</t>
  </si>
  <si>
    <t xml:space="preserve">medecinscabroule@gmail.com</t>
  </si>
  <si>
    <t xml:space="preserve">https://biocodex6--c.vf.force.com/0014L00000KFbhOQAT</t>
  </si>
  <si>
    <t xml:space="preserve">https://annuairesante.ameli.fr/professionnels-de-sante/recherche/fiche-detaillee-B7c1mzE1ODKx.html</t>
  </si>
  <si>
    <t xml:space="preserve">HOEFLER</t>
  </si>
  <si>
    <t xml:space="preserve">LEONIE</t>
  </si>
  <si>
    <t xml:space="preserve">HOEFLER LEONIE</t>
  </si>
  <si>
    <t xml:space="preserve">https://biocodex6--c.vf.force.com/0014L00000KFPYYQA5</t>
  </si>
  <si>
    <t xml:space="preserve">https://annuairesante.ameli.fr/professionnels-de-sante/recherche/fiche-detaillee-B7c1kjQyNjOz.html</t>
  </si>
  <si>
    <t xml:space="preserve">09:40-13:00(R)</t>
  </si>
  <si>
    <t xml:space="preserve">HASTERT</t>
  </si>
  <si>
    <t xml:space="preserve">HASTERT VERONIQUE</t>
  </si>
  <si>
    <t xml:space="preserve">208 RUE DE VAUGIRARD</t>
  </si>
  <si>
    <t xml:space="preserve">01 47 34 97 64</t>
  </si>
  <si>
    <t xml:space="preserve">https://biocodex6--c.vf.force.com/0014L00000KFQoWQAX</t>
  </si>
  <si>
    <t xml:space="preserve">https://annuairesante.ameli.fr/professionnels-de-sante/recherche/fiche-detaillee-B7c1lDY5MjG7.html</t>
  </si>
  <si>
    <t xml:space="preserve">MIKO KEPES</t>
  </si>
  <si>
    <t xml:space="preserve">MARISE</t>
  </si>
  <si>
    <t xml:space="preserve">MIKO KEPES MARISE</t>
  </si>
  <si>
    <t xml:space="preserve">23 BOULEVARD DELESSERT</t>
  </si>
  <si>
    <t xml:space="preserve">BOULEVARD DELESSERT</t>
  </si>
  <si>
    <t xml:space="preserve">01 45 53 74 94</t>
  </si>
  <si>
    <t xml:space="preserve">https://biocodex6--c.vf.force.com/0014L00000KFrshQAD</t>
  </si>
  <si>
    <t xml:space="preserve">https://annuairesante.ameli.fr/professionnels-de-sante/recherche/fiche-detaillee-B7c1ljszNju3.html</t>
  </si>
  <si>
    <t xml:space="preserve">15:30-18:30(R)</t>
  </si>
  <si>
    <t xml:space="preserve">10:30-12:00(R)</t>
  </si>
  <si>
    <t xml:space="preserve">10:45-14:00(R)</t>
  </si>
  <si>
    <t xml:space="preserve">BENSABAT</t>
  </si>
  <si>
    <t xml:space="preserve">SOLY</t>
  </si>
  <si>
    <t xml:space="preserve">BENSABAT SOLY</t>
  </si>
  <si>
    <t xml:space="preserve">45 AVENUE VICTOR HUGO</t>
  </si>
  <si>
    <t xml:space="preserve">01 47 20 07 77</t>
  </si>
  <si>
    <t xml:space="preserve">https://biocodex6--c.vf.force.com/0014L00000KFShcQAH</t>
  </si>
  <si>
    <t xml:space="preserve">https://annuairesante.ameli.fr/professionnels-de-sante/recherche/fiche-detaillee-B7c1kTQ3NzS0.html</t>
  </si>
  <si>
    <t xml:space="preserve">AMARIS DIAZ</t>
  </si>
  <si>
    <t xml:space="preserve">JUAN ARTURO</t>
  </si>
  <si>
    <t xml:space="preserve">AMARIS DIAZ JUAN ARTURO</t>
  </si>
  <si>
    <t xml:space="preserve">VIR</t>
  </si>
  <si>
    <t xml:space="preserve">34 AVENUE D EYLAU</t>
  </si>
  <si>
    <t xml:space="preserve">01 56 90 03 43</t>
  </si>
  <si>
    <t xml:space="preserve">https://biocodex6--c.vf.force.com/0014L00000KFRhKQAX</t>
  </si>
  <si>
    <t xml:space="preserve">LESENECHAL</t>
  </si>
  <si>
    <t xml:space="preserve">LESENECHAL CLAIRE</t>
  </si>
  <si>
    <t xml:space="preserve">11 AVENUE DE MADRID</t>
  </si>
  <si>
    <t xml:space="preserve">AVENUE DE MADRID</t>
  </si>
  <si>
    <t xml:space="preserve">01 47 22 98 61</t>
  </si>
  <si>
    <t xml:space="preserve">https://biocodex6--c.vf.force.com/0014L00000KFPskQAH</t>
  </si>
  <si>
    <t xml:space="preserve">https://annuairesante.ameli.fr/professionnels-de-sante/recherche/fiche-detaillee-CbA1kjE4OTa1.html</t>
  </si>
  <si>
    <t xml:space="preserve">BILLAUD</t>
  </si>
  <si>
    <t xml:space="preserve">BILLAUD JULIE</t>
  </si>
  <si>
    <t xml:space="preserve">12 RUE ANDRE THEURIET</t>
  </si>
  <si>
    <t xml:space="preserve">RUE ANDRE THEURIET</t>
  </si>
  <si>
    <t xml:space="preserve">01 40 33 57 60</t>
  </si>
  <si>
    <t xml:space="preserve">https://biocodex6--c.vf.force.com/0014L00000KFUNgQAP</t>
  </si>
  <si>
    <t xml:space="preserve">https://annuairesante.ameli.fr/professionnels-de-sante/recherche/fiche-detaillee-B7c1kjM3NDSy.html</t>
  </si>
  <si>
    <t xml:space="preserve">TOUBOUL</t>
  </si>
  <si>
    <t xml:space="preserve">PIERRE JEAN</t>
  </si>
  <si>
    <t xml:space="preserve">TOUBOUL PIERRE JEAN</t>
  </si>
  <si>
    <t xml:space="preserve">EFR</t>
  </si>
  <si>
    <t xml:space="preserve">58 RUE PIERRE CHARRON</t>
  </si>
  <si>
    <t xml:space="preserve">RUE PIERRE CHARRON</t>
  </si>
  <si>
    <t xml:space="preserve">01 45 08 15 55</t>
  </si>
  <si>
    <t xml:space="preserve">https://biocodex6--c.vf.force.com/0014L00000KG3WRQA1</t>
  </si>
  <si>
    <t xml:space="preserve">GUTHMANN</t>
  </si>
  <si>
    <t xml:space="preserve">YVETTE</t>
  </si>
  <si>
    <t xml:space="preserve">GUTHMANN YVETTE</t>
  </si>
  <si>
    <t xml:space="preserve">STER
MED</t>
  </si>
  <si>
    <t xml:space="preserve">6 RUE GREFFULHE</t>
  </si>
  <si>
    <t xml:space="preserve">01 42 68 11 75</t>
  </si>
  <si>
    <t xml:space="preserve">yvette_guthmann@yahoo.fr</t>
  </si>
  <si>
    <t xml:space="preserve">https://biocodex6--c.vf.force.com/0014L00000KFhrkQAD</t>
  </si>
  <si>
    <t xml:space="preserve">https://annuairesante.ameli.fr/professionnels-de-sante/recherche/fiche-detaillee-B7c1kTU3OTSx.html</t>
  </si>
  <si>
    <t xml:space="preserve">STEFANESCU</t>
  </si>
  <si>
    <t xml:space="preserve">GABRIELA</t>
  </si>
  <si>
    <t xml:space="preserve">STEFANESCU GABRIELA</t>
  </si>
  <si>
    <t xml:space="preserve">5 PLACE DU MARECHAL DE LATTRE DE TASSIGNY</t>
  </si>
  <si>
    <t xml:space="preserve">PLACE DU MARECHAL DE LATTRE DE TASSIGNY</t>
  </si>
  <si>
    <t xml:space="preserve">01 47 58 67 99</t>
  </si>
  <si>
    <t xml:space="preserve">https://biocodex6--c.vf.force.com/0014L00000KG2AlQAL</t>
  </si>
  <si>
    <t xml:space="preserve">https://annuairesante.ameli.fr/professionnels-de-sante/recherche/fiche-detaillee-CbA1kzA4Njqy.html</t>
  </si>
  <si>
    <t xml:space="preserve">MARX</t>
  </si>
  <si>
    <t xml:space="preserve">JEAN SEBASTIEN</t>
  </si>
  <si>
    <t xml:space="preserve">MARX JEAN SEBASTIEN</t>
  </si>
  <si>
    <t xml:space="preserve">https://biocodex6--c.vf.force.com/0014L00000KFr0jQAD</t>
  </si>
  <si>
    <t xml:space="preserve">DESMOULINS</t>
  </si>
  <si>
    <t xml:space="preserve">DESMOULINS CAROLE</t>
  </si>
  <si>
    <t xml:space="preserve">46 RUE VITAL</t>
  </si>
  <si>
    <t xml:space="preserve">RUE VITAL</t>
  </si>
  <si>
    <t xml:space="preserve">01 53 80 86 86 // 01 42 24 36 88</t>
  </si>
  <si>
    <t xml:space="preserve">https://biocodex6--c.vf.force.com/0014L00000KFX8aQAH</t>
  </si>
  <si>
    <t xml:space="preserve">https://annuairesante.ameli.fr/professionnels-de-sante/recherche/fiche-detaillee-B7c1mzo5MDCx.html</t>
  </si>
  <si>
    <t xml:space="preserve">POUGET</t>
  </si>
  <si>
    <t xml:space="preserve">POUGET THOMAS</t>
  </si>
  <si>
    <t xml:space="preserve">57 AVENUE MARCEAU</t>
  </si>
  <si>
    <t xml:space="preserve">01 44 31 66 66</t>
  </si>
  <si>
    <t xml:space="preserve">https://biocodex6--c.vf.force.com/0014L00000KFy55QAD</t>
  </si>
  <si>
    <t xml:space="preserve">DIARD DETOEUF</t>
  </si>
  <si>
    <t xml:space="preserve">DIARD DETOEUF CAPUCINE</t>
  </si>
  <si>
    <t xml:space="preserve">HÔP STE-PÉRINE</t>
  </si>
  <si>
    <t xml:space="preserve">11 RUE CHARDON LAGACHE</t>
  </si>
  <si>
    <t xml:space="preserve">RUE CHARDON LAGACHE</t>
  </si>
  <si>
    <t xml:space="preserve">01 44 96 32 17</t>
  </si>
  <si>
    <t xml:space="preserve">https://biocodex6--c.vf.force.com/0014L00000KFLYwQAP</t>
  </si>
  <si>
    <t xml:space="preserve">JABY SERGENT</t>
  </si>
  <si>
    <t xml:space="preserve">MARIE PIERRE</t>
  </si>
  <si>
    <t xml:space="preserve">JABY SERGENT MARIE PIERRE</t>
  </si>
  <si>
    <t xml:space="preserve">https://biocodex6--c.vf.force.com/0014L00000KG1G0QAL</t>
  </si>
  <si>
    <t xml:space="preserve">FAESCH GERARD</t>
  </si>
  <si>
    <t xml:space="preserve">FAESCH GERARD SABINE</t>
  </si>
  <si>
    <t xml:space="preserve">01 42 24 36 88</t>
  </si>
  <si>
    <t xml:space="preserve">https://biocodex6--c.vf.force.com/0014L00000KFgSaQAL</t>
  </si>
  <si>
    <t xml:space="preserve">DENIS</t>
  </si>
  <si>
    <t xml:space="preserve">ROXANE</t>
  </si>
  <si>
    <t xml:space="preserve">DENIS ROXANE</t>
  </si>
  <si>
    <t xml:space="preserve">4 RUE DU DOCTEUR ROUX</t>
  </si>
  <si>
    <t xml:space="preserve">RUE DU DOCTEUR ROUX</t>
  </si>
  <si>
    <t xml:space="preserve">https://biocodex6--c.vf.force.com/0014L00000KFPBWQA5</t>
  </si>
  <si>
    <t xml:space="preserve">https://annuairesante.ameli.fr/professionnels-de-sante/recherche/fiche-detaillee-B7c1lTYzMjO2.html</t>
  </si>
  <si>
    <t xml:space="preserve">DETRICHE</t>
  </si>
  <si>
    <t xml:space="preserve">GREGOIRE</t>
  </si>
  <si>
    <t xml:space="preserve">DETRICHE GREGOIRE</t>
  </si>
  <si>
    <t xml:space="preserve">https://biocodex6--c.vf.force.com/0014L00000KGEM3QAP</t>
  </si>
  <si>
    <t xml:space="preserve">CELERIER</t>
  </si>
  <si>
    <t xml:space="preserve">CELERIER JULIE</t>
  </si>
  <si>
    <t xml:space="preserve">https://biocodex6--c.vf.force.com/0014L00000KG0v8QAD</t>
  </si>
  <si>
    <t xml:space="preserve">CHEVRANT BRETON</t>
  </si>
  <si>
    <t xml:space="preserve">ANDRE</t>
  </si>
  <si>
    <t xml:space="preserve">CHEVRANT BRETON ANDRE</t>
  </si>
  <si>
    <t xml:space="preserve">01 40 72 33 92</t>
  </si>
  <si>
    <t xml:space="preserve">NE LE COMMUNIQUE PAS</t>
  </si>
  <si>
    <t xml:space="preserve">https://biocodex6--c.vf.force.com/0014L00000KFWV4QAP</t>
  </si>
  <si>
    <t xml:space="preserve">https://annuairesante.ameli.fr/professionnels-de-sante/recherche/fiche-detaillee-B7c1mjA0MjS0.html</t>
  </si>
  <si>
    <t xml:space="preserve">GALLOULA</t>
  </si>
  <si>
    <t xml:space="preserve">GALLOULA ALEXANDRE</t>
  </si>
  <si>
    <t xml:space="preserve">VASC</t>
  </si>
  <si>
    <t xml:space="preserve">01 40 69 35 14</t>
  </si>
  <si>
    <t xml:space="preserve">https://biocodex6--c.vf.force.com/0014L00000KFLbnQAH</t>
  </si>
  <si>
    <t xml:space="preserve">MAXIME</t>
  </si>
  <si>
    <t xml:space="preserve">GERARD MAXIME</t>
  </si>
  <si>
    <t xml:space="preserve">WAGRAM SANTE</t>
  </si>
  <si>
    <t xml:space="preserve">66 RUE JOUFFROY D ABBANS</t>
  </si>
  <si>
    <t xml:space="preserve">https://biocodex6--c.vf.force.com/0014L00000KFKwDQAX</t>
  </si>
  <si>
    <t xml:space="preserve">https://annuairesante.ameli.fr/professionnels-de-sante/recherche/fiche-detaillee-B7c1kjYxOTWx.html</t>
  </si>
  <si>
    <t xml:space="preserve">FORCE</t>
  </si>
  <si>
    <t xml:space="preserve">FORCE GILLES</t>
  </si>
  <si>
    <t xml:space="preserve">HIV</t>
  </si>
  <si>
    <t xml:space="preserve">01 47 59 19 58</t>
  </si>
  <si>
    <t xml:space="preserve">https://biocodex6--c.vf.force.com/0014L00000KFe9RQAT</t>
  </si>
  <si>
    <t xml:space="preserve">MOUZAOUI</t>
  </si>
  <si>
    <t xml:space="preserve">MOURAD</t>
  </si>
  <si>
    <t xml:space="preserve">MOUZAOUI MOURAD</t>
  </si>
  <si>
    <t xml:space="preserve">https://biocodex6--c.vf.force.com/0014L00000KFtjSQAT</t>
  </si>
  <si>
    <t xml:space="preserve">HUBERMAN COHEN</t>
  </si>
  <si>
    <t xml:space="preserve">HUBERMAN COHEN CATHERINE</t>
  </si>
  <si>
    <t xml:space="preserve">122 AVENUE DE MALAKOFF</t>
  </si>
  <si>
    <t xml:space="preserve">AVENUE DE MALAKOFF</t>
  </si>
  <si>
    <t xml:space="preserve">01 45 50 03 69 // 01 40 55 03 69</t>
  </si>
  <si>
    <t xml:space="preserve">https://biocodex6--c.vf.force.com/0014L00000KFjAhQAL</t>
  </si>
  <si>
    <t xml:space="preserve">https://annuairesante.ameli.fr/professionnels-de-sante/recherche/fiche-detaillee-B7c1lzQxNzCx.html</t>
  </si>
  <si>
    <t xml:space="preserve">DANON</t>
  </si>
  <si>
    <t xml:space="preserve">SYLVIE</t>
  </si>
  <si>
    <t xml:space="preserve">DANON SYLVIE</t>
  </si>
  <si>
    <t xml:space="preserve">38 RUE DES ENTREPRENEURS</t>
  </si>
  <si>
    <t xml:space="preserve">RUE DES ENTREPRENEURS</t>
  </si>
  <si>
    <t xml:space="preserve">01 69 79 23 08 // 01 45 79 33 88</t>
  </si>
  <si>
    <t xml:space="preserve">https://biocodex6--c.vf.force.com/0014L00000KFYYCQA5</t>
  </si>
  <si>
    <t xml:space="preserve">https://annuairesante.ameli.fr/professionnels-de-sante/recherche/fiche-detaillee-B7c1lzY0NTKy.html</t>
  </si>
  <si>
    <t xml:space="preserve">PEYREFITTE</t>
  </si>
  <si>
    <t xml:space="preserve">PEYREFITTE FLORENCE</t>
  </si>
  <si>
    <t xml:space="preserve">01 43 80 92 63</t>
  </si>
  <si>
    <t xml:space="preserve">https://biocodex6--c.vf.force.com/0014L00000KFvleQAD</t>
  </si>
  <si>
    <t xml:space="preserve">ELOI</t>
  </si>
  <si>
    <t xml:space="preserve">ELOI MAXIME</t>
  </si>
  <si>
    <t xml:space="preserve">https://biocodex6--c.vf.force.com/0014L00000KGFZNQA5</t>
  </si>
  <si>
    <t xml:space="preserve">https://annuairesante.ameli.fr/professionnels-de-sante/recherche/fiche-detaillee-B7c1kjowNjSw.html</t>
  </si>
  <si>
    <t xml:space="preserve">O HANA</t>
  </si>
  <si>
    <t xml:space="preserve">O HANA BRIGITTE</t>
  </si>
  <si>
    <t xml:space="preserve">78 AVENUE DES TERNES</t>
  </si>
  <si>
    <t xml:space="preserve">AVENUE DES TERNES</t>
  </si>
  <si>
    <t xml:space="preserve">01 45 72 64 44</t>
  </si>
  <si>
    <t xml:space="preserve">https://biocodex6--c.vf.force.com/0014L00000KFu24QAD</t>
  </si>
  <si>
    <t xml:space="preserve">https://annuairesante.ameli.fr/professionnels-de-sante/recherche/fiche-detaillee-B7c1ljM5Njqw.html</t>
  </si>
  <si>
    <t xml:space="preserve">PEREZ NEZRI</t>
  </si>
  <si>
    <t xml:space="preserve">DEVORA</t>
  </si>
  <si>
    <t xml:space="preserve">PEREZ NEZRI DEVORA</t>
  </si>
  <si>
    <t xml:space="preserve">https://biocodex6--c.vf.force.com/0014L00000KFtsVQAT</t>
  </si>
  <si>
    <t xml:space="preserve">[Timestamp('2023-09-22 16:00:00'), Timestamp('2024-06-18 19:00:00')]</t>
  </si>
  <si>
    <t xml:space="preserve">GUYOT DE LA HARDROUYERE</t>
  </si>
  <si>
    <t xml:space="preserve">GUYOT DE LA HARDROUYERE DOMINIQUE</t>
  </si>
  <si>
    <t xml:space="preserve">146 BOULEVARD HAUSSMANN</t>
  </si>
  <si>
    <t xml:space="preserve">BOULEVARD HAUSSMANN</t>
  </si>
  <si>
    <t xml:space="preserve">01 45 62 01 95 // 01 45 22 44 77</t>
  </si>
  <si>
    <t xml:space="preserve">https://biocodex6--c.vf.force.com/0014L00000KFU5HQAX</t>
  </si>
  <si>
    <t xml:space="preserve">https://annuairesante.ameli.fr/professionnels-de-sante/recherche/fiche-detaillee-B7c1ljU4NTez.html</t>
  </si>
  <si>
    <t xml:space="preserve">PHAM</t>
  </si>
  <si>
    <t xml:space="preserve">PHAM CLARISSE</t>
  </si>
  <si>
    <t xml:space="preserve">48 RUE PAUL BARRUEL</t>
  </si>
  <si>
    <t xml:space="preserve">RUE PAUL BARRUEL</t>
  </si>
  <si>
    <t xml:space="preserve">01 45 31 64 02</t>
  </si>
  <si>
    <t xml:space="preserve">https://biocodex6--c.vf.force.com/0014L00000KFN0yQAH</t>
  </si>
  <si>
    <t xml:space="preserve">https://annuairesante.ameli.fr/professionnels-de-sante/recherche/fiche-detaillee-B7c1mzYzOTq6.html</t>
  </si>
  <si>
    <t xml:space="preserve">NIRO</t>
  </si>
  <si>
    <t xml:space="preserve">JULIEN</t>
  </si>
  <si>
    <t xml:space="preserve">NIRO JULIEN</t>
  </si>
  <si>
    <t xml:space="preserve">01 46 39 89 89</t>
  </si>
  <si>
    <t xml:space="preserve">jniro@ch-versailles.fr</t>
  </si>
  <si>
    <t xml:space="preserve">https://biocodex6--c.vf.force.com/0014L00000KFuLMQA1</t>
  </si>
  <si>
    <t xml:space="preserve">https://annuairesante.ameli.fr/professionnels-de-sante/recherche/fiche-detaillee-CbA1kjc4NTqy.html</t>
  </si>
  <si>
    <t xml:space="preserve">CURTAY RAGEUL</t>
  </si>
  <si>
    <t xml:space="preserve">MARIE ANNICK</t>
  </si>
  <si>
    <t xml:space="preserve">CURTAY RAGEUL MARIE ANNICK</t>
  </si>
  <si>
    <t xml:space="preserve">27 RUE DE LA CONVENTION</t>
  </si>
  <si>
    <t xml:space="preserve">01 43 17 65 02</t>
  </si>
  <si>
    <t xml:space="preserve">drcurtayma@wanadoo.fr</t>
  </si>
  <si>
    <t xml:space="preserve">https://biocodex6--c.vf.force.com/0014L00000KFYGwQAP</t>
  </si>
  <si>
    <t xml:space="preserve">SARROT</t>
  </si>
  <si>
    <t xml:space="preserve">GILBERT</t>
  </si>
  <si>
    <t xml:space="preserve">SARROT GILBERT</t>
  </si>
  <si>
    <t xml:space="preserve">62 RUE DE LA TOUR</t>
  </si>
  <si>
    <t xml:space="preserve">01 53 86 84 84</t>
  </si>
  <si>
    <t xml:space="preserve">gsarrot@hotmail.com11</t>
  </si>
  <si>
    <t xml:space="preserve">https://biocodex6--c.vf.force.com/0014L00000KG0WoQAL</t>
  </si>
  <si>
    <t xml:space="preserve">https://annuairesante.ameli.fr/professionnels-de-sante/recherche/fiche-detaillee-B7c1ljM3NzC6.html</t>
  </si>
  <si>
    <t xml:space="preserve">FOUCARD</t>
  </si>
  <si>
    <t xml:space="preserve">FOUCARD MICHEL</t>
  </si>
  <si>
    <t xml:space="preserve">12 RUE RAYNOUARD</t>
  </si>
  <si>
    <t xml:space="preserve">https://biocodex6--c.vf.force.com/0014L00000KFeB5QAL</t>
  </si>
  <si>
    <t xml:space="preserve">STOUPA</t>
  </si>
  <si>
    <t xml:space="preserve">ATHANASIA</t>
  </si>
  <si>
    <t xml:space="preserve">STOUPA ATHANASIA</t>
  </si>
  <si>
    <t xml:space="preserve">https://biocodex6--c.vf.force.com/0014L00000KG2oNQAT</t>
  </si>
  <si>
    <t xml:space="preserve">DESGUERRE</t>
  </si>
  <si>
    <t xml:space="preserve">DESGUERRE ISABELLE</t>
  </si>
  <si>
    <t xml:space="preserve">https://biocodex6--c.vf.force.com/0014L00000KFaT9QAL</t>
  </si>
  <si>
    <t xml:space="preserve">MAHLAOUI</t>
  </si>
  <si>
    <t xml:space="preserve">NIZAR</t>
  </si>
  <si>
    <t xml:space="preserve">MAHLAOUI NIZAR</t>
  </si>
  <si>
    <t xml:space="preserve">https://biocodex6--c.vf.force.com/0014L00000KFtvZQAT</t>
  </si>
  <si>
    <t xml:space="preserve">POLAK</t>
  </si>
  <si>
    <t xml:space="preserve">POLAK MICHEL</t>
  </si>
  <si>
    <t xml:space="preserve">01 44 49 48 01 // 01 44 49 48 02</t>
  </si>
  <si>
    <t xml:space="preserve">https://biocodex6--c.vf.force.com/0014L00000KFxBkQAL</t>
  </si>
  <si>
    <t xml:space="preserve">https://annuairesante.ameli.fr/professionnels-de-sante/recherche/fiche-detaillee-B7c1lzo1NDG2.html</t>
  </si>
  <si>
    <t xml:space="preserve">GIUSEPPI</t>
  </si>
  <si>
    <t xml:space="preserve">AGNES</t>
  </si>
  <si>
    <t xml:space="preserve">GIUSEPPI AGNES</t>
  </si>
  <si>
    <t xml:space="preserve">https://biocodex6--c.vf.force.com/0014L00000KFhhXQAT</t>
  </si>
  <si>
    <t xml:space="preserve">HADCHOUEL DUVERGE</t>
  </si>
  <si>
    <t xml:space="preserve">HADCHOUEL DUVERGE ALICE</t>
  </si>
  <si>
    <t xml:space="preserve">https://biocodex6--c.vf.force.com/0014L00000KFR8TQAX</t>
  </si>
  <si>
    <t xml:space="preserve">DE BLIC</t>
  </si>
  <si>
    <t xml:space="preserve">DE BLIC JACQUES</t>
  </si>
  <si>
    <t xml:space="preserve">https://biocodex6--c.vf.force.com/0014L00000KFZ2PQAX</t>
  </si>
  <si>
    <t xml:space="preserve">FRANGE</t>
  </si>
  <si>
    <t xml:space="preserve">FRANGE PIERRE</t>
  </si>
  <si>
    <t xml:space="preserve">https://biocodex6--c.vf.force.com/0014L00000KFbVmQAL</t>
  </si>
  <si>
    <t xml:space="preserve">NICLOUX</t>
  </si>
  <si>
    <t xml:space="preserve">NICLOUX MURIEL</t>
  </si>
  <si>
    <t xml:space="preserve">01 46 39 22 10</t>
  </si>
  <si>
    <t xml:space="preserve">https://biocodex6--c.vf.force.com/0014L00000KFzVaQAL</t>
  </si>
  <si>
    <t xml:space="preserve">DULMAN</t>
  </si>
  <si>
    <t xml:space="preserve">JEAN LAURENT</t>
  </si>
  <si>
    <t xml:space="preserve">DULMAN JEAN LAURENT</t>
  </si>
  <si>
    <t xml:space="preserve">CLI STE-THÉRÈSE</t>
  </si>
  <si>
    <t xml:space="preserve">9 RUE GUSTAVE DORE</t>
  </si>
  <si>
    <t xml:space="preserve">07 66 15 53 83</t>
  </si>
  <si>
    <t xml:space="preserve">https://biocodex6--c.vf.force.com/0014L00000KFZRTQA5</t>
  </si>
  <si>
    <t xml:space="preserve">https://annuairesante.ameli.fr/professionnels-de-sante/recherche/fiche-detaillee-B7c1lTE5NzC3.html</t>
  </si>
  <si>
    <t xml:space="preserve">[Timestamp('2023-09-13 10:00:00'), Timestamp('2023-11-28 10:00:00'), Timestamp('2024-03-12 16:30:00')]</t>
  </si>
  <si>
    <t xml:space="preserve">GONOD</t>
  </si>
  <si>
    <t xml:space="preserve">GONOD DANIELE</t>
  </si>
  <si>
    <t xml:space="preserve">7 RUE DE CASABLANCA</t>
  </si>
  <si>
    <t xml:space="preserve">RUE DE CASABLANCA</t>
  </si>
  <si>
    <t xml:space="preserve">dr.gonod@orange.fr</t>
  </si>
  <si>
    <t xml:space="preserve">https://biocodex6--c.vf.force.com/0014L00000KFgXyQAL</t>
  </si>
  <si>
    <t xml:space="preserve">PETRARU TABOURIER</t>
  </si>
  <si>
    <t xml:space="preserve">CHRISTIANE</t>
  </si>
  <si>
    <t xml:space="preserve">PETRARU TABOURIER CHRISTIANE</t>
  </si>
  <si>
    <t xml:space="preserve">146 RUE DE LOURMEL</t>
  </si>
  <si>
    <t xml:space="preserve">01 45 58 10 00</t>
  </si>
  <si>
    <t xml:space="preserve">christiane.petraru-tabourier@wanadoo.fr</t>
  </si>
  <si>
    <t xml:space="preserve">https://biocodex6--c.vf.force.com/0014L00000KFvWLQA1</t>
  </si>
  <si>
    <t xml:space="preserve">https://annuairesante.ameli.fr/professionnels-de-sante/recherche/fiche-detaillee-B7c1ljAyMzC6.html</t>
  </si>
  <si>
    <t xml:space="preserve">[Timestamp('2023-07-12 14:30:00'), Timestamp('2024-03-11 12:00:00')]</t>
  </si>
  <si>
    <t xml:space="preserve">08:40-12:00(R)</t>
  </si>
  <si>
    <t xml:space="preserve">NGUYEN XUAN</t>
  </si>
  <si>
    <t xml:space="preserve">HUYEN THU</t>
  </si>
  <si>
    <t xml:space="preserve">NGUYEN XUAN HUYEN THU</t>
  </si>
  <si>
    <t xml:space="preserve">https://biocodex6--c.vf.force.com/0014L00000KGATkQAP</t>
  </si>
  <si>
    <t xml:space="preserve">KRIEF</t>
  </si>
  <si>
    <t xml:space="preserve">FABIEN</t>
  </si>
  <si>
    <t xml:space="preserve">KRIEF FABIEN</t>
  </si>
  <si>
    <t xml:space="preserve">https://biocodex6--c.vf.force.com/0014L00000KG9VgQAL</t>
  </si>
  <si>
    <t xml:space="preserve">https://annuairesante.ameli.fr/professionnels-de-sante/recherche/fiche-detaillee-B7c1mjA0OTW1.html</t>
  </si>
  <si>
    <t xml:space="preserve">THIS</t>
  </si>
  <si>
    <t xml:space="preserve">PASCALE</t>
  </si>
  <si>
    <t xml:space="preserve">THIS PASCALE</t>
  </si>
  <si>
    <t xml:space="preserve">36 RUE DU GENERAL BEURET</t>
  </si>
  <si>
    <t xml:space="preserve">RUE DU GENERAL BEURET</t>
  </si>
  <si>
    <t xml:space="preserve">01 48 28 18 92</t>
  </si>
  <si>
    <t xml:space="preserve">https://biocodex6--c.vf.force.com/0014L00000KG39ZQAT</t>
  </si>
  <si>
    <t xml:space="preserve">235A</t>
  </si>
  <si>
    <t xml:space="preserve">BERCAU</t>
  </si>
  <si>
    <t xml:space="preserve">GUY</t>
  </si>
  <si>
    <t xml:space="preserve">BERCAU GUY</t>
  </si>
  <si>
    <t xml:space="preserve">276 BOULEVARD ST GERMAIN</t>
  </si>
  <si>
    <t xml:space="preserve">BOULEVARD ST GERMAIN</t>
  </si>
  <si>
    <t xml:space="preserve">drbercau@gmail.com</t>
  </si>
  <si>
    <t xml:space="preserve">https://biocodex6--c.vf.force.com/0014L00000KFSjpQAH</t>
  </si>
  <si>
    <t xml:space="preserve">HEQUET</t>
  </si>
  <si>
    <t xml:space="preserve">DELPHINE</t>
  </si>
  <si>
    <t xml:space="preserve">HEQUET DELPHINE</t>
  </si>
  <si>
    <t xml:space="preserve">CLI ST JEAN DE DIEU</t>
  </si>
  <si>
    <t xml:space="preserve">2 RUE ROUSSELET</t>
  </si>
  <si>
    <t xml:space="preserve">RUE ROUSSELET</t>
  </si>
  <si>
    <t xml:space="preserve">01 40 61 11 22 // 01 89 16 85 85</t>
  </si>
  <si>
    <t xml:space="preserve">https://biocodex6--c.vf.force.com/0014L00000KFOv3QAH</t>
  </si>
  <si>
    <t xml:space="preserve">https://annuairesante.ameli.fr/professionnels-de-sante/recherche/fiche-detaillee-B7c1lTY3ODuw.html</t>
  </si>
  <si>
    <t xml:space="preserve">LAMBERT</t>
  </si>
  <si>
    <t xml:space="preserve">SIXTINE</t>
  </si>
  <si>
    <t xml:space="preserve">LAMBERT SIXTINE</t>
  </si>
  <si>
    <t xml:space="preserve">SQUARE THIERS</t>
  </si>
  <si>
    <t xml:space="preserve">01 87 44 67 77</t>
  </si>
  <si>
    <t xml:space="preserve">https://biocodex6--c.vf.force.com/0014L00000KFnYRQA1</t>
  </si>
  <si>
    <t xml:space="preserve">https://annuairesante.ameli.fr/professionnels-de-sante/recherche/fiche-detaillee-B7c1mzY4NDOx.html</t>
  </si>
  <si>
    <t xml:space="preserve">PVM1/NV22</t>
  </si>
  <si>
    <t xml:space="preserve">08:00-12:00(R)</t>
  </si>
  <si>
    <t xml:space="preserve">PATUREAU</t>
  </si>
  <si>
    <t xml:space="preserve">PATUREAU DOMINIQUE</t>
  </si>
  <si>
    <t xml:space="preserve">228 RUE DE LA CONVENTION</t>
  </si>
  <si>
    <t xml:space="preserve">01 45 31 47 17</t>
  </si>
  <si>
    <t xml:space="preserve">https://biocodex6--c.vf.force.com/0014L00000KFv2EQAT</t>
  </si>
  <si>
    <t xml:space="preserve">NISAND</t>
  </si>
  <si>
    <t xml:space="preserve">ISRAEL</t>
  </si>
  <si>
    <t xml:space="preserve">NISAND ISRAEL</t>
  </si>
  <si>
    <t xml:space="preserve">03 69 55 34 00</t>
  </si>
  <si>
    <t xml:space="preserve">https://biocodex6--c.vf.force.com/0014L00000KFtgSQAT</t>
  </si>
  <si>
    <t xml:space="preserve">https://annuairesante.ameli.fr/professionnels-de-sante/recherche/fiche-detaillee-CbA1mjYxNzu7.html</t>
  </si>
  <si>
    <t xml:space="preserve">BERCOT</t>
  </si>
  <si>
    <t xml:space="preserve">BERCOT CLAUDE</t>
  </si>
  <si>
    <t xml:space="preserve">18 RUE SALNEUVE</t>
  </si>
  <si>
    <t xml:space="preserve">RUE SALNEUVE</t>
  </si>
  <si>
    <t xml:space="preserve">https://biocodex6--c.vf.force.com/0014L00000KFSz4QAH</t>
  </si>
  <si>
    <t xml:space="preserve">THERVET</t>
  </si>
  <si>
    <t xml:space="preserve">THERVET LAURENCE</t>
  </si>
  <si>
    <t xml:space="preserve">19 RUE MOLITOR</t>
  </si>
  <si>
    <t xml:space="preserve">RUE MOLITOR</t>
  </si>
  <si>
    <t xml:space="preserve">01 46 51 11 60</t>
  </si>
  <si>
    <t xml:space="preserve">https://biocodex6--c.vf.force.com/0014L00000KG2yVQAT</t>
  </si>
  <si>
    <t xml:space="preserve">https://annuairesante.ameli.fr/professionnels-de-sante/recherche/fiche-detaillee-B7c1lzcxODGz.html</t>
  </si>
  <si>
    <t xml:space="preserve">[Timestamp('2024-03-08 16:00:00'), Timestamp('2024-05-28 13:00:00')]</t>
  </si>
  <si>
    <t xml:space="preserve">SCHIFF</t>
  </si>
  <si>
    <t xml:space="preserve">SCHIFF MANUEL</t>
  </si>
  <si>
    <t xml:space="preserve">https://biocodex6--c.vf.force.com/0014L00000KFfaZQAT</t>
  </si>
  <si>
    <t xml:space="preserve">BLOT</t>
  </si>
  <si>
    <t xml:space="preserve">BLOT NATHALIE</t>
  </si>
  <si>
    <t xml:space="preserve">https://biocodex6--c.vf.force.com/0014L00000KFTi9QAH</t>
  </si>
  <si>
    <t xml:space="preserve">PEJOAN</t>
  </si>
  <si>
    <t xml:space="preserve">PEJOAN HELENE</t>
  </si>
  <si>
    <t xml:space="preserve">https://biocodex6--c.vf.force.com/0014L00000KG23BQAT</t>
  </si>
  <si>
    <t xml:space="preserve">COSNIER</t>
  </si>
  <si>
    <t xml:space="preserve">COSNIER CLAUDE</t>
  </si>
  <si>
    <t xml:space="preserve">https://biocodex6--c.vf.force.com/0014L00000KFeG0QAL</t>
  </si>
  <si>
    <t xml:space="preserve">ZENATY</t>
  </si>
  <si>
    <t xml:space="preserve">ZENATY DELPHINE</t>
  </si>
  <si>
    <t xml:space="preserve">75 RUE CARNOT</t>
  </si>
  <si>
    <t xml:space="preserve">RUE CARNOT</t>
  </si>
  <si>
    <t xml:space="preserve">01 84 88 75 53 // 01 70 83 61 23</t>
  </si>
  <si>
    <t xml:space="preserve">https://biocodex6--c.vf.force.com/0014L00000KG6t3QAD</t>
  </si>
  <si>
    <t xml:space="preserve">https://annuairesante.ameli.fr/professionnels-de-sante/recherche/fiche-detaillee-CbA1kzQ5OTa2.html</t>
  </si>
  <si>
    <t xml:space="preserve">09:15-13:00(R)</t>
  </si>
  <si>
    <t xml:space="preserve">VIEZUINA</t>
  </si>
  <si>
    <t xml:space="preserve">ROXANA ELENA</t>
  </si>
  <si>
    <t xml:space="preserve">VIEZUINA ROXANA ELENA</t>
  </si>
  <si>
    <t xml:space="preserve">https://biocodex6--c.vf.force.com/0014L00000KGMQMQA5</t>
  </si>
  <si>
    <t xml:space="preserve">ABBOU</t>
  </si>
  <si>
    <t xml:space="preserve">SIHAM</t>
  </si>
  <si>
    <t xml:space="preserve">ABBOU SIHAM</t>
  </si>
  <si>
    <t xml:space="preserve">https://biocodex6--c.vf.force.com/0014L00000KFR4CQAX</t>
  </si>
  <si>
    <t xml:space="preserve">BOTTO</t>
  </si>
  <si>
    <t xml:space="preserve">JEAN NOEL</t>
  </si>
  <si>
    <t xml:space="preserve">BOTTO JEAN NOEL</t>
  </si>
  <si>
    <t xml:space="preserve">https://biocodex6--c.vf.force.com/0014L00000KFUAVQA5</t>
  </si>
  <si>
    <t xml:space="preserve">JEAN</t>
  </si>
  <si>
    <t xml:space="preserve">TOUBOUL JEAN</t>
  </si>
  <si>
    <t xml:space="preserve">https://biocodex6--c.vf.force.com/0014L00000NBV4vQAH</t>
  </si>
  <si>
    <t xml:space="preserve">KARIYAWASAM</t>
  </si>
  <si>
    <t xml:space="preserve">DULANJALEE</t>
  </si>
  <si>
    <t xml:space="preserve">KARIYAWASAM DULANJALEE</t>
  </si>
  <si>
    <t xml:space="preserve">https://biocodex6--c.vf.force.com/0014L00000KFithQAD</t>
  </si>
  <si>
    <t xml:space="preserve">VERDIER</t>
  </si>
  <si>
    <t xml:space="preserve">VERDIER DOMINIQUE</t>
  </si>
  <si>
    <t xml:space="preserve">2 RUE DES FAVORITES</t>
  </si>
  <si>
    <t xml:space="preserve">RUE DES FAVORITES</t>
  </si>
  <si>
    <t xml:space="preserve">01 48 42 50 20</t>
  </si>
  <si>
    <t xml:space="preserve">https://biocodex6--c.vf.force.com/0014L00000KG4g2QAD</t>
  </si>
  <si>
    <t xml:space="preserve">https://annuairesante.ameli.fr/professionnels-de-sante/recherche/fiche-detaillee-B7c1lzcwNjS2.html</t>
  </si>
  <si>
    <t xml:space="preserve">[Timestamp('2023-10-26 11:30:00'), Timestamp('2023-12-07 12:30:00'), Timestamp('2024-03-14 12:00:00')]</t>
  </si>
  <si>
    <t xml:space="preserve">09:30-11:30(R)</t>
  </si>
  <si>
    <t xml:space="preserve">11:00-12:00(R)</t>
  </si>
  <si>
    <t xml:space="preserve">18:00-19:00(R)</t>
  </si>
  <si>
    <t xml:space="preserve">HONNORAT</t>
  </si>
  <si>
    <t xml:space="preserve">HONNORAT CATHERINE</t>
  </si>
  <si>
    <t xml:space="preserve">19 RUE CAMBRONNE</t>
  </si>
  <si>
    <t xml:space="preserve">RUE CAMBRONNE</t>
  </si>
  <si>
    <t xml:space="preserve">01 53 06 76 66 // 01 43 06 76 66</t>
  </si>
  <si>
    <t xml:space="preserve">catherine.honnorat@orange.fr</t>
  </si>
  <si>
    <t xml:space="preserve">https://biocodex6--c.vf.force.com/0014L00000KFj3CQAT</t>
  </si>
  <si>
    <t xml:space="preserve">https://annuairesante.ameli.fr/professionnels-de-sante/recherche/fiche-detaillee-B7c1ljI3MDaw.html</t>
  </si>
  <si>
    <t xml:space="preserve">HULLY GITIAUX</t>
  </si>
  <si>
    <t xml:space="preserve">HULLY GITIAUX MARIE</t>
  </si>
  <si>
    <t xml:space="preserve">https://biocodex6--c.vf.force.com/0014L00000KG4zVQAT</t>
  </si>
  <si>
    <t xml:space="preserve">ZANA</t>
  </si>
  <si>
    <t xml:space="preserve">ZANA JACQUES</t>
  </si>
  <si>
    <t xml:space="preserve">27 VILLA CROIX NIVERT</t>
  </si>
  <si>
    <t xml:space="preserve">VILLA CROIX NIVERT</t>
  </si>
  <si>
    <t xml:space="preserve">01 40 56 39 99</t>
  </si>
  <si>
    <t xml:space="preserve">https://biocodex6--c.vf.force.com/0014L00000KG66oQAD</t>
  </si>
  <si>
    <t xml:space="preserve">https://annuairesante.ameli.fr/professionnels-de-sante/recherche/fiche-detaillee-B7c1lzMzODS2.html</t>
  </si>
  <si>
    <t xml:space="preserve">LAMY</t>
  </si>
  <si>
    <t xml:space="preserve">HUGO</t>
  </si>
  <si>
    <t xml:space="preserve">LAMY HUGO</t>
  </si>
  <si>
    <t xml:space="preserve">50 AVENUE VICTOR HUGO</t>
  </si>
  <si>
    <t xml:space="preserve">01 43 59 10 10</t>
  </si>
  <si>
    <t xml:space="preserve">https://biocodex6--c.vf.force.com/0014L00000KGBJhQAP</t>
  </si>
  <si>
    <t xml:space="preserve">EGULLION</t>
  </si>
  <si>
    <t xml:space="preserve">MARIE CLAUDE</t>
  </si>
  <si>
    <t xml:space="preserve">EGULLION MARIE CLAUDE</t>
  </si>
  <si>
    <t xml:space="preserve">https://biocodex6--c.vf.force.com/0014L00000YttqZQAR</t>
  </si>
  <si>
    <t xml:space="preserve">[Timestamp('2023-07-26 11:29:00'), Timestamp('2023-09-07 16:30:00')]</t>
  </si>
  <si>
    <t xml:space="preserve">13-17</t>
  </si>
  <si>
    <t xml:space="preserve">DUPUI</t>
  </si>
  <si>
    <t xml:space="preserve">DUPUI JULIEN</t>
  </si>
  <si>
    <t xml:space="preserve">VASC
ANG-EX</t>
  </si>
  <si>
    <t xml:space="preserve">27 BOULEVARD VICTOR HUGO</t>
  </si>
  <si>
    <t xml:space="preserve">https://biocodex6--c.vf.force.com/0014L00000KIRYNQA5</t>
  </si>
  <si>
    <t xml:space="preserve">https://annuairesante.ameli.fr/professionnels-de-sante/recherche/fiche-detaillee-CbA1kjUyNzK0.html</t>
  </si>
  <si>
    <t xml:space="preserve">SELLAM</t>
  </si>
  <si>
    <t xml:space="preserve">CELIA</t>
  </si>
  <si>
    <t xml:space="preserve">SELLAM CELIA</t>
  </si>
  <si>
    <t xml:space="preserve">11 RUE D ORLEANS</t>
  </si>
  <si>
    <t xml:space="preserve">RUE D ORLEANS</t>
  </si>
  <si>
    <t xml:space="preserve">01 41 92 99 11</t>
  </si>
  <si>
    <t xml:space="preserve">https://biocodex6--c.vf.force.com/0014L00000KGDoXQAX</t>
  </si>
  <si>
    <t xml:space="preserve">https://annuairesante.ameli.fr/professionnels-de-sante/recherche/fiche-detaillee-CbA1kjQyODGy.html</t>
  </si>
  <si>
    <t xml:space="preserve">TAIEB</t>
  </si>
  <si>
    <t xml:space="preserve">TAIEB DAVID</t>
  </si>
  <si>
    <t xml:space="preserve">49 RUE JEAN DE LA FONTAINE</t>
  </si>
  <si>
    <t xml:space="preserve">01 45 25 16 63</t>
  </si>
  <si>
    <t xml:space="preserve">https://biocodex6--c.vf.force.com/0014L00000KG940QAD</t>
  </si>
  <si>
    <t xml:space="preserve">https://annuairesante.ameli.fr/professionnels-de-sante/recherche/fiche-detaillee-B7c1kzI3NDOy.html</t>
  </si>
  <si>
    <t xml:space="preserve">WALTER</t>
  </si>
  <si>
    <t xml:space="preserve">JEAN CHRISTOPHE</t>
  </si>
  <si>
    <t xml:space="preserve">WALTER JEAN CHRISTOPHE</t>
  </si>
  <si>
    <t xml:space="preserve">https://biocodex6--c.vf.force.com/0014L00000KG5lRQAT</t>
  </si>
  <si>
    <t xml:space="preserve">DALBOUSE</t>
  </si>
  <si>
    <t xml:space="preserve">DALBOUSE FRANCOIS</t>
  </si>
  <si>
    <t xml:space="preserve">4 RUE MARIO NIKIS</t>
  </si>
  <si>
    <t xml:space="preserve">RUE MARIO NIKIS</t>
  </si>
  <si>
    <t xml:space="preserve">01 43 06 00 57</t>
  </si>
  <si>
    <t xml:space="preserve">https://biocodex6--c.vf.force.com/0014L00000KFYSuQAP</t>
  </si>
  <si>
    <t xml:space="preserve">LANDOLFI</t>
  </si>
  <si>
    <t xml:space="preserve">STEFANO</t>
  </si>
  <si>
    <t xml:space="preserve">LANDOLFI STEFANO</t>
  </si>
  <si>
    <t xml:space="preserve">21 AVENUE GEORGE V</t>
  </si>
  <si>
    <t xml:space="preserve">AVENUE GEORGE V</t>
  </si>
  <si>
    <t xml:space="preserve">01 42 67 13 68 // 07 81 84 39 47</t>
  </si>
  <si>
    <t xml:space="preserve">stefano-landolfi@libero.it</t>
  </si>
  <si>
    <t xml:space="preserve">https://biocodex6--c.vf.force.com/0014L00000KGKX5QAP</t>
  </si>
  <si>
    <t xml:space="preserve">https://annuairesante.ameli.fr/professionnels-de-sante/recherche/fiche-detaillee-B7c1kzM5NzW7.html</t>
  </si>
  <si>
    <t xml:space="preserve">BENAMOUR</t>
  </si>
  <si>
    <t xml:space="preserve">JEAN MARIE</t>
  </si>
  <si>
    <t xml:space="preserve">BENAMOUR JEAN MARIE</t>
  </si>
  <si>
    <t xml:space="preserve">8 SQUARE THIERS</t>
  </si>
  <si>
    <t xml:space="preserve">01 42 66 24 99</t>
  </si>
  <si>
    <t xml:space="preserve">https://biocodex6--c.vf.force.com/0014L00000KFSRbQAP</t>
  </si>
  <si>
    <t xml:space="preserve">https://annuairesante.ameli.fr/professionnels-de-sante/recherche/fiche-detaillee-B7c1ljo5NDG6.html</t>
  </si>
  <si>
    <t xml:space="preserve">DELOMENIE</t>
  </si>
  <si>
    <t xml:space="preserve">DELOMENIE MYRIAM</t>
  </si>
  <si>
    <t xml:space="preserve">01 46 41 84 88 // 06 66 42 65 68</t>
  </si>
  <si>
    <t xml:space="preserve">https://biocodex6--c.vf.force.com/0014L00000KFLe8QAH</t>
  </si>
  <si>
    <t xml:space="preserve">https://annuairesante.ameli.fr/professionnels-de-sante/recherche/fiche-detaillee-B7c1lTE1MDOx.html</t>
  </si>
  <si>
    <t xml:space="preserve">TAMBORINI</t>
  </si>
  <si>
    <t xml:space="preserve">TAMBORINI ALAIN</t>
  </si>
  <si>
    <t xml:space="preserve">01 46 47 55 85</t>
  </si>
  <si>
    <t xml:space="preserve">alain.tamborini@aphp.fr</t>
  </si>
  <si>
    <t xml:space="preserve">https://biocodex6--c.vf.force.com/0014L00000KG2WrQAL</t>
  </si>
  <si>
    <t xml:space="preserve">https://annuairesante.ameli.fr/professionnels-de-sante/recherche/fiche-detaillee-B7c1kTQxMDqw.html</t>
  </si>
  <si>
    <t xml:space="preserve">LE HENAFF</t>
  </si>
  <si>
    <t xml:space="preserve">AUDE</t>
  </si>
  <si>
    <t xml:space="preserve">LE HENAFF AUDE</t>
  </si>
  <si>
    <t xml:space="preserve">56 RUE DE VOUILLE</t>
  </si>
  <si>
    <t xml:space="preserve">01 30 15 89 22</t>
  </si>
  <si>
    <t xml:space="preserve">https://biocodex6--c.vf.force.com/0014L00000KFORiQAP</t>
  </si>
  <si>
    <t xml:space="preserve">https://annuairesante.ameli.fr/professionnels-de-sante/recherche/fiche-detaillee-B7c1kjs1MTKx.html</t>
  </si>
  <si>
    <t xml:space="preserve">DURET</t>
  </si>
  <si>
    <t xml:space="preserve">MARIE CHARLOTTE</t>
  </si>
  <si>
    <t xml:space="preserve">DURET MARIE CHARLOTTE</t>
  </si>
  <si>
    <t xml:space="preserve">39 RUE SAINT LAMBERT</t>
  </si>
  <si>
    <t xml:space="preserve">https://biocodex6--c.vf.force.com/0014L00000KGED7QAP</t>
  </si>
  <si>
    <t xml:space="preserve">RENAUDON</t>
  </si>
  <si>
    <t xml:space="preserve">RENAUDON DELPHINE</t>
  </si>
  <si>
    <t xml:space="preserve">12 RUE TRONCHET</t>
  </si>
  <si>
    <t xml:space="preserve">RUE TRONCHET</t>
  </si>
  <si>
    <t xml:space="preserve">06 25 63 39 49</t>
  </si>
  <si>
    <t xml:space="preserve">https://biocodex6--c.vf.force.com/0014L00000KFyawQAD</t>
  </si>
  <si>
    <t xml:space="preserve">https://annuairesante.ameli.fr/professionnels-de-sante/recherche/fiche-detaillee-B7c1kjs0Nzu3.html</t>
  </si>
  <si>
    <t xml:space="preserve">LEPAGE</t>
  </si>
  <si>
    <t xml:space="preserve">LEPAGE JULIEN</t>
  </si>
  <si>
    <t xml:space="preserve">121 AVENUE PIERRE 1ER DE SERBIE</t>
  </si>
  <si>
    <t xml:space="preserve">AVENUE PIERRE 1ER DE SERBIE</t>
  </si>
  <si>
    <t xml:space="preserve">https://biocodex6--c.vf.force.com/0014L00000KFLcjQAH</t>
  </si>
  <si>
    <t xml:space="preserve">https://annuairesante.ameli.fr/professionnels-de-sante/recherche/fiche-detaillee-B7c1kjY0Nzuy.html</t>
  </si>
  <si>
    <t xml:space="preserve">ANASTASSIOU</t>
  </si>
  <si>
    <t xml:space="preserve">EVANGELOS</t>
  </si>
  <si>
    <t xml:space="preserve">ANASTASSIOU EVANGELOS</t>
  </si>
  <si>
    <t xml:space="preserve">43 RUE GUERSANT</t>
  </si>
  <si>
    <t xml:space="preserve">RUE GUERSANT</t>
  </si>
  <si>
    <t xml:space="preserve">01 55 37 97 15</t>
  </si>
  <si>
    <t xml:space="preserve">D4</t>
  </si>
  <si>
    <t xml:space="preserve">https://biocodex6--c.vf.force.com/0014L00000KFQP0QAP</t>
  </si>
  <si>
    <t xml:space="preserve">BELFAR BERGOUNIOUX</t>
  </si>
  <si>
    <t xml:space="preserve">BELFAR BERGOUNIOUX SAMIRA</t>
  </si>
  <si>
    <t xml:space="preserve">01 44 49 46 68</t>
  </si>
  <si>
    <t xml:space="preserve">https://biocodex6--c.vf.force.com/0014L00000KFSduQAH</t>
  </si>
  <si>
    <t xml:space="preserve">KOUAL</t>
  </si>
  <si>
    <t xml:space="preserve">MERIEM</t>
  </si>
  <si>
    <t xml:space="preserve">KOUAL MERIEM</t>
  </si>
  <si>
    <t xml:space="preserve">https://biocodex6--c.vf.force.com/0014L00000KFOBMQA5</t>
  </si>
  <si>
    <t xml:space="preserve">MASSOU DIT BOURDET</t>
  </si>
  <si>
    <t xml:space="preserve">JEAN MICHEL</t>
  </si>
  <si>
    <t xml:space="preserve">MASSOU DIT BOURDET JEAN MICHEL</t>
  </si>
  <si>
    <t xml:space="preserve">33 AVENUE DE LOWENDAL</t>
  </si>
  <si>
    <t xml:space="preserve">AVENUE DE LOWENDAL</t>
  </si>
  <si>
    <t xml:space="preserve">01 73 71 80 62</t>
  </si>
  <si>
    <t xml:space="preserve">https://biocodex6--c.vf.force.com/0014L00000KFreJQAT</t>
  </si>
  <si>
    <t xml:space="preserve">AZAIS</t>
  </si>
  <si>
    <t xml:space="preserve">HENRI FERDINAND</t>
  </si>
  <si>
    <t xml:space="preserve">AZAIS HENRI FERDINAND</t>
  </si>
  <si>
    <t xml:space="preserve">https://biocodex6--c.vf.force.com/0014L00000KFSP9QAP</t>
  </si>
  <si>
    <t xml:space="preserve">MAREY</t>
  </si>
  <si>
    <t xml:space="preserve">PASCALINE</t>
  </si>
  <si>
    <t xml:space="preserve">MAREY PASCALINE</t>
  </si>
  <si>
    <t xml:space="preserve">01 46 22 21 84</t>
  </si>
  <si>
    <t xml:space="preserve">https://biocodex6--c.vf.force.com/0014L00000KFr81QAD</t>
  </si>
  <si>
    <t xml:space="preserve">LE QUERE</t>
  </si>
  <si>
    <t xml:space="preserve">YANN</t>
  </si>
  <si>
    <t xml:space="preserve">LE QUERE YANN</t>
  </si>
  <si>
    <t xml:space="preserve">https://biocodex6--c.vf.force.com/0014L00000KFM3tQAH</t>
  </si>
  <si>
    <t xml:space="preserve">DUCROIX</t>
  </si>
  <si>
    <t xml:space="preserve">DUCROIX CORINNE</t>
  </si>
  <si>
    <t xml:space="preserve">https://biocodex6--c.vf.force.com/0014L00000KFZOBQA5</t>
  </si>
  <si>
    <t xml:space="preserve">MEILLAND</t>
  </si>
  <si>
    <t xml:space="preserve">ALIX</t>
  </si>
  <si>
    <t xml:space="preserve">MEILLAND ALIX</t>
  </si>
  <si>
    <t xml:space="preserve">01 45 65 61 11</t>
  </si>
  <si>
    <t xml:space="preserve">https://biocodex6--c.vf.force.com/0014L00000KFqHaQAL</t>
  </si>
  <si>
    <t xml:space="preserve">AZAIZ</t>
  </si>
  <si>
    <t xml:space="preserve">DJAMEL</t>
  </si>
  <si>
    <t xml:space="preserve">AZAIZ DJAMEL</t>
  </si>
  <si>
    <t xml:space="preserve">CMP DE NEUILLY</t>
  </si>
  <si>
    <t xml:space="preserve">40 RUE DU PONT</t>
  </si>
  <si>
    <t xml:space="preserve">RUE DU PONT</t>
  </si>
  <si>
    <t xml:space="preserve">01 30 86 38 87</t>
  </si>
  <si>
    <t xml:space="preserve">https://biocodex6--c.vf.force.com/0014L00000KGAgoQAH</t>
  </si>
  <si>
    <t xml:space="preserve">ALBOU</t>
  </si>
  <si>
    <t xml:space="preserve">ANTHONY</t>
  </si>
  <si>
    <t xml:space="preserve">ALBOU ANTHONY</t>
  </si>
  <si>
    <t xml:space="preserve">65 BOULEVARD DES INVALIDES</t>
  </si>
  <si>
    <t xml:space="preserve">BOULEVARD DES INVALIDES</t>
  </si>
  <si>
    <t xml:space="preserve">01 40 65 06 04</t>
  </si>
  <si>
    <t xml:space="preserve">https://biocodex6--c.vf.force.com/0014L00000KFRUEQA5</t>
  </si>
  <si>
    <t xml:space="preserve">GRAIGNIC</t>
  </si>
  <si>
    <t xml:space="preserve">GRAIGNIC JULIE</t>
  </si>
  <si>
    <t xml:space="preserve">https://biocodex6--c.vf.force.com/0014L00000KG99jQAD</t>
  </si>
  <si>
    <t xml:space="preserve">VARET</t>
  </si>
  <si>
    <t xml:space="preserve">VARET BRUNO</t>
  </si>
  <si>
    <t xml:space="preserve">01 44 49 43 31</t>
  </si>
  <si>
    <t xml:space="preserve">https://biocodex6--c.vf.force.com/0014L00000KG4R4QAL</t>
  </si>
  <si>
    <t xml:space="preserve">DEHOUX</t>
  </si>
  <si>
    <t xml:space="preserve">LAURENE</t>
  </si>
  <si>
    <t xml:space="preserve">DEHOUX LAURENE</t>
  </si>
  <si>
    <t xml:space="preserve">https://biocodex6--c.vf.force.com/0014L00000huw0AQAQ</t>
  </si>
  <si>
    <t xml:space="preserve">PERRINE</t>
  </si>
  <si>
    <t xml:space="preserve">SEE PERRINE</t>
  </si>
  <si>
    <t xml:space="preserve">BENZEKRI</t>
  </si>
  <si>
    <t xml:space="preserve">BENZEKRI CHLOE</t>
  </si>
  <si>
    <t xml:space="preserve">29 RUE DAVIOUD</t>
  </si>
  <si>
    <t xml:space="preserve">01 76 21 55 80</t>
  </si>
  <si>
    <t xml:space="preserve">https://biocodex6--c.vf.force.com/0014L00000KG9fIQAT</t>
  </si>
  <si>
    <t xml:space="preserve">DE VERGNES</t>
  </si>
  <si>
    <t xml:space="preserve">OMBELINE</t>
  </si>
  <si>
    <t xml:space="preserve">DE VERGNES OMBELINE</t>
  </si>
  <si>
    <t xml:space="preserve">01 84 25 60 97 // 07 66 29 20 97</t>
  </si>
  <si>
    <t xml:space="preserve">https://biocodex6--c.vf.force.com/0014L00000KI8SnQAL</t>
  </si>
  <si>
    <t xml:space="preserve">https://annuairesante.ameli.fr/professionnels-de-sante/recherche/fiche-detaillee-B7c1kzY0Mjux.html</t>
  </si>
  <si>
    <t xml:space="preserve">PREVOT</t>
  </si>
  <si>
    <t xml:space="preserve">MAUD</t>
  </si>
  <si>
    <t xml:space="preserve">PREVOT MAUD</t>
  </si>
  <si>
    <t xml:space="preserve">https://biocodex6--c.vf.force.com/0014L00000NADdsQAH</t>
  </si>
  <si>
    <t xml:space="preserve">HILY</t>
  </si>
  <si>
    <t xml:space="preserve">MANON</t>
  </si>
  <si>
    <t xml:space="preserve">HILY MANON</t>
  </si>
  <si>
    <t xml:space="preserve">https://biocodex6--c.vf.force.com/0014L00000KHrPyQAL</t>
  </si>
  <si>
    <t xml:space="preserve">SCHLANG</t>
  </si>
  <si>
    <t xml:space="preserve">MERYL</t>
  </si>
  <si>
    <t xml:space="preserve">SCHLANG MERYL</t>
  </si>
  <si>
    <t xml:space="preserve">01 76 28 47 34</t>
  </si>
  <si>
    <t xml:space="preserve">https://biocodex6--c.vf.force.com/0014L00000kTco1QAC</t>
  </si>
  <si>
    <t xml:space="preserve">https://annuairesante.ameli.fr/professionnels-de-sante/recherche/fiche-detaillee-B7c1kzE3Nja7.html</t>
  </si>
  <si>
    <t xml:space="preserve">LABROSSE</t>
  </si>
  <si>
    <t xml:space="preserve">LABROSSE JULIE</t>
  </si>
  <si>
    <t xml:space="preserve">17 RUE PETRARQUE</t>
  </si>
  <si>
    <t xml:space="preserve">RUE PETRARQUE</t>
  </si>
  <si>
    <t xml:space="preserve">06 30 83 44 51</t>
  </si>
  <si>
    <t xml:space="preserve">https://biocodex6--c.vf.force.com/0014L00000KGIiIQAX</t>
  </si>
  <si>
    <t xml:space="preserve">https://annuairesante.ameli.fr/professionnels-de-sante/recherche/fiche-detaillee-B7c1kzYzNjG7.html</t>
  </si>
  <si>
    <t xml:space="preserve">07:45-12:00(R)</t>
  </si>
  <si>
    <t xml:space="preserve">AUGER</t>
  </si>
  <si>
    <t xml:space="preserve">CLEMENCE</t>
  </si>
  <si>
    <t xml:space="preserve">AUGER CLEMENCE</t>
  </si>
  <si>
    <t xml:space="preserve">https://biocodex6--c.vf.force.com/0014L00000KGKQrQAP</t>
  </si>
  <si>
    <t xml:space="preserve">https://annuairesante.ameli.fr/professionnels-de-sante/recherche/fiche-detaillee-B7c1kzE4OTay.html</t>
  </si>
  <si>
    <t xml:space="preserve">JIMENEZ</t>
  </si>
  <si>
    <t xml:space="preserve">JIMENEZ LAURA</t>
  </si>
  <si>
    <t xml:space="preserve">11 AVENUE RAYMOND POINCARE</t>
  </si>
  <si>
    <t xml:space="preserve">01 56 62 10 77</t>
  </si>
  <si>
    <t xml:space="preserve">https://biocodex6--c.vf.force.com/0014L00000KGGgIQAX</t>
  </si>
  <si>
    <t xml:space="preserve">GNANSIA</t>
  </si>
  <si>
    <t xml:space="preserve">GNANSIA AUDREY</t>
  </si>
  <si>
    <t xml:space="preserve">https://biocodex6--c.vf.force.com/0014L00000KGIQQQA5</t>
  </si>
  <si>
    <t xml:space="preserve">ABBA SAIAH</t>
  </si>
  <si>
    <t xml:space="preserve">ABBA SAIAH SARAH</t>
  </si>
  <si>
    <t xml:space="preserve">HÔP COGNACQ-JAY</t>
  </si>
  <si>
    <t xml:space="preserve">15 RUE EUGENE MILLON</t>
  </si>
  <si>
    <t xml:space="preserve">01 45 30 80 80</t>
  </si>
  <si>
    <t xml:space="preserve">https://biocodex6--c.vf.force.com/0014L00000KH86LQAT</t>
  </si>
  <si>
    <t xml:space="preserve">PIERRE CAROLINE</t>
  </si>
  <si>
    <t xml:space="preserve">https://biocodex6--c.vf.force.com/0014L00000KGKSTQA5</t>
  </si>
  <si>
    <t xml:space="preserve">MAREUSE</t>
  </si>
  <si>
    <t xml:space="preserve">SEGOLENE</t>
  </si>
  <si>
    <t xml:space="preserve">MAREUSE SEGOLENE</t>
  </si>
  <si>
    <t xml:space="preserve">https://biocodex6--c.vf.force.com/0014L00000KGGipQAH</t>
  </si>
  <si>
    <t xml:space="preserve">MALTONTI</t>
  </si>
  <si>
    <t xml:space="preserve">FABRICE</t>
  </si>
  <si>
    <t xml:space="preserve">MALTONTI FABRICE</t>
  </si>
  <si>
    <t xml:space="preserve">6 SQUARE JOUVENET</t>
  </si>
  <si>
    <t xml:space="preserve">SQUARE JOUVENET</t>
  </si>
  <si>
    <t xml:space="preserve">01 42 15 42 45</t>
  </si>
  <si>
    <t xml:space="preserve">https://biocodex6--c.vf.force.com/0014L00000KFpc4QAD</t>
  </si>
  <si>
    <t xml:space="preserve">https://annuairesante.ameli.fr/professionnels-de-sante/recherche/fiche-detaillee-B7c1mzExOTC0.html</t>
  </si>
  <si>
    <t xml:space="preserve">MAZIT</t>
  </si>
  <si>
    <t xml:space="preserve">GHEZALA</t>
  </si>
  <si>
    <t xml:space="preserve">MAZIT GHEZALA</t>
  </si>
  <si>
    <t xml:space="preserve">4 AVENUE MARCEAU</t>
  </si>
  <si>
    <t xml:space="preserve">01 45 05 45 04</t>
  </si>
  <si>
    <t xml:space="preserve">https://biocodex6--c.vf.force.com/0014L00000KFryQQAT</t>
  </si>
  <si>
    <t xml:space="preserve">ÉSTHÉTIQUE ++</t>
  </si>
  <si>
    <t xml:space="preserve">DUPONT DE DINECHIN</t>
  </si>
  <si>
    <t xml:space="preserve">CONSTANCE</t>
  </si>
  <si>
    <t xml:space="preserve">DUPONT DE DINECHIN CONSTANCE</t>
  </si>
  <si>
    <t xml:space="preserve">14 RUE ST DOMINIQUE</t>
  </si>
  <si>
    <t xml:space="preserve">RUE ST DOMINIQUE</t>
  </si>
  <si>
    <t xml:space="preserve">01 42 75 73 12</t>
  </si>
  <si>
    <t xml:space="preserve">https://biocodex6--c.vf.force.com/0014L00000n151WQAQ</t>
  </si>
  <si>
    <t xml:space="preserve">ABASSI</t>
  </si>
  <si>
    <t xml:space="preserve">EMNA</t>
  </si>
  <si>
    <t xml:space="preserve">ABASSI EMNA</t>
  </si>
  <si>
    <t xml:space="preserve">CDS SOMED</t>
  </si>
  <si>
    <t xml:space="preserve">17 BOULEVARD DE VAUGIRARD</t>
  </si>
  <si>
    <t xml:space="preserve">BOULEVARD DE VAUGIRARD</t>
  </si>
  <si>
    <t xml:space="preserve">01 83 94 60 60</t>
  </si>
  <si>
    <t xml:space="preserve">NOUGAREDE</t>
  </si>
  <si>
    <t xml:space="preserve">NOUGAREDE ISABELLE</t>
  </si>
  <si>
    <t xml:space="preserve">https://biocodex6--c.vf.force.com/0014L00000hrxxrQAA</t>
  </si>
  <si>
    <t xml:space="preserve">ASTRAUD</t>
  </si>
  <si>
    <t xml:space="preserve">LOUIS PAUL</t>
  </si>
  <si>
    <t xml:space="preserve">ASTRAUD LOUIS PAUL</t>
  </si>
  <si>
    <t xml:space="preserve">01 45 65 61 21</t>
  </si>
  <si>
    <t xml:space="preserve">https://biocodex6--c.vf.force.com/0014L00000NBteRQAT</t>
  </si>
  <si>
    <t xml:space="preserve">DANINO</t>
  </si>
  <si>
    <t xml:space="preserve">MICHAEL</t>
  </si>
  <si>
    <t xml:space="preserve">DANINO MICHAEL</t>
  </si>
  <si>
    <t xml:space="preserve">5 BOULEVARD BINEAU</t>
  </si>
  <si>
    <t xml:space="preserve">02 76 55 90 14</t>
  </si>
  <si>
    <t xml:space="preserve">https://biocodex6--c.vf.force.com/0014L00000NCVAZQA5</t>
  </si>
  <si>
    <t xml:space="preserve">https://annuairesante.ameli.fr/professionnels-de-sante/recherche/fiche-detaillee-CbA1kjQ3NTq3.html</t>
  </si>
  <si>
    <t xml:space="preserve">07:00-14:00(R)</t>
  </si>
  <si>
    <t xml:space="preserve">14:00-22:00(R)</t>
  </si>
  <si>
    <t xml:space="preserve">FILALI</t>
  </si>
  <si>
    <t xml:space="preserve">RAYANE</t>
  </si>
  <si>
    <t xml:space="preserve">FILALI RAYANE</t>
  </si>
  <si>
    <t xml:space="preserve">https://biocodex6--c.vf.force.com/0014L00000kSGjcQAG</t>
  </si>
  <si>
    <t xml:space="preserve">REBA</t>
  </si>
  <si>
    <t xml:space="preserve">ABDELHAMID</t>
  </si>
  <si>
    <t xml:space="preserve">REBA ABDELHAMID</t>
  </si>
  <si>
    <t xml:space="preserve">DIA</t>
  </si>
  <si>
    <t xml:space="preserve">252 BOULEVARD ST GERMAIN</t>
  </si>
  <si>
    <t xml:space="preserve">01 45 48 60 13</t>
  </si>
  <si>
    <t xml:space="preserve">https://biocodex6--c.vf.force.com/0014L00000KFxs6QAD</t>
  </si>
  <si>
    <t xml:space="preserve">https://annuairesante.ameli.fr/professionnels-de-sante/recherche/fiche-detaillee-B7c1ljMwNDa6.html</t>
  </si>
  <si>
    <t xml:space="preserve">CONSTANTIN</t>
  </si>
  <si>
    <t xml:space="preserve">LUDOVIC</t>
  </si>
  <si>
    <t xml:space="preserve">CONSTANTIN LUDOVIC</t>
  </si>
  <si>
    <t xml:space="preserve">25 RUE DESAIX</t>
  </si>
  <si>
    <t xml:space="preserve">RUE DESAIX</t>
  </si>
  <si>
    <t xml:space="preserve">01 47 34 26 53</t>
  </si>
  <si>
    <t xml:space="preserve">https://biocodex6--c.vf.force.com/0014L00000KFXODQA5</t>
  </si>
  <si>
    <t xml:space="preserve">https://annuairesante.ameli.fr/professionnels-de-sante/recherche/fiche-detaillee-B7c1lDMwNzC2.html</t>
  </si>
  <si>
    <t xml:space="preserve">THIBAUD</t>
  </si>
  <si>
    <t xml:space="preserve">VINCENT THIBAUD</t>
  </si>
  <si>
    <t xml:space="preserve">5 RUE ANDRIEUX</t>
  </si>
  <si>
    <t xml:space="preserve">RUE ANDRIEUX</t>
  </si>
  <si>
    <t xml:space="preserve">01 43 80 24 90</t>
  </si>
  <si>
    <t xml:space="preserve">https://biocodex6--c.vf.force.com/0014L00000KG6f4QAD</t>
  </si>
  <si>
    <t xml:space="preserve">https://annuairesante.ameli.fr/professionnels-de-sante/recherche/fiche-detaillee-B7c1mzA4MjW2.html</t>
  </si>
  <si>
    <t xml:space="preserve">DIMITROV</t>
  </si>
  <si>
    <t xml:space="preserve">DIMITROV DIDIER</t>
  </si>
  <si>
    <t xml:space="preserve">143 BOULEVARD LEFEBVRE</t>
  </si>
  <si>
    <t xml:space="preserve">BOULEVARD LEFEBVRE</t>
  </si>
  <si>
    <t xml:space="preserve">01 45 30 22 66</t>
  </si>
  <si>
    <t xml:space="preserve">https://biocodex6--c.vf.force.com/0014L00000KFYOXQA5</t>
  </si>
  <si>
    <t xml:space="preserve">https://annuairesante.ameli.fr/professionnels-de-sante/recherche/fiche-detaillee-B7c1lzo0OTC6.html</t>
  </si>
  <si>
    <t xml:space="preserve">CORREIA</t>
  </si>
  <si>
    <t xml:space="preserve">CORREIA CELIA</t>
  </si>
  <si>
    <t xml:space="preserve">1 PASSAGE DE LA VIERGE</t>
  </si>
  <si>
    <t xml:space="preserve">PASSAGE DE LA VIERGE</t>
  </si>
  <si>
    <t xml:space="preserve">01 71 28 23 46</t>
  </si>
  <si>
    <t xml:space="preserve">https://biocodex6--c.vf.force.com/0014L00000KFPgCQAX</t>
  </si>
  <si>
    <t xml:space="preserve">CHEN ZEE</t>
  </si>
  <si>
    <t xml:space="preserve">ESTELLE</t>
  </si>
  <si>
    <t xml:space="preserve">CHEN ZEE ESTELLE</t>
  </si>
  <si>
    <t xml:space="preserve">01 49 95 84 09</t>
  </si>
  <si>
    <t xml:space="preserve">https://biocodex6--c.vf.force.com/0014L00000KFejnQAD</t>
  </si>
  <si>
    <t xml:space="preserve">https://annuairesante.ameli.fr/professionnels-de-sante/recherche/fiche-detaillee-B7c1mjA4NDe6.html</t>
  </si>
  <si>
    <t xml:space="preserve">[Timestamp('2024-01-17 10:00:00'), Timestamp('2024-05-27 15:00:00')]</t>
  </si>
  <si>
    <t xml:space="preserve">SERRE</t>
  </si>
  <si>
    <t xml:space="preserve">JEAN LOUIS</t>
  </si>
  <si>
    <t xml:space="preserve">SERRE JEAN LOUIS</t>
  </si>
  <si>
    <t xml:space="preserve">74 RUE DU ROCHER</t>
  </si>
  <si>
    <t xml:space="preserve">RUE DU ROCHER</t>
  </si>
  <si>
    <t xml:space="preserve">01 43 87 66 24</t>
  </si>
  <si>
    <t xml:space="preserve">https://biocodex6--c.vf.force.com/0014L00000KG1JIQA1</t>
  </si>
  <si>
    <t xml:space="preserve">https://annuairesante.ameli.fr/professionnels-de-sante/recherche/fiche-detaillee-B7c1ljs2NTG6.html</t>
  </si>
  <si>
    <t xml:space="preserve">09:30-12:30(D)</t>
  </si>
  <si>
    <t xml:space="preserve">09:30-12:00(D)</t>
  </si>
  <si>
    <t xml:space="preserve">10:00-12:00(D)</t>
  </si>
  <si>
    <t xml:space="preserve">LIM</t>
  </si>
  <si>
    <t xml:space="preserve">CHHENG HAO</t>
  </si>
  <si>
    <t xml:space="preserve">LIM CHHENG HAO</t>
  </si>
  <si>
    <t xml:space="preserve">11 RUE DU GENERAL CORDONNIER</t>
  </si>
  <si>
    <t xml:space="preserve">RUE DU GENERAL CORDONNIER</t>
  </si>
  <si>
    <t xml:space="preserve">01 47 45 24 95</t>
  </si>
  <si>
    <t xml:space="preserve">https://biocodex6--c.vf.force.com/0014L00000KFoZOQA1</t>
  </si>
  <si>
    <t xml:space="preserve">https://annuairesante.ameli.fr/professionnels-de-sante/recherche/fiche-detaillee-CbA1kjQ2MDWy.html</t>
  </si>
  <si>
    <t xml:space="preserve">MACHARD DE GRAMONT</t>
  </si>
  <si>
    <t xml:space="preserve">MACHARD DE GRAMONT PHILIPPE</t>
  </si>
  <si>
    <t xml:space="preserve">19 RUE MICHEL ANGE</t>
  </si>
  <si>
    <t xml:space="preserve">01 40 50 88 88</t>
  </si>
  <si>
    <t xml:space="preserve">https://biocodex6--c.vf.force.com/0014L00000KFqe7QAD</t>
  </si>
  <si>
    <t xml:space="preserve">https://annuairesante.ameli.fr/professionnels-de-sante/recherche/fiche-detaillee-B7c1lDAzNDO0.html</t>
  </si>
  <si>
    <t xml:space="preserve">08:30-12:30(D)</t>
  </si>
  <si>
    <t xml:space="preserve">14:30-20:15(R)</t>
  </si>
  <si>
    <t xml:space="preserve">TRAN QUAN NAM</t>
  </si>
  <si>
    <t xml:space="preserve">TRAN QUAN NAM ANDRE</t>
  </si>
  <si>
    <t xml:space="preserve">33 RUE DES BERGERS</t>
  </si>
  <si>
    <t xml:space="preserve">RUE DES BERGERS</t>
  </si>
  <si>
    <t xml:space="preserve">01 45 78 12 13</t>
  </si>
  <si>
    <t xml:space="preserve">https://biocodex6--c.vf.force.com/0014L00000KG3eEQAT</t>
  </si>
  <si>
    <t xml:space="preserve">https://annuairesante.ameli.fr/professionnels-de-sante/recherche/fiche-detaillee-B7c1kTU3NDG3.html</t>
  </si>
  <si>
    <t xml:space="preserve">ALLA</t>
  </si>
  <si>
    <t xml:space="preserve">ALLA PHILIPPE</t>
  </si>
  <si>
    <t xml:space="preserve">01 46 41 28 21</t>
  </si>
  <si>
    <t xml:space="preserve">https://biocodex6--c.vf.force.com/0014L00000KFQCkQAP</t>
  </si>
  <si>
    <t xml:space="preserve">https://annuairesante.ameli.fr/professionnels-de-sante/recherche/fiche-detaillee-CbA1kjA4MTq1.html</t>
  </si>
  <si>
    <t xml:space="preserve">BOUSQUET</t>
  </si>
  <si>
    <t xml:space="preserve">MARIE THERESE</t>
  </si>
  <si>
    <t xml:space="preserve">BOUSQUET MARIE THERESE</t>
  </si>
  <si>
    <t xml:space="preserve">6 RUE EUGENE DELACROIX</t>
  </si>
  <si>
    <t xml:space="preserve">RUE EUGENE DELACROIX</t>
  </si>
  <si>
    <t xml:space="preserve">01 40 72 83 81</t>
  </si>
  <si>
    <t xml:space="preserve">https://biocodex6--c.vf.force.com/0014L00000KFW5XQAX</t>
  </si>
  <si>
    <t xml:space="preserve">https://annuairesante.ameli.fr/professionnels-de-sante/recherche/fiche-detaillee-B7c1lTIwMzW0.html</t>
  </si>
  <si>
    <t xml:space="preserve">HOGUIN</t>
  </si>
  <si>
    <t xml:space="preserve">HOGUIN JEAN CHRISTOPHE</t>
  </si>
  <si>
    <t xml:space="preserve">22 RUE D ALSACE</t>
  </si>
  <si>
    <t xml:space="preserve">RUE D ALSACE</t>
  </si>
  <si>
    <t xml:space="preserve">01 46 39 06 43</t>
  </si>
  <si>
    <t xml:space="preserve">https://biocodex6--c.vf.force.com/0014L00000KFv4JQAT</t>
  </si>
  <si>
    <t xml:space="preserve">https://annuairesante.ameli.fr/professionnels-de-sante/recherche/fiche-detaillee-CbA1kDE0MTCx.html</t>
  </si>
  <si>
    <t xml:space="preserve">BENRABAH</t>
  </si>
  <si>
    <t xml:space="preserve">RABAH</t>
  </si>
  <si>
    <t xml:space="preserve">BENRABAH RABAH</t>
  </si>
  <si>
    <t xml:space="preserve">32 BOULEVARD DE COURCELLES</t>
  </si>
  <si>
    <t xml:space="preserve">01 47 63 01 22</t>
  </si>
  <si>
    <t xml:space="preserve">https://biocodex6--c.vf.force.com/0014L00000KFShVQAX</t>
  </si>
  <si>
    <t xml:space="preserve">https://annuairesante.ameli.fr/professionnels-de-sante/recherche/fiche-detaillee-B7c1ljc4ODO7.html</t>
  </si>
  <si>
    <t xml:space="preserve">BRISSET</t>
  </si>
  <si>
    <t xml:space="preserve">BRISSET MARION</t>
  </si>
  <si>
    <t xml:space="preserve">25 BOULEVARD VICTOR HUGO</t>
  </si>
  <si>
    <t xml:space="preserve">https://biocodex6--c.vf.force.com/0014L00000KFV8rQAH</t>
  </si>
  <si>
    <t xml:space="preserve">COHEN HABABOU</t>
  </si>
  <si>
    <t xml:space="preserve">COHEN HABABOU MARIE THERESE</t>
  </si>
  <si>
    <t xml:space="preserve">https://biocodex6--c.vf.force.com/0014L00000KFhxOQAT</t>
  </si>
  <si>
    <t xml:space="preserve">LACOSTE</t>
  </si>
  <si>
    <t xml:space="preserve">LACOSTE JEAN PIERRE</t>
  </si>
  <si>
    <t xml:space="preserve">https://biocodex6--c.vf.force.com/0014L00000KFlJiQAL</t>
  </si>
  <si>
    <t xml:space="preserve">https://annuairesante.ameli.fr/professionnels-de-sante/recherche/fiche-detaillee-B7c1kTE5OTCw.html</t>
  </si>
  <si>
    <t xml:space="preserve">[Timestamp('2023-08-28 10:00:00'), Timestamp('2023-12-19 16:30:00')]</t>
  </si>
  <si>
    <t xml:space="preserve">CONSTANTIN FABIENNE</t>
  </si>
  <si>
    <t xml:space="preserve">https://biocodex6--c.vf.force.com/0014L00000KFXNwQAP</t>
  </si>
  <si>
    <t xml:space="preserve">https://annuairesante.ameli.fr/professionnels-de-sante/recherche/fiche-detaillee-B7c1lzY0MTa0.html</t>
  </si>
  <si>
    <t xml:space="preserve">09:00-13:20(R)</t>
  </si>
  <si>
    <t xml:space="preserve">09:00-11:00(D)
11:00-14:00(R)</t>
  </si>
  <si>
    <t xml:space="preserve">YEN</t>
  </si>
  <si>
    <t xml:space="preserve">YEN ELISABETH</t>
  </si>
  <si>
    <t xml:space="preserve">10 RUE DE L HOTEL DE VILLE</t>
  </si>
  <si>
    <t xml:space="preserve">RUE DE L HOTEL DE VILLE</t>
  </si>
  <si>
    <t xml:space="preserve">01 46 37 48 83</t>
  </si>
  <si>
    <t xml:space="preserve">https://biocodex6--c.vf.force.com/0014L00000KG62ZQAT</t>
  </si>
  <si>
    <t xml:space="preserve">https://annuairesante.ameli.fr/professionnels-de-sante/recherche/fiche-detaillee-CbA1kzI1Njqx.html</t>
  </si>
  <si>
    <t xml:space="preserve">FAYEMENDY</t>
  </si>
  <si>
    <t xml:space="preserve">FAYEMENDY LAURENT</t>
  </si>
  <si>
    <t xml:space="preserve">https://biocodex6--c.vf.force.com/0014L00000KFdLaQAL</t>
  </si>
  <si>
    <t xml:space="preserve">https://annuairesante.ameli.fr/professionnels-de-sante/recherche/fiche-detaillee-B7c1lzozNzey.html</t>
  </si>
  <si>
    <t xml:space="preserve">VORONITCHEVA</t>
  </si>
  <si>
    <t xml:space="preserve">MARGARITA</t>
  </si>
  <si>
    <t xml:space="preserve">VORONITCHEVA MARGARITA</t>
  </si>
  <si>
    <t xml:space="preserve">17 RUE ALFRED ROLL</t>
  </si>
  <si>
    <t xml:space="preserve">RUE ALFRED ROLL</t>
  </si>
  <si>
    <t xml:space="preserve">01 46 22 64 02</t>
  </si>
  <si>
    <t xml:space="preserve">docteurvoronitcheva@gmail.com</t>
  </si>
  <si>
    <t xml:space="preserve">https://biocodex6--c.vf.force.com/0014L00000KG6URQA1</t>
  </si>
  <si>
    <t xml:space="preserve">MIMOUN</t>
  </si>
  <si>
    <t xml:space="preserve">SYLVAIN</t>
  </si>
  <si>
    <t xml:space="preserve">MIMOUN SYLVAIN</t>
  </si>
  <si>
    <t xml:space="preserve">AND
MED</t>
  </si>
  <si>
    <t xml:space="preserve">01 45 62 44 05 // 01 47 04 19 10</t>
  </si>
  <si>
    <t xml:space="preserve">https://biocodex6--c.vf.force.com/0014L00000KFrznQAD</t>
  </si>
  <si>
    <t xml:space="preserve">https://annuairesante.ameli.fr/professionnels-de-sante/recherche/fiche-detaillee-B7c1lTI2NDS2.html</t>
  </si>
  <si>
    <t xml:space="preserve">LEVY</t>
  </si>
  <si>
    <t xml:space="preserve">LEVY ALAIN</t>
  </si>
  <si>
    <t xml:space="preserve">https://biocodex6--c.vf.force.com/0014L00000KFoKxQAL</t>
  </si>
  <si>
    <t xml:space="preserve">https://annuairesante.ameli.fr/professionnels-de-sante/recherche/fiche-detaillee-B7c1mjEwNDe2.html</t>
  </si>
  <si>
    <t xml:space="preserve">GUETUE</t>
  </si>
  <si>
    <t xml:space="preserve">APPOLINAIRE BLAISE</t>
  </si>
  <si>
    <t xml:space="preserve">GUETUE APPOLINAIRE BLAISE</t>
  </si>
  <si>
    <t xml:space="preserve">03 23 75 72 70</t>
  </si>
  <si>
    <t xml:space="preserve">https://biocodex6--c.vf.force.com/0014L00000KFcHIQA1</t>
  </si>
  <si>
    <t xml:space="preserve">TOBELEM</t>
  </si>
  <si>
    <t xml:space="preserve">TOBELEM ROBERT</t>
  </si>
  <si>
    <t xml:space="preserve">TRAV
ACU</t>
  </si>
  <si>
    <t xml:space="preserve">196 AVENUE DE VERSAILLES</t>
  </si>
  <si>
    <t xml:space="preserve">01 42 88 95 50</t>
  </si>
  <si>
    <t xml:space="preserve">https://biocodex6--c.vf.force.com/0014L00000KG3NVQA1</t>
  </si>
  <si>
    <t xml:space="preserve">https://annuairesante.ameli.fr/professionnels-de-sante/recherche/fiche-detaillee-B7c1lzIwMzK3.html</t>
  </si>
  <si>
    <t xml:space="preserve">DUPONT THIERRY</t>
  </si>
  <si>
    <t xml:space="preserve">CLI OUDINOT</t>
  </si>
  <si>
    <t xml:space="preserve">19 RUE OUDINOT</t>
  </si>
  <si>
    <t xml:space="preserve">RUE OUDINOT</t>
  </si>
  <si>
    <t xml:space="preserve">https://biocodex6--c.vf.force.com/0014L00000KFc2YQAT</t>
  </si>
  <si>
    <t xml:space="preserve">SERIE</t>
  </si>
  <si>
    <t xml:space="preserve">SERIE MAXIME</t>
  </si>
  <si>
    <t xml:space="preserve">9 RUE HOCHE</t>
  </si>
  <si>
    <t xml:space="preserve">RUE HOCHE</t>
  </si>
  <si>
    <t xml:space="preserve">01 47 58 13 48</t>
  </si>
  <si>
    <t xml:space="preserve">https://biocodex6--c.vf.force.com/0014L00000KGE8eQAH</t>
  </si>
  <si>
    <t xml:space="preserve">https://annuairesante.ameli.fr/professionnels-de-sante/recherche/fiche-detaillee-CbA1mjE4NzKy.html</t>
  </si>
  <si>
    <t xml:space="preserve">RENOULT</t>
  </si>
  <si>
    <t xml:space="preserve">RENOULT NATHALIE</t>
  </si>
  <si>
    <t xml:space="preserve">72 RUE ANATOLE FRANCE</t>
  </si>
  <si>
    <t xml:space="preserve">01 47 57 55 83</t>
  </si>
  <si>
    <t xml:space="preserve">https://biocodex6--c.vf.force.com/0014L00000KFyZPQA1</t>
  </si>
  <si>
    <t xml:space="preserve">https://annuairesante.ameli.fr/professionnels-de-sante/recherche/fiche-detaillee-CbA1kzQ5MTO6.html</t>
  </si>
  <si>
    <t xml:space="preserve">[Timestamp('2023-09-27 13:30:00'), Timestamp('2024-01-29 10:00:00')]</t>
  </si>
  <si>
    <t xml:space="preserve">CADOCHE</t>
  </si>
  <si>
    <t xml:space="preserve">CADOCHE GUY</t>
  </si>
  <si>
    <t xml:space="preserve">6 RUE GIRODET</t>
  </si>
  <si>
    <t xml:space="preserve">RUE GIRODET</t>
  </si>
  <si>
    <t xml:space="preserve">01 42 24 50 30</t>
  </si>
  <si>
    <t xml:space="preserve">https://biocodex6--c.vf.force.com/0014L00000KFVCxQAP</t>
  </si>
  <si>
    <t xml:space="preserve">https://annuairesante.ameli.fr/professionnels-de-sante/recherche/fiche-detaillee-B7c1lDs1NDa7.html</t>
  </si>
  <si>
    <t xml:space="preserve">11:00-13:00(R)</t>
  </si>
  <si>
    <t xml:space="preserve">VINCENT VALERIE</t>
  </si>
  <si>
    <t xml:space="preserve">INFECT</t>
  </si>
  <si>
    <t xml:space="preserve">1 RUE DE NARBONNE</t>
  </si>
  <si>
    <t xml:space="preserve">RUE DE NARBONNE</t>
  </si>
  <si>
    <t xml:space="preserve">01 45 48 04 51</t>
  </si>
  <si>
    <t xml:space="preserve">https://biocodex6--c.vf.force.com/0014L00000KG5LpQAL</t>
  </si>
  <si>
    <t xml:space="preserve">https://annuairesante.ameli.fr/professionnels-de-sante/recherche/fiche-detaillee-B7c1lDMwNDG3.html</t>
  </si>
  <si>
    <t xml:space="preserve">LALAU KERALY</t>
  </si>
  <si>
    <t xml:space="preserve">LALAU KERALY MARC</t>
  </si>
  <si>
    <t xml:space="preserve">https://biocodex6--c.vf.force.com/0014L00000KFldtQAD</t>
  </si>
  <si>
    <t xml:space="preserve">https://annuairesante.ameli.fr/professionnels-de-sante/recherche/fiche-detaillee-B7c1lTE2ODKy.html</t>
  </si>
  <si>
    <t xml:space="preserve">DOUVIER</t>
  </si>
  <si>
    <t xml:space="preserve">DOUVIER JEAN PAUL</t>
  </si>
  <si>
    <t xml:space="preserve">2 PLACE DE BARCELONE</t>
  </si>
  <si>
    <t xml:space="preserve">PLACE DE BARCELONE</t>
  </si>
  <si>
    <t xml:space="preserve">01 42 24 08 88</t>
  </si>
  <si>
    <t xml:space="preserve">https://biocodex6--c.vf.force.com/0014L00000KFbIsQAL</t>
  </si>
  <si>
    <t xml:space="preserve">https://annuairesante.ameli.fr/professionnels-de-sante/recherche/fiche-detaillee-B7c1kTIzMDS6.html</t>
  </si>
  <si>
    <t xml:space="preserve">[Timestamp('2023-08-28 12:00:00'), Timestamp('2023-12-20 16:30:00')]</t>
  </si>
  <si>
    <t xml:space="preserve">ETIENNE</t>
  </si>
  <si>
    <t xml:space="preserve">ANAHI LAURE</t>
  </si>
  <si>
    <t xml:space="preserve">ETIENNE ANAHI LAURE</t>
  </si>
  <si>
    <t xml:space="preserve">https://biocodex6--c.vf.force.com/0014L00000KFQYIQA5</t>
  </si>
  <si>
    <t xml:space="preserve">https://annuairesante.ameli.fr/professionnels-de-sante/recherche/fiche-detaillee-B7c1mzYwMjK2.html</t>
  </si>
  <si>
    <t xml:space="preserve">09:45-12:00(R)</t>
  </si>
  <si>
    <t xml:space="preserve">15:00-18:30(R)</t>
  </si>
  <si>
    <t xml:space="preserve">14:00-17:45(R)</t>
  </si>
  <si>
    <t xml:space="preserve">09:40-12:00(R)</t>
  </si>
  <si>
    <t xml:space="preserve">MASSOT LEGEAY</t>
  </si>
  <si>
    <t xml:space="preserve">MASSOT LEGEAY NATHALIE</t>
  </si>
  <si>
    <t xml:space="preserve">01 42 34 82 10</t>
  </si>
  <si>
    <t xml:space="preserve">https://biocodex6--c.vf.force.com/0014L00000KFregQAD</t>
  </si>
  <si>
    <t xml:space="preserve">CHATEL</t>
  </si>
  <si>
    <t xml:space="preserve">CHATEL PAUL</t>
  </si>
  <si>
    <t xml:space="preserve">01 45 78 94 26</t>
  </si>
  <si>
    <t xml:space="preserve">docchatel@gmail.com</t>
  </si>
  <si>
    <t xml:space="preserve">https://biocodex6--c.vf.force.com/0014L00000KFfU3QAL</t>
  </si>
  <si>
    <t xml:space="preserve">https://annuairesante.ameli.fr/professionnels-de-sante/recherche/fiche-detaillee-B7c1kjczNzOx.html</t>
  </si>
  <si>
    <t xml:space="preserve">[Timestamp('2023-10-16 15:30:00'), Timestamp('2023-11-28 14:00:00'), Timestamp('2024-03-12 13:30:00')]</t>
  </si>
  <si>
    <t xml:space="preserve">CLAVERO FABRI</t>
  </si>
  <si>
    <t xml:space="preserve">CLAVERO FABRI MARIE CHRISTINE</t>
  </si>
  <si>
    <t xml:space="preserve">45 AVENUE BOSQUET</t>
  </si>
  <si>
    <t xml:space="preserve">01 45 50 36 64</t>
  </si>
  <si>
    <t xml:space="preserve">https://biocodex6--c.vf.force.com/0014L00000KFcyoQAD</t>
  </si>
  <si>
    <t xml:space="preserve">https://annuairesante.ameli.fr/professionnels-de-sante/recherche/fiche-detaillee-B7c1mjMzMzK0.html</t>
  </si>
  <si>
    <t xml:space="preserve">PICARD PAIX</t>
  </si>
  <si>
    <t xml:space="preserve">ODILE</t>
  </si>
  <si>
    <t xml:space="preserve">PICARD PAIX ODILE</t>
  </si>
  <si>
    <t xml:space="preserve">RHU</t>
  </si>
  <si>
    <t xml:space="preserve">5 RUE BERNOULLI</t>
  </si>
  <si>
    <t xml:space="preserve">RUE BERNOULLI</t>
  </si>
  <si>
    <t xml:space="preserve">01 42 93 12 55</t>
  </si>
  <si>
    <t xml:space="preserve">https://biocodex6--c.vf.force.com/0014L00000KFvu3QAD</t>
  </si>
  <si>
    <t xml:space="preserve">PHAM THI</t>
  </si>
  <si>
    <t xml:space="preserve">THOI NGUYET</t>
  </si>
  <si>
    <t xml:space="preserve">PHAM THI THOI NGUYET</t>
  </si>
  <si>
    <t xml:space="preserve">14 PLACE HENRI BERGSON</t>
  </si>
  <si>
    <t xml:space="preserve">PLACE HENRI BERGSON</t>
  </si>
  <si>
    <t xml:space="preserve">01 47 42 91 00</t>
  </si>
  <si>
    <t xml:space="preserve">https://biocodex6--c.vf.force.com/0014L00000KFvpyQAD</t>
  </si>
  <si>
    <t xml:space="preserve">COLIN DE VERDIERE</t>
  </si>
  <si>
    <t xml:space="preserve">ARMELLE</t>
  </si>
  <si>
    <t xml:space="preserve">COLIN DE VERDIERE ARMELLE</t>
  </si>
  <si>
    <t xml:space="preserve">13 RUE MARMONTEL</t>
  </si>
  <si>
    <t xml:space="preserve">RUE MARMONTEL</t>
  </si>
  <si>
    <t xml:space="preserve">01 45 33 55 36</t>
  </si>
  <si>
    <t xml:space="preserve">https://biocodex6--c.vf.force.com/0014L00000KFXCEQA5</t>
  </si>
  <si>
    <t xml:space="preserve">https://annuairesante.ameli.fr/professionnels-de-sante/recherche/fiche-detaillee-B7c1lzU4NzS2.html</t>
  </si>
  <si>
    <t xml:space="preserve">BLOCH</t>
  </si>
  <si>
    <t xml:space="preserve">MARGOT</t>
  </si>
  <si>
    <t xml:space="preserve">BLOCH MARGOT</t>
  </si>
  <si>
    <t xml:space="preserve">172 RUE DE COURCELLES</t>
  </si>
  <si>
    <t xml:space="preserve">07 84 58 35 44</t>
  </si>
  <si>
    <t xml:space="preserve">https://biocodex6--c.vf.force.com/0014L00000KGC2VQAX</t>
  </si>
  <si>
    <t xml:space="preserve">https://annuairesante.ameli.fr/professionnels-de-sante/recherche/fiche-detaillee-B7c1kzA3Nzu6.html</t>
  </si>
  <si>
    <t xml:space="preserve">DAHAN</t>
  </si>
  <si>
    <t xml:space="preserve">DAHAN WILLIAM</t>
  </si>
  <si>
    <t xml:space="preserve">06 87 73 70 67</t>
  </si>
  <si>
    <t xml:space="preserve">https://biocodex6--c.vf.force.com/0014L00000KFXp1QAH</t>
  </si>
  <si>
    <t xml:space="preserve">https://annuairesante.ameli.fr/professionnels-de-sante/recherche/fiche-detaillee-B7c1mzA4ODSy.html</t>
  </si>
  <si>
    <t xml:space="preserve">ZONGO</t>
  </si>
  <si>
    <t xml:space="preserve">DRISSA</t>
  </si>
  <si>
    <t xml:space="preserve">ZONGO DRISSA</t>
  </si>
  <si>
    <t xml:space="preserve">https://biocodex6--c.vf.force.com/0014L00000KG767QAD</t>
  </si>
  <si>
    <t xml:space="preserve">MONSONEGO</t>
  </si>
  <si>
    <t xml:space="preserve">JOSEPH</t>
  </si>
  <si>
    <t xml:space="preserve">MONSONEGO JOSEPH</t>
  </si>
  <si>
    <t xml:space="preserve">ONCO
MED</t>
  </si>
  <si>
    <t xml:space="preserve">174 RUE DE COURCELLES</t>
  </si>
  <si>
    <t xml:space="preserve">01 47 66 05 29</t>
  </si>
  <si>
    <t xml:space="preserve">https://biocodex6--c.vf.force.com/0014L00000KFsOqQAL</t>
  </si>
  <si>
    <t xml:space="preserve">https://annuairesante.ameli.fr/professionnels-de-sante/recherche/fiche-detaillee-B7c1ljcwMjOw.html</t>
  </si>
  <si>
    <t xml:space="preserve">COHEN CAROLE</t>
  </si>
  <si>
    <t xml:space="preserve">95 RUE DE PASSY</t>
  </si>
  <si>
    <t xml:space="preserve">01 45 25 66 00</t>
  </si>
  <si>
    <t xml:space="preserve">https://biocodex6--c.vf.force.com/0014L00000KFjodQAD</t>
  </si>
  <si>
    <t xml:space="preserve">https://annuairesante.ameli.fr/professionnels-de-sante/recherche/fiche-detaillee-B7c1lDE2MjWx.html</t>
  </si>
  <si>
    <t xml:space="preserve">[Timestamp('2023-08-28 14:30:00'), Timestamp('2023-12-21 16:00:00')]</t>
  </si>
  <si>
    <t xml:space="preserve">SCHWAB BASSIL</t>
  </si>
  <si>
    <t xml:space="preserve">SCHWAB BASSIL VERONIQUE</t>
  </si>
  <si>
    <t xml:space="preserve">35 BOULEVARD LEFEBVRE</t>
  </si>
  <si>
    <t xml:space="preserve">01 45 32 14 13</t>
  </si>
  <si>
    <t xml:space="preserve">https://biocodex6--c.vf.force.com/0014L00000KG0zdQAD</t>
  </si>
  <si>
    <t xml:space="preserve">https://annuairesante.ameli.fr/professionnels-de-sante/recherche/fiche-detaillee-B7c1lzIxNjSz.html</t>
  </si>
  <si>
    <t xml:space="preserve">DAHAN MICHAEL</t>
  </si>
  <si>
    <t xml:space="preserve">01 45 01 26 96 // 01 40 72 33 97</t>
  </si>
  <si>
    <t xml:space="preserve">https://biocodex6--c.vf.force.com/0014L00000KFXowQAH</t>
  </si>
  <si>
    <t xml:space="preserve">https://annuairesante.ameli.fr/professionnels-de-sante/recherche/fiche-detaillee-B7c1lTAyNTOz.html</t>
  </si>
  <si>
    <t xml:space="preserve">LANDOWSKI</t>
  </si>
  <si>
    <t xml:space="preserve">LANDOWSKI PHILIPPE</t>
  </si>
  <si>
    <t xml:space="preserve">01 42 12 02 67 // 01 42 12 72 92</t>
  </si>
  <si>
    <t xml:space="preserve">https://biocodex6--c.vf.force.com/0014L00000KFlspQAD</t>
  </si>
  <si>
    <t xml:space="preserve">https://annuairesante.ameli.fr/professionnels-de-sante/recherche/fiche-detaillee-B7c1lTIzMTKz.html</t>
  </si>
  <si>
    <t xml:space="preserve">BENISTY</t>
  </si>
  <si>
    <t xml:space="preserve">FLORENCE SARAH</t>
  </si>
  <si>
    <t xml:space="preserve">BENISTY FLORENCE SARAH</t>
  </si>
  <si>
    <t xml:space="preserve">INS NAT DES INVALIDES</t>
  </si>
  <si>
    <t xml:space="preserve">6 BOULEVARD DES INVALIDES</t>
  </si>
  <si>
    <t xml:space="preserve">01 48 03 65 97</t>
  </si>
  <si>
    <t xml:space="preserve">https://biocodex6--c.vf.force.com/0014L00000KFSmtQAH</t>
  </si>
  <si>
    <t xml:space="preserve">DYLGJERI</t>
  </si>
  <si>
    <t xml:space="preserve">SUELA</t>
  </si>
  <si>
    <t xml:space="preserve">DYLGJERI SUELA</t>
  </si>
  <si>
    <t xml:space="preserve">55 RUE LAUGIER</t>
  </si>
  <si>
    <t xml:space="preserve">RUE LAUGIER</t>
  </si>
  <si>
    <t xml:space="preserve">01 42 66 24 94</t>
  </si>
  <si>
    <t xml:space="preserve">https://biocodex6--c.vf.force.com/0014L00000KFaC1QAL</t>
  </si>
  <si>
    <t xml:space="preserve">https://annuairesante.ameli.fr/professionnels-de-sante/recherche/fiche-detaillee-B7c1lTExMDu2.html</t>
  </si>
  <si>
    <t xml:space="preserve">LARANGOT ROUFFET</t>
  </si>
  <si>
    <t xml:space="preserve">LARANGOT ROUFFET CLAUDE</t>
  </si>
  <si>
    <t xml:space="preserve">33 RUE BENJAMIN FRANKLIN</t>
  </si>
  <si>
    <t xml:space="preserve">RUE BENJAMIN FRANKLIN</t>
  </si>
  <si>
    <t xml:space="preserve">01 47 27 24 75</t>
  </si>
  <si>
    <t xml:space="preserve">https://biocodex6--c.vf.force.com/0014L00000KFm7bQAD</t>
  </si>
  <si>
    <t xml:space="preserve">https://annuairesante.ameli.fr/professionnels-de-sante/recherche/fiche-detaillee-B7c1ljc3Nzqz.html</t>
  </si>
  <si>
    <t xml:space="preserve">STRAWCZYNSKI</t>
  </si>
  <si>
    <t xml:space="preserve">STRAWCZYNSKI FRANCOIS</t>
  </si>
  <si>
    <t xml:space="preserve">51 RUE DES BELLES FEUILLES</t>
  </si>
  <si>
    <t xml:space="preserve">RUE DES BELLES FEUILLES</t>
  </si>
  <si>
    <t xml:space="preserve">01 45 53 67 47</t>
  </si>
  <si>
    <t xml:space="preserve">https://biocodex6--c.vf.force.com/0014L00000KG2EcQAL</t>
  </si>
  <si>
    <t xml:space="preserve">DUPEYRAT</t>
  </si>
  <si>
    <t xml:space="preserve">ELISE</t>
  </si>
  <si>
    <t xml:space="preserve">DUPEYRAT ELISE</t>
  </si>
  <si>
    <t xml:space="preserve">https://biocodex6--c.vf.force.com/0014L00000KFZYoQAP</t>
  </si>
  <si>
    <t xml:space="preserve">MAKOWSKI</t>
  </si>
  <si>
    <t xml:space="preserve">MAKOWSKI DANIEL</t>
  </si>
  <si>
    <t xml:space="preserve">48 AVENUE KLEBER</t>
  </si>
  <si>
    <t xml:space="preserve">01 42 93 00 99</t>
  </si>
  <si>
    <t xml:space="preserve">https://biocodex6--c.vf.force.com/0014L00000KFpTqQAL</t>
  </si>
  <si>
    <t xml:space="preserve">DE BEAUCHESNE</t>
  </si>
  <si>
    <t xml:space="preserve">DE BEAUCHESNE MARYAM</t>
  </si>
  <si>
    <t xml:space="preserve">57 RUE DU PRESIDENT WILSON</t>
  </si>
  <si>
    <t xml:space="preserve">01 47 37 42 30</t>
  </si>
  <si>
    <t xml:space="preserve">https://biocodex6--c.vf.force.com/0014L00000KFYbRQAX</t>
  </si>
  <si>
    <t xml:space="preserve">https://annuairesante.ameli.fr/professionnels-de-sante/recherche/fiche-detaillee-CbA1kzo2ODu2.html</t>
  </si>
  <si>
    <t xml:space="preserve">DEMANOFF</t>
  </si>
  <si>
    <t xml:space="preserve">PRASQUEVY</t>
  </si>
  <si>
    <t xml:space="preserve">DEMANOFF PRASQUEVY</t>
  </si>
  <si>
    <t xml:space="preserve">97 AVENUE NIEL</t>
  </si>
  <si>
    <t xml:space="preserve">01 43 80 15 14</t>
  </si>
  <si>
    <t xml:space="preserve">https://biocodex6--c.vf.force.com/0014L00000KFX5uQAH</t>
  </si>
  <si>
    <t xml:space="preserve">https://annuairesante.ameli.fr/professionnels-de-sante/recherche/fiche-detaillee-B7c1lDoyOTSw.html</t>
  </si>
  <si>
    <t xml:space="preserve">COHEN KOUBI</t>
  </si>
  <si>
    <t xml:space="preserve">NINA</t>
  </si>
  <si>
    <t xml:space="preserve">COHEN KOUBI NINA</t>
  </si>
  <si>
    <t xml:space="preserve">01 47 64 56 06</t>
  </si>
  <si>
    <t xml:space="preserve">https://biocodex6--c.vf.force.com/0014L00000KFlOnQAL</t>
  </si>
  <si>
    <t xml:space="preserve">https://annuairesante.ameli.fr/professionnels-de-sante/recherche/fiche-detaillee-B7c1lzoxMDC6.html</t>
  </si>
  <si>
    <t xml:space="preserve">COUTANCEAU</t>
  </si>
  <si>
    <t xml:space="preserve">COUTANCEAU BERTRAND</t>
  </si>
  <si>
    <t xml:space="preserve">https://biocodex6--c.vf.force.com/0014L00000KFOofQAH</t>
  </si>
  <si>
    <t xml:space="preserve">SABBAH EZAOUI</t>
  </si>
  <si>
    <t xml:space="preserve">LIORA</t>
  </si>
  <si>
    <t xml:space="preserve">SABBAH EZAOUI LIORA</t>
  </si>
  <si>
    <t xml:space="preserve">01 45 45 66 01 // 01 42 24 71 15</t>
  </si>
  <si>
    <t xml:space="preserve">https://biocodex6--c.vf.force.com/0014L00000KG028QAD</t>
  </si>
  <si>
    <t xml:space="preserve">https://annuairesante.ameli.fr/professionnels-de-sante/recherche/fiche-detaillee-B7c1lzAxMTWw.html</t>
  </si>
  <si>
    <t xml:space="preserve">LIMAIEM JOUMNI</t>
  </si>
  <si>
    <t xml:space="preserve">WIDED</t>
  </si>
  <si>
    <t xml:space="preserve">LIMAIEM JOUMNI WIDED</t>
  </si>
  <si>
    <t xml:space="preserve">181 RUE BLOMET</t>
  </si>
  <si>
    <t xml:space="preserve">01 40 54 24 93</t>
  </si>
  <si>
    <t xml:space="preserve">https://biocodex6--c.vf.force.com/0014L00000KFoqtQAD</t>
  </si>
  <si>
    <t xml:space="preserve">AZOULAY PHILIPPE</t>
  </si>
  <si>
    <t xml:space="preserve">133 RUE MICHEL ANGE</t>
  </si>
  <si>
    <t xml:space="preserve">01 46 20 17 16 // 01 40 71 19 72</t>
  </si>
  <si>
    <t xml:space="preserve">https://biocodex6--c.vf.force.com/0014L00000KFSSFQA5</t>
  </si>
  <si>
    <t xml:space="preserve">https://annuairesante.ameli.fr/professionnels-de-sante/recherche/fiche-detaillee-B7c1lTEyMTa6.html</t>
  </si>
  <si>
    <t xml:space="preserve">RAZAFIMBELO DEKETELAERE</t>
  </si>
  <si>
    <t xml:space="preserve">RAZAFIMBELO DEKETELAERE ROSE</t>
  </si>
  <si>
    <t xml:space="preserve">11 PASSAGE DOISY</t>
  </si>
  <si>
    <t xml:space="preserve">PASSAGE DOISY</t>
  </si>
  <si>
    <t xml:space="preserve">01 42 25 59 44</t>
  </si>
  <si>
    <t xml:space="preserve">https://biocodex6--c.vf.force.com/0014L00000KFZa5QAH</t>
  </si>
  <si>
    <t xml:space="preserve">LUPCZYNSKI</t>
  </si>
  <si>
    <t xml:space="preserve">LUPCZYNSKI GEORGES</t>
  </si>
  <si>
    <t xml:space="preserve">https://biocodex6--c.vf.force.com/0014L00000KFp47QAD</t>
  </si>
  <si>
    <t xml:space="preserve">[Timestamp('2023-10-17 11:30:00'), Timestamp('2024-02-20 14:30:00'), Timestamp('2024-06-17 15:00:00')]</t>
  </si>
  <si>
    <t xml:space="preserve">CARLANDER</t>
  </si>
  <si>
    <t xml:space="preserve">JEAN BAPTISTE</t>
  </si>
  <si>
    <t xml:space="preserve">CARLANDER JEAN BAPTISTE</t>
  </si>
  <si>
    <t xml:space="preserve">218 BOULEVARD PEREIRE</t>
  </si>
  <si>
    <t xml:space="preserve">BOULEVARD PEREIRE</t>
  </si>
  <si>
    <t xml:space="preserve">01 45 74 58 52</t>
  </si>
  <si>
    <t xml:space="preserve">https://biocodex6--c.vf.force.com/0014L00000KFVTiQAP</t>
  </si>
  <si>
    <t xml:space="preserve">https://annuairesante.ameli.fr/professionnels-de-sante/recherche/fiche-detaillee-B7c1ljY5OTu2.html</t>
  </si>
  <si>
    <t xml:space="preserve">ANDRO</t>
  </si>
  <si>
    <t xml:space="preserve">ANDRO CLAIRE MARINE</t>
  </si>
  <si>
    <t xml:space="preserve">6 RUE CLAUDE CHAHU</t>
  </si>
  <si>
    <t xml:space="preserve">RUE CLAUDE CHAHU</t>
  </si>
  <si>
    <t xml:space="preserve">https://biocodex6--c.vf.force.com/0014L00000KFPI5QAP</t>
  </si>
  <si>
    <t xml:space="preserve">https://annuairesante.ameli.fr/professionnels-de-sante/recherche/fiche-detaillee-B7c1kjY2NzSw.html</t>
  </si>
  <si>
    <t xml:space="preserve">[Timestamp('2023-08-29 11:30:00'), Timestamp('2023-12-19 11:00:00')]</t>
  </si>
  <si>
    <t xml:space="preserve">08:00-12:00(?)</t>
  </si>
  <si>
    <t xml:space="preserve">08:45-13:00(?)</t>
  </si>
  <si>
    <t xml:space="preserve">19:00-21:00(?)</t>
  </si>
  <si>
    <t xml:space="preserve">08:45-14:00(?)</t>
  </si>
  <si>
    <t xml:space="preserve">14:00-16:00(?)
20:00-21:30(?)</t>
  </si>
  <si>
    <t xml:space="preserve">08:00-11:00(?)
13:45-14:00(?)</t>
  </si>
  <si>
    <t xml:space="preserve">CHARLES REMI</t>
  </si>
  <si>
    <t xml:space="preserve">121 BOULEVARD BINEAU</t>
  </si>
  <si>
    <t xml:space="preserve">01 47 47 45 41</t>
  </si>
  <si>
    <t xml:space="preserve">https://biocodex6--c.vf.force.com/0014L00000KFW9TQAX</t>
  </si>
  <si>
    <t xml:space="preserve">DWORZAK ROPERT</t>
  </si>
  <si>
    <t xml:space="preserve">DWORZAK ROPERT PATRICIA</t>
  </si>
  <si>
    <t xml:space="preserve">5 RUE SOYER</t>
  </si>
  <si>
    <t xml:space="preserve">RUE SOYER</t>
  </si>
  <si>
    <t xml:space="preserve">01 34 90 20 23</t>
  </si>
  <si>
    <t xml:space="preserve">https://biocodex6--c.vf.force.com/0014L00000KFcNmQAL</t>
  </si>
  <si>
    <t xml:space="preserve">COLIN</t>
  </si>
  <si>
    <t xml:space="preserve">COLIN DENIS</t>
  </si>
  <si>
    <t xml:space="preserve">10 RUE FREYCINET</t>
  </si>
  <si>
    <t xml:space="preserve">RUE FREYCINET</t>
  </si>
  <si>
    <t xml:space="preserve">01 40 70 15 16 // 06 80 03 34 85</t>
  </si>
  <si>
    <t xml:space="preserve">https://biocodex6--c.vf.force.com/0014L00000KFX9mQAH</t>
  </si>
  <si>
    <t xml:space="preserve">https://annuairesante.ameli.fr/professionnels-de-sante/recherche/fiche-detaillee-B7c1kTU3Nzu7.html</t>
  </si>
  <si>
    <t xml:space="preserve">YVER</t>
  </si>
  <si>
    <t xml:space="preserve">CARINE</t>
  </si>
  <si>
    <t xml:space="preserve">YVER CARINE</t>
  </si>
  <si>
    <t xml:space="preserve">254 RUE DE VAUGIRARD</t>
  </si>
  <si>
    <t xml:space="preserve">01 56 56 89 89</t>
  </si>
  <si>
    <t xml:space="preserve">https://annuairesante.ameli.fr/professionnels-de-sante/recherche/fiche-detaillee-B7c1kzAzNjK1.html</t>
  </si>
  <si>
    <t xml:space="preserve">CHERRIER</t>
  </si>
  <si>
    <t xml:space="preserve">PIERRE CHARLES</t>
  </si>
  <si>
    <t xml:space="preserve">CHERRIER PIERRE CHARLES</t>
  </si>
  <si>
    <t xml:space="preserve">01 39 58 54 69</t>
  </si>
  <si>
    <t xml:space="preserve">pccherrier@club-internet.fr</t>
  </si>
  <si>
    <t xml:space="preserve">https://biocodex6--c.vf.force.com/0014L00000KFWQ1QAP</t>
  </si>
  <si>
    <t xml:space="preserve">LAVILLE</t>
  </si>
  <si>
    <t xml:space="preserve">LAVILLE PASCALE</t>
  </si>
  <si>
    <t xml:space="preserve">https://biocodex6--c.vf.force.com/0014L00000KFmXaQAL</t>
  </si>
  <si>
    <t xml:space="preserve">LEMETTE</t>
  </si>
  <si>
    <t xml:space="preserve">LEMETTE NADINE</t>
  </si>
  <si>
    <t xml:space="preserve">STER</t>
  </si>
  <si>
    <t xml:space="preserve">129 RUE DE SEVRES</t>
  </si>
  <si>
    <t xml:space="preserve">01 43 06 11 17</t>
  </si>
  <si>
    <t xml:space="preserve">https://biocodex6--c.vf.force.com/0014L00000KFnouQAD</t>
  </si>
  <si>
    <t xml:space="preserve">JENNIFER</t>
  </si>
  <si>
    <t xml:space="preserve">ICHOU JENNIFER</t>
  </si>
  <si>
    <t xml:space="preserve">58 RUE DU PRESIDENT WILSON</t>
  </si>
  <si>
    <t xml:space="preserve">01 75 84 30 23 // 09 80 44 37 24</t>
  </si>
  <si>
    <t xml:space="preserve">https://biocodex6--c.vf.force.com/0014L00000KFLB7QAP</t>
  </si>
  <si>
    <t xml:space="preserve">https://annuairesante.ameli.fr/professionnels-de-sante/recherche/fiche-detaillee-CbA1kjA1Nje7.html</t>
  </si>
  <si>
    <t xml:space="preserve">DOUKHAN</t>
  </si>
  <si>
    <t xml:space="preserve">ILANA</t>
  </si>
  <si>
    <t xml:space="preserve">DOUKHAN ILANA</t>
  </si>
  <si>
    <t xml:space="preserve">01 44 42 92 55 // 06 17 45 20 73</t>
  </si>
  <si>
    <t xml:space="preserve">https://biocodex6--c.vf.force.com/0014L00000KFO3nQAH</t>
  </si>
  <si>
    <t xml:space="preserve">https://annuairesante.ameli.fr/professionnels-de-sante/recherche/fiche-detaillee-B7c1kjE2MTa2.html</t>
  </si>
  <si>
    <t xml:space="preserve">COHEN JOSEPH</t>
  </si>
  <si>
    <t xml:space="preserve">12 RUE THEODULE RIBOT</t>
  </si>
  <si>
    <t xml:space="preserve">RUE THEODULE RIBOT</t>
  </si>
  <si>
    <t xml:space="preserve">01 44 29 74 28</t>
  </si>
  <si>
    <t xml:space="preserve">https://biocodex6--c.vf.force.com/0014L00000KFX26QAH</t>
  </si>
  <si>
    <t xml:space="preserve">https://annuairesante.ameli.fr/professionnels-de-sante/recherche/fiche-detaillee-B7c1lzQzMzCx.html</t>
  </si>
  <si>
    <t xml:space="preserve">CHETIOUI</t>
  </si>
  <si>
    <t xml:space="preserve">JACKIE</t>
  </si>
  <si>
    <t xml:space="preserve">CHETIOUI JACKIE</t>
  </si>
  <si>
    <t xml:space="preserve">10 RUE LACORDAIRE</t>
  </si>
  <si>
    <t xml:space="preserve">RUE LACORDAIRE</t>
  </si>
  <si>
    <t xml:space="preserve">01 45 77 46 86</t>
  </si>
  <si>
    <t xml:space="preserve">https://biocodex6--c.vf.force.com/0014L00000KFep7QAD</t>
  </si>
  <si>
    <t xml:space="preserve">https://annuairesante.ameli.fr/professionnels-de-sante/recherche/fiche-detaillee-B7c1mzYyODOw.html</t>
  </si>
  <si>
    <t xml:space="preserve">CESSOT</t>
  </si>
  <si>
    <t xml:space="preserve">CESSOT GILLES</t>
  </si>
  <si>
    <t xml:space="preserve">7 RUE DESCOMBES</t>
  </si>
  <si>
    <t xml:space="preserve">RUE DESCOMBES</t>
  </si>
  <si>
    <t xml:space="preserve">01 42 27 06 38</t>
  </si>
  <si>
    <t xml:space="preserve">https://biocodex6--c.vf.force.com/0014L00000KFVtHQAX</t>
  </si>
  <si>
    <t xml:space="preserve">FARTOUX</t>
  </si>
  <si>
    <t xml:space="preserve">LAETITIA</t>
  </si>
  <si>
    <t xml:space="preserve">FARTOUX LAETITIA</t>
  </si>
  <si>
    <t xml:space="preserve">5 RUE DU DOME</t>
  </si>
  <si>
    <t xml:space="preserve">RUE DU DOME</t>
  </si>
  <si>
    <t xml:space="preserve">https://biocodex6--c.vf.force.com/0014L00000KFaiiQAD</t>
  </si>
  <si>
    <t xml:space="preserve">https://annuairesante.ameli.fr/professionnels-de-sante/recherche/fiche-detaillee-B7c1lTYyMTK3.html</t>
  </si>
  <si>
    <t xml:space="preserve">HUGUES</t>
  </si>
  <si>
    <t xml:space="preserve">ALBANE</t>
  </si>
  <si>
    <t xml:space="preserve">HUGUES ALBANE</t>
  </si>
  <si>
    <t xml:space="preserve">65 RUE CASTAGNARY</t>
  </si>
  <si>
    <t xml:space="preserve">RUE CASTAGNARY</t>
  </si>
  <si>
    <t xml:space="preserve">01 44 12 84 33</t>
  </si>
  <si>
    <t xml:space="preserve">https://biocodex6--c.vf.force.com/0014L00000KGCKGQA5</t>
  </si>
  <si>
    <t xml:space="preserve">BENSHIMON</t>
  </si>
  <si>
    <t xml:space="preserve">BENSHIMON VALERIE</t>
  </si>
  <si>
    <t xml:space="preserve">95 AVENUE VICTOR HUGO</t>
  </si>
  <si>
    <t xml:space="preserve">01 44 05 05 55</t>
  </si>
  <si>
    <t xml:space="preserve">https://biocodex6--c.vf.force.com/0014L00000KFTafQAH</t>
  </si>
  <si>
    <t xml:space="preserve">https://annuairesante.ameli.fr/professionnels-de-sante/recherche/fiche-detaillee-B7c1lDYxODSx.html</t>
  </si>
  <si>
    <t xml:space="preserve">LANDRIN</t>
  </si>
  <si>
    <t xml:space="preserve">TERENCE</t>
  </si>
  <si>
    <t xml:space="preserve">LANDRIN TERENCE</t>
  </si>
  <si>
    <t xml:space="preserve">01 56 09 27 32</t>
  </si>
  <si>
    <t xml:space="preserve">https://biocodex6--c.vf.force.com/0014L00000KFnbOQAT</t>
  </si>
  <si>
    <t xml:space="preserve">[Timestamp('2023-09-01 14:00:00'), Timestamp('2023-12-22 09:45:00')]</t>
  </si>
  <si>
    <t xml:space="preserve">BENOSMAN</t>
  </si>
  <si>
    <t xml:space="preserve">HEDI</t>
  </si>
  <si>
    <t xml:space="preserve">BENOSMAN HEDI</t>
  </si>
  <si>
    <t xml:space="preserve">https://biocodex6--c.vf.force.com/0014L00000KFSqWQAX</t>
  </si>
  <si>
    <t xml:space="preserve">LANDI</t>
  </si>
  <si>
    <t xml:space="preserve">LANDI BRUNO</t>
  </si>
  <si>
    <t xml:space="preserve">https://biocodex6--c.vf.force.com/0014L00000KFltIQAT</t>
  </si>
  <si>
    <t xml:space="preserve">LEPERE</t>
  </si>
  <si>
    <t xml:space="preserve">LEPERE CELINE</t>
  </si>
  <si>
    <t xml:space="preserve">https://biocodex6--c.vf.force.com/0014L00000KFoOTQA1</t>
  </si>
  <si>
    <t xml:space="preserve">KHARRASSE</t>
  </si>
  <si>
    <t xml:space="preserve">GHIZLANE</t>
  </si>
  <si>
    <t xml:space="preserve">KHARRASSE GHIZLANE</t>
  </si>
  <si>
    <t xml:space="preserve">01 56 09 30 81</t>
  </si>
  <si>
    <t xml:space="preserve">https://biocodex6--c.vf.force.com/0014L00000KFiuPQAT</t>
  </si>
  <si>
    <t xml:space="preserve">COHEN HELENE</t>
  </si>
  <si>
    <t xml:space="preserve">https://biocodex6--c.vf.force.com/0014L00000KFX1rQAH</t>
  </si>
  <si>
    <t xml:space="preserve">PLANTUREUX</t>
  </si>
  <si>
    <t xml:space="preserve">PLANTUREUX MATHILDE</t>
  </si>
  <si>
    <t xml:space="preserve">https://biocodex6--c.vf.force.com/0014L00000KFx37QAD</t>
  </si>
  <si>
    <t xml:space="preserve">ANDRES</t>
  </si>
  <si>
    <t xml:space="preserve">ANDRES GILLES</t>
  </si>
  <si>
    <t xml:space="preserve">HOMEO
ALL</t>
  </si>
  <si>
    <t xml:space="preserve">82 AVENUE EMILE ZOLA</t>
  </si>
  <si>
    <t xml:space="preserve">AVENUE EMILE ZOLA</t>
  </si>
  <si>
    <t xml:space="preserve">01 45 75 51 19</t>
  </si>
  <si>
    <t xml:space="preserve">https://biocodex6--c.vf.force.com/0014L00000KFQSlQAP</t>
  </si>
  <si>
    <t xml:space="preserve">https://annuairesante.ameli.fr/professionnels-de-sante/recherche/fiche-detaillee-B7c1kTo3NDuz.html</t>
  </si>
  <si>
    <t xml:space="preserve">DE LA ROBERTIE</t>
  </si>
  <si>
    <t xml:space="preserve">EMELINE</t>
  </si>
  <si>
    <t xml:space="preserve">DE LA ROBERTIE EMELINE</t>
  </si>
  <si>
    <t xml:space="preserve">https://biocodex6--c.vf.force.com/0014L00000KG1lZQAT</t>
  </si>
  <si>
    <t xml:space="preserve">JACQUELINE</t>
  </si>
  <si>
    <t xml:space="preserve">MIMOUN JACQUELINE</t>
  </si>
  <si>
    <t xml:space="preserve">85 RUE LA BOETIE</t>
  </si>
  <si>
    <t xml:space="preserve">01 53 76 02 08</t>
  </si>
  <si>
    <t xml:space="preserve">https://biocodex6--c.vf.force.com/0014L00000KFsLVQA1</t>
  </si>
  <si>
    <t xml:space="preserve">https://annuairesante.ameli.fr/professionnels-de-sante/recherche/fiche-detaillee-B7c1lzAxNDW7.html</t>
  </si>
  <si>
    <t xml:space="preserve">SABBAH</t>
  </si>
  <si>
    <t xml:space="preserve">ABRAHAM</t>
  </si>
  <si>
    <t xml:space="preserve">SABBAH ABRAHAM</t>
  </si>
  <si>
    <t xml:space="preserve">https://biocodex6--c.vf.force.com/0014L00000KG020QAD</t>
  </si>
  <si>
    <t xml:space="preserve">https://annuairesante.ameli.fr/professionnels-de-sante/recherche/fiche-detaillee-B7c1ljAwODax.html</t>
  </si>
  <si>
    <t xml:space="preserve">GODEBERGE</t>
  </si>
  <si>
    <t xml:space="preserve">GODEBERGE PHILIPPE</t>
  </si>
  <si>
    <t xml:space="preserve">10 RUE JEAN RICHEPIN</t>
  </si>
  <si>
    <t xml:space="preserve">RUE JEAN RICHEPIN</t>
  </si>
  <si>
    <t xml:space="preserve">GAZET</t>
  </si>
  <si>
    <t xml:space="preserve">JOHANNA</t>
  </si>
  <si>
    <t xml:space="preserve">GAZET JOHANNA</t>
  </si>
  <si>
    <t xml:space="preserve">https://biocodex6--c.vf.force.com/0014L00000KFPy7QAH</t>
  </si>
  <si>
    <t xml:space="preserve">[Timestamp('2023-11-10 10:00:00'), Timestamp('2024-03-04 13:30:00')]</t>
  </si>
  <si>
    <t xml:space="preserve">SOLAL</t>
  </si>
  <si>
    <t xml:space="preserve">PIERRE HENRI</t>
  </si>
  <si>
    <t xml:space="preserve">SOLAL PIERRE HENRI</t>
  </si>
  <si>
    <t xml:space="preserve">10 AVENUE D EYLAU</t>
  </si>
  <si>
    <t xml:space="preserve">01 47 64 33 33</t>
  </si>
  <si>
    <t xml:space="preserve">https://biocodex6--c.vf.force.com/0014L00000KG1o1QAD</t>
  </si>
  <si>
    <t xml:space="preserve">https://annuairesante.ameli.fr/professionnels-de-sante/recherche/fiche-detaillee-B7c1ljc1OTS6.html</t>
  </si>
  <si>
    <t xml:space="preserve">RIVES LANGE</t>
  </si>
  <si>
    <t xml:space="preserve">RIVES LANGE CLAIRE</t>
  </si>
  <si>
    <t xml:space="preserve">01 56 09 55 62</t>
  </si>
  <si>
    <t xml:space="preserve">https://biocodex6--c.vf.force.com/0014L00000KFLeVQAX</t>
  </si>
  <si>
    <t xml:space="preserve">AUDIBERT</t>
  </si>
  <si>
    <t xml:space="preserve">SIMON</t>
  </si>
  <si>
    <t xml:space="preserve">AUDIBERT SIMON</t>
  </si>
  <si>
    <t xml:space="preserve">01 56 09 58 82</t>
  </si>
  <si>
    <t xml:space="preserve">https://biocodex6--c.vf.force.com/0014L00000KGEPmQAP</t>
  </si>
  <si>
    <t xml:space="preserve">NACCACHE JEAN PIERRE</t>
  </si>
  <si>
    <t xml:space="preserve">https://biocodex6--c.vf.force.com/0014L00000KFtAzQAL</t>
  </si>
  <si>
    <t xml:space="preserve">COSEM + 75PER</t>
  </si>
  <si>
    <t xml:space="preserve">TOURY</t>
  </si>
  <si>
    <t xml:space="preserve">GUSTAVE</t>
  </si>
  <si>
    <t xml:space="preserve">TOURY GUSTAVE</t>
  </si>
  <si>
    <t xml:space="preserve">https://biocodex6--c.vf.force.com/0014L00000KGE2UQAX</t>
  </si>
  <si>
    <t xml:space="preserve">1 BOULEVARD DE COURCELLES</t>
  </si>
  <si>
    <t xml:space="preserve">JONATHAN</t>
  </si>
  <si>
    <t xml:space="preserve">COHEN JONATHAN</t>
  </si>
  <si>
    <t xml:space="preserve">SPO
OBS</t>
  </si>
  <si>
    <t xml:space="preserve">07 82 99 89 84</t>
  </si>
  <si>
    <t xml:space="preserve">https://biocodex6--c.vf.force.com/0014L00000KFjpAQAT</t>
  </si>
  <si>
    <t xml:space="preserve">https://annuairesante.ameli.fr/professionnels-de-sante/recherche/fiche-detaillee-B7c1mjA5Nze1.html</t>
  </si>
  <si>
    <t xml:space="preserve">[Timestamp('2023-11-28 15:30:00'), Timestamp('2024-03-05 11:30:00')]</t>
  </si>
  <si>
    <t xml:space="preserve">REMOND</t>
  </si>
  <si>
    <t xml:space="preserve">REMOND ODILE</t>
  </si>
  <si>
    <t xml:space="preserve">1 PLACE JOFFRE</t>
  </si>
  <si>
    <t xml:space="preserve">PLACE JOFFRE</t>
  </si>
  <si>
    <t xml:space="preserve">01 44 42 58 61</t>
  </si>
  <si>
    <t xml:space="preserve">https://biocodex6--c.vf.force.com/0014L00000KFyOOQA1</t>
  </si>
  <si>
    <t xml:space="preserve">THAUVIN</t>
  </si>
  <si>
    <t xml:space="preserve">THAUVIN HUGUES</t>
  </si>
  <si>
    <t xml:space="preserve">22 AVENUE D EYLAU</t>
  </si>
  <si>
    <t xml:space="preserve">01 47 04 50 52 // 01 45 53 65 14</t>
  </si>
  <si>
    <t xml:space="preserve">https://biocodex6--c.vf.force.com/0014L00000KG2v2QAD</t>
  </si>
  <si>
    <t xml:space="preserve">https://annuairesante.ameli.fr/professionnels-de-sante/recherche/fiche-detaillee-B7c1ljIwMjK7.html</t>
  </si>
  <si>
    <t xml:space="preserve">CHOCRON</t>
  </si>
  <si>
    <t xml:space="preserve">CHOCRON RICHARD</t>
  </si>
  <si>
    <t xml:space="preserve">https://biocodex6--c.vf.force.com/0014L00000KFMC0QAP</t>
  </si>
  <si>
    <t xml:space="preserve">LAHJIBI PAULET</t>
  </si>
  <si>
    <t xml:space="preserve">HAYAT</t>
  </si>
  <si>
    <t xml:space="preserve">LAHJIBI PAULET HAYAT</t>
  </si>
  <si>
    <t xml:space="preserve">https://biocodex6--c.vf.force.com/0014L00000KFo6cQAD</t>
  </si>
  <si>
    <t xml:space="preserve">KERBOUC H</t>
  </si>
  <si>
    <t xml:space="preserve">KERBOUC H STEPHANIE</t>
  </si>
  <si>
    <t xml:space="preserve">https://biocodex6--c.vf.force.com/0014L00000KFs7RQAT</t>
  </si>
  <si>
    <t xml:space="preserve">ROULLET</t>
  </si>
  <si>
    <t xml:space="preserve">ROULLET CHRISTINE</t>
  </si>
  <si>
    <t xml:space="preserve">151 RUE DE GRENELLE</t>
  </si>
  <si>
    <t xml:space="preserve">01 47 53 98 01</t>
  </si>
  <si>
    <t xml:space="preserve">https://biocodex6--c.vf.force.com/0014L00000KFzYrQAL</t>
  </si>
  <si>
    <t xml:space="preserve">https://annuairesante.ameli.fr/professionnels-de-sante/recherche/fiche-detaillee-B7c1ljA4NTCx.html</t>
  </si>
  <si>
    <t xml:space="preserve">[Timestamp('2024-02-22 12:30:00'), Timestamp('2024-03-22 14:00:00')]</t>
  </si>
  <si>
    <t xml:space="preserve">VONDERWEIDT</t>
  </si>
  <si>
    <t xml:space="preserve">FRANCE</t>
  </si>
  <si>
    <t xml:space="preserve">VONDERWEIDT FRANCE</t>
  </si>
  <si>
    <t xml:space="preserve">29 RUE D ASTORG</t>
  </si>
  <si>
    <t xml:space="preserve">RUE D ASTORG</t>
  </si>
  <si>
    <t xml:space="preserve">01 43 12 31 00</t>
  </si>
  <si>
    <t xml:space="preserve">https://biocodex6--c.vf.force.com/0014L00000KGEPEQA5</t>
  </si>
  <si>
    <t xml:space="preserve">BOUCHY</t>
  </si>
  <si>
    <t xml:space="preserve">NICOLAS</t>
  </si>
  <si>
    <t xml:space="preserve">BOUCHY NICOLAS</t>
  </si>
  <si>
    <t xml:space="preserve">https://biocodex6--c.vf.force.com/0014L00000KG9k9QAD</t>
  </si>
  <si>
    <t xml:space="preserve">VASSEUR LEFORT</t>
  </si>
  <si>
    <t xml:space="preserve">VASSEUR LEFORT JACQUELINE</t>
  </si>
  <si>
    <t xml:space="preserve">01 55 56 62 52</t>
  </si>
  <si>
    <t xml:space="preserve">https://biocodex6--c.vf.force.com/0014L00000KG4UAQA1</t>
  </si>
  <si>
    <t xml:space="preserve">ABAKKA</t>
  </si>
  <si>
    <t xml:space="preserve">SAMYA</t>
  </si>
  <si>
    <t xml:space="preserve">ABAKKA SAMYA</t>
  </si>
  <si>
    <t xml:space="preserve">https://biocodex6--c.vf.force.com/0014L00000KGCIQQA5</t>
  </si>
  <si>
    <t xml:space="preserve">SEBAN</t>
  </si>
  <si>
    <t xml:space="preserve">ALAIN LOUIS</t>
  </si>
  <si>
    <t xml:space="preserve">SEBAN ALAIN LOUIS</t>
  </si>
  <si>
    <t xml:space="preserve">21 RUE BALARD</t>
  </si>
  <si>
    <t xml:space="preserve">01 40 60 94 34</t>
  </si>
  <si>
    <t xml:space="preserve">https://biocodex6--c.vf.force.com/0014L00000KG11TQAT</t>
  </si>
  <si>
    <t xml:space="preserve">BOURZAM</t>
  </si>
  <si>
    <t xml:space="preserve">BOURZAM MOUNA</t>
  </si>
  <si>
    <t xml:space="preserve">HÔP VAUGIRARD</t>
  </si>
  <si>
    <t xml:space="preserve">10 RUE VAUGELAS</t>
  </si>
  <si>
    <t xml:space="preserve">RUE VAUGELAS</t>
  </si>
  <si>
    <t xml:space="preserve">01 40 45 82 92</t>
  </si>
  <si>
    <t xml:space="preserve">https://biocodex6--c.vf.force.com/0014L00000KFMvOQAX</t>
  </si>
  <si>
    <t xml:space="preserve">METHNI</t>
  </si>
  <si>
    <t xml:space="preserve">AHLEM</t>
  </si>
  <si>
    <t xml:space="preserve">METHNI AHLEM</t>
  </si>
  <si>
    <t xml:space="preserve">28 AVENUE DE FRIEDLAND</t>
  </si>
  <si>
    <t xml:space="preserve">01 47 04 14 11</t>
  </si>
  <si>
    <t xml:space="preserve">https://biocodex6--c.vf.force.com/0014L00000KFNFsQAP</t>
  </si>
  <si>
    <t xml:space="preserve">https://annuairesante.ameli.fr/professionnels-de-sante/recherche/fiche-detaillee-CbA1mjYxMzS7.html</t>
  </si>
  <si>
    <t xml:space="preserve">VYTHILINGUM</t>
  </si>
  <si>
    <t xml:space="preserve">DANY</t>
  </si>
  <si>
    <t xml:space="preserve">VYTHILINGUM DANY</t>
  </si>
  <si>
    <t xml:space="preserve">01 44 96 32 85</t>
  </si>
  <si>
    <t xml:space="preserve">https://biocodex6--c.vf.force.com/0014L00000KGC6bQAH</t>
  </si>
  <si>
    <t xml:space="preserve">ASSELIN MULLER DE SCHONGOR</t>
  </si>
  <si>
    <t xml:space="preserve">ASSELIN MULLER DE SCHONGOR FLORENCE</t>
  </si>
  <si>
    <t xml:space="preserve">01 44 96 32 66</t>
  </si>
  <si>
    <t xml:space="preserve">https://biocodex6--c.vf.force.com/0014L00000KFt7eQAD</t>
  </si>
  <si>
    <t xml:space="preserve">GATRI</t>
  </si>
  <si>
    <t xml:space="preserve">CHAIMA</t>
  </si>
  <si>
    <t xml:space="preserve">GATRI CHAIMA</t>
  </si>
  <si>
    <t xml:space="preserve">15 RUE FOURCROY</t>
  </si>
  <si>
    <t xml:space="preserve">01 47 22 74 26 // 01 40 72 33 97</t>
  </si>
  <si>
    <t xml:space="preserve">https://biocodex6--c.vf.force.com/0014L00000KFNBfQAP</t>
  </si>
  <si>
    <t xml:space="preserve">https://annuairesante.ameli.fr/professionnels-de-sante/recherche/fiche-detaillee-B7c1lTE1MDCz.html</t>
  </si>
  <si>
    <t xml:space="preserve">[Timestamp('2024-03-01 16:00:00'), Timestamp('2024-03-14 16:30:00')]</t>
  </si>
  <si>
    <t xml:space="preserve">MENG</t>
  </si>
  <si>
    <t xml:space="preserve">MENG LAURENCE</t>
  </si>
  <si>
    <t xml:space="preserve">37 RUE DE PONTHIEU</t>
  </si>
  <si>
    <t xml:space="preserve">RUE DE PONTHIEU</t>
  </si>
  <si>
    <t xml:space="preserve">01 53 89 03 12</t>
  </si>
  <si>
    <t xml:space="preserve">https://biocodex6--c.vf.force.com/0014L00000KFrP2QAL</t>
  </si>
  <si>
    <t xml:space="preserve">https://annuairesante.ameli.fr/professionnels-de-sante/recherche/fiche-detaillee-B7c1ljs4MDa1.html</t>
  </si>
  <si>
    <t xml:space="preserve">15:00-18:00(R)</t>
  </si>
  <si>
    <t xml:space="preserve">ALOVA</t>
  </si>
  <si>
    <t xml:space="preserve">ILONA</t>
  </si>
  <si>
    <t xml:space="preserve">ALOVA ILONA</t>
  </si>
  <si>
    <t xml:space="preserve">36 RUE DESAIX</t>
  </si>
  <si>
    <t xml:space="preserve">06 63 68 77 04</t>
  </si>
  <si>
    <t xml:space="preserve">https://biocodex6--c.vf.force.com/0014L00000KFN0kQAH</t>
  </si>
  <si>
    <t xml:space="preserve">https://annuairesante.ameli.fr/professionnels-de-sante/recherche/fiche-detaillee-B7c1mzYxOTuy.html</t>
  </si>
  <si>
    <t xml:space="preserve">BAILLY BOTUHA</t>
  </si>
  <si>
    <t xml:space="preserve">BAILLY BOTUHA CELINE</t>
  </si>
  <si>
    <t xml:space="preserve">PHYS</t>
  </si>
  <si>
    <t xml:space="preserve">RUE DE SAUSSURE</t>
  </si>
  <si>
    <t xml:space="preserve">https://biocodex6--c.vf.force.com/0014L00000KFUCIQA5</t>
  </si>
  <si>
    <t xml:space="preserve">https://annuairesante.ameli.fr/professionnels-de-sante/recherche/fiche-detaillee-B7c1mzY2OTu3.html</t>
  </si>
  <si>
    <t xml:space="preserve">LACAILLE</t>
  </si>
  <si>
    <t xml:space="preserve">LACAILLE FLORENCE</t>
  </si>
  <si>
    <t xml:space="preserve">https://biocodex6--c.vf.force.com/0014L00000KFo7LQAT</t>
  </si>
  <si>
    <t xml:space="preserve">TOUBIANA</t>
  </si>
  <si>
    <t xml:space="preserve">TOUBIANA JULIE</t>
  </si>
  <si>
    <t xml:space="preserve">https://biocodex6--c.vf.force.com/0014L00000KG4lTQAT</t>
  </si>
  <si>
    <t xml:space="preserve">BARNERIAS</t>
  </si>
  <si>
    <t xml:space="preserve">BARNERIAS CHRISTINE</t>
  </si>
  <si>
    <t xml:space="preserve">https://biocodex6--c.vf.force.com/0014L00000KFTuNQAX</t>
  </si>
  <si>
    <t xml:space="preserve">GILLION BOYER</t>
  </si>
  <si>
    <t xml:space="preserve">OLIVIA</t>
  </si>
  <si>
    <t xml:space="preserve">GILLION BOYER OLIVIA</t>
  </si>
  <si>
    <t xml:space="preserve">https://biocodex6--c.vf.force.com/0014L00000KFhGMQA1</t>
  </si>
  <si>
    <t xml:space="preserve">JUGIE</t>
  </si>
  <si>
    <t xml:space="preserve">JUGIE MYRIAM</t>
  </si>
  <si>
    <t xml:space="preserve">https://biocodex6--c.vf.force.com/0014L00000KFhWyQAL</t>
  </si>
  <si>
    <t xml:space="preserve">KHRAICHE</t>
  </si>
  <si>
    <t xml:space="preserve">DIALA</t>
  </si>
  <si>
    <t xml:space="preserve">KHRAICHE DIALA</t>
  </si>
  <si>
    <t xml:space="preserve">https://biocodex6--c.vf.force.com/0014L00000KFkjsQAD</t>
  </si>
  <si>
    <t xml:space="preserve">PICHON</t>
  </si>
  <si>
    <t xml:space="preserve">PICHON CHRISTINE</t>
  </si>
  <si>
    <t xml:space="preserve">01 44 49 40 30</t>
  </si>
  <si>
    <t xml:space="preserve">https://biocodex6--c.vf.force.com/0014L00000KFwm9QAD</t>
  </si>
  <si>
    <t xml:space="preserve">SAUVE MARTIN</t>
  </si>
  <si>
    <t xml:space="preserve">SAUVE MARTIN HELENE</t>
  </si>
  <si>
    <t xml:space="preserve">https://biocodex6--c.vf.force.com/0014L00000KG0cgQAD</t>
  </si>
  <si>
    <t xml:space="preserve">TALBOTEC</t>
  </si>
  <si>
    <t xml:space="preserve">TALBOTEC CECILE</t>
  </si>
  <si>
    <t xml:space="preserve">https://biocodex6--c.vf.force.com/0014L00000KG3bQQAT</t>
  </si>
  <si>
    <t xml:space="preserve">CAMPEOTTO ORSATELLI</t>
  </si>
  <si>
    <t xml:space="preserve">CAMPEOTTO ORSATELLI FLORENCE</t>
  </si>
  <si>
    <t xml:space="preserve">01 71 19 60 84</t>
  </si>
  <si>
    <t xml:space="preserve">https://biocodex6--c.vf.force.com/0014L00000KFiDVQA1</t>
  </si>
  <si>
    <t xml:space="preserve">EXPLOR. FONCTION. DIGEST. ALIM</t>
  </si>
  <si>
    <t xml:space="preserve">SAMARA DIAB BOUSTANI</t>
  </si>
  <si>
    <t xml:space="preserve">DINANE</t>
  </si>
  <si>
    <t xml:space="preserve">SAMARA DIAB BOUSTANI DINANE</t>
  </si>
  <si>
    <t xml:space="preserve">https://biocodex6--c.vf.force.com/0014L00000KG1fqQAD</t>
  </si>
  <si>
    <t xml:space="preserve">THALASSINOS</t>
  </si>
  <si>
    <t xml:space="preserve">THALASSINOS CAROLINE</t>
  </si>
  <si>
    <t xml:space="preserve">https://biocodex6--c.vf.force.com/0014L00000KG2VWQA1</t>
  </si>
  <si>
    <t xml:space="preserve">PEREZ GEORGES</t>
  </si>
  <si>
    <t xml:space="preserve">103 RUE DE MIROMESNIL</t>
  </si>
  <si>
    <t xml:space="preserve">01 43 59 01 91 // 01 43 59 01 90</t>
  </si>
  <si>
    <t xml:space="preserve">https://biocodex6--c.vf.force.com/0014L00000KFvHeQAL</t>
  </si>
  <si>
    <t xml:space="preserve">https://annuairesante.ameli.fr/professionnels-de-sante/recherche/fiche-detaillee-B7c1lzM4Njq1.html</t>
  </si>
  <si>
    <t xml:space="preserve">[Timestamp('2024-03-14 13:30:00'), Timestamp('2024-03-20 13:00:00')]</t>
  </si>
  <si>
    <t xml:space="preserve">LAFFONT GERODOLLE</t>
  </si>
  <si>
    <t xml:space="preserve">LAFFONT GERODOLLE MARIE CHRISTINE</t>
  </si>
  <si>
    <t xml:space="preserve">christine.fuseau@orange.fr</t>
  </si>
  <si>
    <t xml:space="preserve">https://biocodex6--c.vf.force.com/0014L00000KFflOQAT</t>
  </si>
  <si>
    <t xml:space="preserve">COHEN BERNARD</t>
  </si>
  <si>
    <t xml:space="preserve">01 40 72 33 57 // 01 47 63 27 16</t>
  </si>
  <si>
    <t xml:space="preserve">https://biocodex6--c.vf.force.com/0014L00000KFX1bQAH</t>
  </si>
  <si>
    <t xml:space="preserve">https://annuairesante.ameli.fr/professionnels-de-sante/recherche/fiche-detaillee-B7c1lTI3Mzaw.html</t>
  </si>
  <si>
    <t xml:space="preserve">JAKUBOWICZ FRAIBERGER</t>
  </si>
  <si>
    <t xml:space="preserve">JAKUBOWICZ FRAIBERGER MICHELE</t>
  </si>
  <si>
    <t xml:space="preserve">ESTH
MED</t>
  </si>
  <si>
    <t xml:space="preserve">36 AVENUE DE LA MOTTE PICQUET</t>
  </si>
  <si>
    <t xml:space="preserve">01 45 50 20 22</t>
  </si>
  <si>
    <t xml:space="preserve">docteurjakubowicz@gmail.com</t>
  </si>
  <si>
    <t xml:space="preserve">https://biocodex6--c.vf.force.com/0014L00000KFeItQAL</t>
  </si>
  <si>
    <t xml:space="preserve">https://annuairesante.ameli.fr/professionnels-de-sante/recherche/fiche-detaillee-B7c1kTQ5Nju1.html</t>
  </si>
  <si>
    <t xml:space="preserve">GILLAUX</t>
  </si>
  <si>
    <t xml:space="preserve">GILLAUX CLAIRE</t>
  </si>
  <si>
    <t xml:space="preserve">6 SQUARE DESNOUETTES</t>
  </si>
  <si>
    <t xml:space="preserve">SQUARE DESNOUETTES</t>
  </si>
  <si>
    <t xml:space="preserve">gillauxclaire@hotmail.fr</t>
  </si>
  <si>
    <t xml:space="preserve">https://biocodex6--c.vf.force.com/0014L00000KFhGXQA1</t>
  </si>
  <si>
    <t xml:space="preserve">https://annuairesante.ameli.fr/professionnels-de-sante/recherche/fiche-detaillee-B7c1kjI4NDK6.html</t>
  </si>
  <si>
    <t xml:space="preserve">JEREMIE</t>
  </si>
  <si>
    <t xml:space="preserve">COHEN JEREMIE</t>
  </si>
  <si>
    <t xml:space="preserve">01 42 19 26 23</t>
  </si>
  <si>
    <t xml:space="preserve">https://biocodex6--c.vf.force.com/0014L00000KFjpGQAT</t>
  </si>
  <si>
    <t xml:space="preserve">BERANGER</t>
  </si>
  <si>
    <t xml:space="preserve">AGATHE</t>
  </si>
  <si>
    <t xml:space="preserve">BERANGER AGATHE</t>
  </si>
  <si>
    <t xml:space="preserve">01 44 49 42 21</t>
  </si>
  <si>
    <t xml:space="preserve">https://biocodex6--c.vf.force.com/0014L00000KFPuUQAX</t>
  </si>
  <si>
    <t xml:space="preserve">ABERKANE DURAND</t>
  </si>
  <si>
    <t xml:space="preserve">ASMA</t>
  </si>
  <si>
    <t xml:space="preserve">ABERKANE DURAND ASMA</t>
  </si>
  <si>
    <t xml:space="preserve">https://biocodex6--c.vf.force.com/0014L00000KFQvjQAH</t>
  </si>
  <si>
    <t xml:space="preserve">DUCELLIER</t>
  </si>
  <si>
    <t xml:space="preserve">JOCELYNE</t>
  </si>
  <si>
    <t xml:space="preserve">DUCELLIER JOCELYNE</t>
  </si>
  <si>
    <t xml:space="preserve">01 56 91 30 30</t>
  </si>
  <si>
    <t xml:space="preserve">https://biocodex6--c.vf.force.com/0014L00000KFbbkQAD</t>
  </si>
  <si>
    <t xml:space="preserve">https://annuairesante.ameli.fr/professionnels-de-sante/recherche/fiche-detaillee-B7c1kDU1MDez.html</t>
  </si>
  <si>
    <t xml:space="preserve">ANTIER</t>
  </si>
  <si>
    <t xml:space="preserve">EDWIGE</t>
  </si>
  <si>
    <t xml:space="preserve">ANTIER EDWIGE</t>
  </si>
  <si>
    <t xml:space="preserve">https://biocodex6--c.vf.force.com/0014L00000KFQWbQAP</t>
  </si>
  <si>
    <t xml:space="preserve">https://annuairesante.ameli.fr/professionnels-de-sante/recherche/fiche-detaillee-B7c1kToxODe6.html</t>
  </si>
  <si>
    <t xml:space="preserve">GRONIER</t>
  </si>
  <si>
    <t xml:space="preserve">HELOISE</t>
  </si>
  <si>
    <t xml:space="preserve">GRONIER HELOISE</t>
  </si>
  <si>
    <t xml:space="preserve">01 47 27 55 55 // 01 47 20 82 00</t>
  </si>
  <si>
    <t xml:space="preserve">drgronier@gmail.com</t>
  </si>
  <si>
    <t xml:space="preserve">https://biocodex6--c.vf.force.com/0014L00000KFeFkQAL</t>
  </si>
  <si>
    <t xml:space="preserve">https://annuairesante.ameli.fr/professionnels-de-sante/recherche/fiche-detaillee-B7c1lTEwNTq7.html</t>
  </si>
  <si>
    <t xml:space="preserve">[Timestamp('2023-07-03 10:00:00'), Timestamp('2024-03-11 10:30:00'), Timestamp('2024-05-29 13:00:00')]</t>
  </si>
  <si>
    <t xml:space="preserve">SMADJA SERGE</t>
  </si>
  <si>
    <t xml:space="preserve">https://biocodex6--c.vf.force.com/0014L00000KG2IPQA1</t>
  </si>
  <si>
    <t xml:space="preserve">[Timestamp('2024-03-14 15:00:00'), Timestamp('2024-03-20 11:30:00')]</t>
  </si>
  <si>
    <t xml:space="preserve">DE BARBEYRAC ST MAURICE</t>
  </si>
  <si>
    <t xml:space="preserve">DE BARBEYRAC ST MAURICE CAROLINE</t>
  </si>
  <si>
    <t xml:space="preserve">01 44 49 58 88</t>
  </si>
  <si>
    <t xml:space="preserve">HAIM</t>
  </si>
  <si>
    <t xml:space="preserve">COHEN HAIM</t>
  </si>
  <si>
    <t xml:space="preserve">76 AVENUE DE SUFFREN</t>
  </si>
  <si>
    <t xml:space="preserve">01 40 56 03 33</t>
  </si>
  <si>
    <t xml:space="preserve">https://biocodex6--c.vf.force.com/0014L00000KFX1oQAH</t>
  </si>
  <si>
    <t xml:space="preserve">https://annuairesante.ameli.fr/professionnels-de-sante/recherche/fiche-detaillee-B7c1kTQ0OTGx.html</t>
  </si>
  <si>
    <t xml:space="preserve">GUEDJ</t>
  </si>
  <si>
    <t xml:space="preserve">GUEDJ PIERRE</t>
  </si>
  <si>
    <t xml:space="preserve">26 RUE PECLET</t>
  </si>
  <si>
    <t xml:space="preserve">RUE PECLET</t>
  </si>
  <si>
    <t xml:space="preserve">01 48 28 55 00</t>
  </si>
  <si>
    <t xml:space="preserve">https://biocodex6--c.vf.force.com/0014L00000KFhIDQA1</t>
  </si>
  <si>
    <t xml:space="preserve">https://annuairesante.ameli.fr/professionnels-de-sante/recherche/fiche-detaillee-B7c1kDE1NTS6.html</t>
  </si>
  <si>
    <t xml:space="preserve">[Timestamp('2024-01-05 14:30:00'), Timestamp('2024-05-31 12:00:00')]</t>
  </si>
  <si>
    <t xml:space="preserve">ROLET</t>
  </si>
  <si>
    <t xml:space="preserve">ROLET FRANCOIS</t>
  </si>
  <si>
    <t xml:space="preserve">01 46 41 84 88 // 01 40 67 71 95</t>
  </si>
  <si>
    <t xml:space="preserve">https://biocodex6--c.vf.force.com/0014L00000KFz7KQAT</t>
  </si>
  <si>
    <t xml:space="preserve">https://annuairesante.ameli.fr/professionnels-de-sante/recherche/fiche-detaillee-B7c1lzo5NzO0.html</t>
  </si>
  <si>
    <t xml:space="preserve">AYNAUD</t>
  </si>
  <si>
    <t xml:space="preserve">AYNAUD OLIVIER</t>
  </si>
  <si>
    <t xml:space="preserve">URO</t>
  </si>
  <si>
    <t xml:space="preserve">01 45 77 99 65</t>
  </si>
  <si>
    <t xml:space="preserve">https://biocodex6--c.vf.force.com/0014L00000KFR8tQAH</t>
  </si>
  <si>
    <t xml:space="preserve">https://annuairesante.ameli.fr/professionnels-de-sante/recherche/fiche-detaillee-B7c1lzM5MTey.html</t>
  </si>
  <si>
    <t xml:space="preserve">SEROR</t>
  </si>
  <si>
    <t xml:space="preserve">SEROR JULIEN</t>
  </si>
  <si>
    <t xml:space="preserve">01 40 61 11 22</t>
  </si>
  <si>
    <t xml:space="preserve">https://biocodex6--c.vf.force.com/0014L00000KG14QQAT</t>
  </si>
  <si>
    <t xml:space="preserve">https://annuairesante.ameli.fr/professionnels-de-sante/recherche/fiche-detaillee-B7c1lTY3OTC0.html</t>
  </si>
  <si>
    <t xml:space="preserve">NEIMAN</t>
  </si>
  <si>
    <t xml:space="preserve">ANNE FRANCOISE</t>
  </si>
  <si>
    <t xml:space="preserve">NEIMAN ANNE FRANCOISE</t>
  </si>
  <si>
    <t xml:space="preserve">ENDO
MED</t>
  </si>
  <si>
    <t xml:space="preserve">150 RUE DE L UNIVERSITE</t>
  </si>
  <si>
    <t xml:space="preserve">01 44 18 72 18</t>
  </si>
  <si>
    <t xml:space="preserve">annefrancoise.neiman@orange.fr</t>
  </si>
  <si>
    <t xml:space="preserve">https://biocodex6--c.vf.force.com/0014L00000KFtRrQAL</t>
  </si>
  <si>
    <t xml:space="preserve">https://annuairesante.ameli.fr/professionnels-de-sante/recherche/fiche-detaillee-B7c1lTY2NDKx.html</t>
  </si>
  <si>
    <t xml:space="preserve">VALDELIEVRE</t>
  </si>
  <si>
    <t xml:space="preserve">VALDELIEVRE CONSTANCE</t>
  </si>
  <si>
    <t xml:space="preserve">https://biocodex6--c.vf.force.com/0014L00000KFO8iQAH</t>
  </si>
  <si>
    <t xml:space="preserve">ROBIN</t>
  </si>
  <si>
    <t xml:space="preserve">ROBIN MICHEL</t>
  </si>
  <si>
    <t xml:space="preserve">35 RUE DU GENERAL FOY</t>
  </si>
  <si>
    <t xml:space="preserve">RUE DU GENERAL FOY</t>
  </si>
  <si>
    <t xml:space="preserve">01 43 87 21 99</t>
  </si>
  <si>
    <t xml:space="preserve">https://biocodex6--c.vf.force.com/0014L00000KFzaNQAT</t>
  </si>
  <si>
    <t xml:space="preserve">https://annuairesante.ameli.fr/professionnels-de-sante/recherche/fiche-detaillee-B7c1lzAzNje1.html</t>
  </si>
  <si>
    <t xml:space="preserve">CHERNAI</t>
  </si>
  <si>
    <t xml:space="preserve">MOHAMED</t>
  </si>
  <si>
    <t xml:space="preserve">CHERNAI MOHAMED</t>
  </si>
  <si>
    <t xml:space="preserve">https://biocodex6--c.vf.force.com/0014L00000KFO8wQAH</t>
  </si>
  <si>
    <t xml:space="preserve">ABERCHIH DAHMANE</t>
  </si>
  <si>
    <t xml:space="preserve">ABERCHIH DAHMANE JIHANE</t>
  </si>
  <si>
    <t xml:space="preserve">01 84 88 75 53</t>
  </si>
  <si>
    <t xml:space="preserve">https://biocodex6--c.vf.force.com/0014L00000KG9SoQAL</t>
  </si>
  <si>
    <t xml:space="preserve">https://annuairesante.ameli.fr/professionnels-de-sante/recherche/fiche-detaillee-CbA1kjE1OTa6.html</t>
  </si>
  <si>
    <t xml:space="preserve">SHANOUDA VIJAYAKANTHAN</t>
  </si>
  <si>
    <t xml:space="preserve">CHRISTINA</t>
  </si>
  <si>
    <t xml:space="preserve">SHANOUDA VIJAYAKANTHAN CHRISTINA</t>
  </si>
  <si>
    <t xml:space="preserve">https://biocodex6--c.vf.force.com/0014L00000KG9EqQAL</t>
  </si>
  <si>
    <t xml:space="preserve">FICHTER</t>
  </si>
  <si>
    <t xml:space="preserve">FICHTER ANNE</t>
  </si>
  <si>
    <t xml:space="preserve">https://biocodex6--c.vf.force.com/0014L00000KG2c7QAD</t>
  </si>
  <si>
    <t xml:space="preserve">PEYRON CHAMOUN</t>
  </si>
  <si>
    <t xml:space="preserve">JOELLE</t>
  </si>
  <si>
    <t xml:space="preserve">PEYRON CHAMOUN JOELLE</t>
  </si>
  <si>
    <t xml:space="preserve">01 47 20 59 61</t>
  </si>
  <si>
    <t xml:space="preserve">https://biocodex6--c.vf.force.com/0014L00000KFW3SQAX</t>
  </si>
  <si>
    <t xml:space="preserve">https://annuairesante.ameli.fr/professionnels-de-sante/recherche/fiche-detaillee-B7c1lDU5ODq7.html</t>
  </si>
  <si>
    <t xml:space="preserve">18:00-19:30(R)</t>
  </si>
  <si>
    <t xml:space="preserve">16:00-19:30(R)</t>
  </si>
  <si>
    <t xml:space="preserve">08:00-11:30(R)</t>
  </si>
  <si>
    <t xml:space="preserve">STHENEUR</t>
  </si>
  <si>
    <t xml:space="preserve">STHENEUR CHANTAL</t>
  </si>
  <si>
    <t xml:space="preserve">01 40 50 52 65</t>
  </si>
  <si>
    <t xml:space="preserve">https://biocodex6--c.vf.force.com/0014L00000kTr6XQAS</t>
  </si>
  <si>
    <t xml:space="preserve">CHABBAL</t>
  </si>
  <si>
    <t xml:space="preserve">CHABBAL SYLVIE</t>
  </si>
  <si>
    <t xml:space="preserve">5 RUE VOLTAIRE</t>
  </si>
  <si>
    <t xml:space="preserve">RUE VOLTAIRE</t>
  </si>
  <si>
    <t xml:space="preserve">01 47 59 09 31</t>
  </si>
  <si>
    <t xml:space="preserve">https://biocodex6--c.vf.force.com/0014L00000KFVutQAH</t>
  </si>
  <si>
    <t xml:space="preserve">https://annuairesante.ameli.fr/professionnels-de-sante/recherche/fiche-detaillee-CbA1kzA2ODaz.html</t>
  </si>
  <si>
    <t xml:space="preserve">MAURETTE</t>
  </si>
  <si>
    <t xml:space="preserve">MAURETTE SOPHIE</t>
  </si>
  <si>
    <t xml:space="preserve">160 AVENUE CHARLES DE GAULLE</t>
  </si>
  <si>
    <t xml:space="preserve">01 46 37 54 03</t>
  </si>
  <si>
    <t xml:space="preserve">https://biocodex6--c.vf.force.com/0014L00000KFsl2QAD</t>
  </si>
  <si>
    <t xml:space="preserve">ODIER</t>
  </si>
  <si>
    <t xml:space="preserve">ODIER ANNE</t>
  </si>
  <si>
    <t xml:space="preserve">https://biocodex6--c.vf.force.com/0014L00000KFu1EQAT</t>
  </si>
  <si>
    <t xml:space="preserve">MAYRHOFER</t>
  </si>
  <si>
    <t xml:space="preserve">GOLI</t>
  </si>
  <si>
    <t xml:space="preserve">MAYRHOFER GOLI</t>
  </si>
  <si>
    <t xml:space="preserve">26 AVENUE DE LOWENDAL</t>
  </si>
  <si>
    <t xml:space="preserve">01 47 83 44 59</t>
  </si>
  <si>
    <t xml:space="preserve">goli.mayrhofer@gmail.com</t>
  </si>
  <si>
    <t xml:space="preserve">https://biocodex6--c.vf.force.com/0014L00000KFQ40QAH</t>
  </si>
  <si>
    <t xml:space="preserve">https://annuairesante.ameli.fr/professionnels-de-sante/recherche/fiche-detaillee-B7c1ljs1OTqy.html</t>
  </si>
  <si>
    <t xml:space="preserve">VERRIER</t>
  </si>
  <si>
    <t xml:space="preserve">VERRIER LAURENCE</t>
  </si>
  <si>
    <t xml:space="preserve">https://biocodex6--c.vf.force.com/0014L00000KG5ClQAL</t>
  </si>
  <si>
    <t xml:space="preserve">RIGOURD</t>
  </si>
  <si>
    <t xml:space="preserve">VIRGINIE</t>
  </si>
  <si>
    <t xml:space="preserve">RIGOURD VIRGINIE</t>
  </si>
  <si>
    <t xml:space="preserve">https://biocodex6--c.vf.force.com/0014L00000KFzHhQAL</t>
  </si>
  <si>
    <t xml:space="preserve">SCIALOM HAN</t>
  </si>
  <si>
    <t xml:space="preserve">SCIALOM HAN SOPHIE</t>
  </si>
  <si>
    <t xml:space="preserve">108 AVENUE VICTOR HUGO</t>
  </si>
  <si>
    <t xml:space="preserve">https://biocodex6--c.vf.force.com/0014L00000KFM0nQAH</t>
  </si>
  <si>
    <t xml:space="preserve">https://annuairesante.ameli.fr/professionnels-de-sante/recherche/fiche-detaillee-B7c1mjA3NDq6.html</t>
  </si>
  <si>
    <t xml:space="preserve">GAGLIARDONE</t>
  </si>
  <si>
    <t xml:space="preserve">GAGLIARDONE CHANTAL</t>
  </si>
  <si>
    <t xml:space="preserve">01 46 39 22 53</t>
  </si>
  <si>
    <t xml:space="preserve">https://biocodex6--c.vf.force.com/0014L00000KFektQAD</t>
  </si>
  <si>
    <t xml:space="preserve">DHABI</t>
  </si>
  <si>
    <t xml:space="preserve">ABDELKADER</t>
  </si>
  <si>
    <t xml:space="preserve">DHABI ABDELKADER</t>
  </si>
  <si>
    <t xml:space="preserve">https://biocodex6--c.vf.force.com/0014L00000KFXqOQAX</t>
  </si>
  <si>
    <t xml:space="preserve">WILLE LEDON</t>
  </si>
  <si>
    <t xml:space="preserve">CHRYSTELE</t>
  </si>
  <si>
    <t xml:space="preserve">WILLE LEDON CHRYSTELE</t>
  </si>
  <si>
    <t xml:space="preserve">9 RUE DES PERICHAUX</t>
  </si>
  <si>
    <t xml:space="preserve">RUE DES PERICHAUX</t>
  </si>
  <si>
    <t xml:space="preserve">01 42 24 62 41</t>
  </si>
  <si>
    <t xml:space="preserve">https://biocodex6--c.vf.force.com/0014L00000KG6SDQA1</t>
  </si>
  <si>
    <t xml:space="preserve">LESAVRE</t>
  </si>
  <si>
    <t xml:space="preserve">MAGALI</t>
  </si>
  <si>
    <t xml:space="preserve">LESAVRE MAGALI</t>
  </si>
  <si>
    <t xml:space="preserve">https://biocodex6--c.vf.force.com/0014L00000KFnTcQAL</t>
  </si>
  <si>
    <t xml:space="preserve">https://annuairesante.ameli.fr/professionnels-de-sante/recherche/fiche-detaillee-B7c1mzY4NDq6.html</t>
  </si>
  <si>
    <t xml:space="preserve">ABI NADER</t>
  </si>
  <si>
    <t xml:space="preserve">ABI NADER ELIE</t>
  </si>
  <si>
    <t xml:space="preserve">https://biocodex6--c.vf.force.com/0014L00000KGC2KQAX</t>
  </si>
  <si>
    <t xml:space="preserve">DADOUN GEROMETTA</t>
  </si>
  <si>
    <t xml:space="preserve">RAFAELE</t>
  </si>
  <si>
    <t xml:space="preserve">DADOUN GEROMETTA RAFAELE</t>
  </si>
  <si>
    <t xml:space="preserve">7 RUE DE LA POMPE</t>
  </si>
  <si>
    <t xml:space="preserve">01 45 24 69 50</t>
  </si>
  <si>
    <t xml:space="preserve">https://biocodex6--c.vf.force.com/0014L00000KFPGWQA5</t>
  </si>
  <si>
    <t xml:space="preserve">FLECHTNER DUVAL</t>
  </si>
  <si>
    <t xml:space="preserve">FLECHTNER DUVAL ISABELLE</t>
  </si>
  <si>
    <t xml:space="preserve">https://biocodex6--c.vf.force.com/0014L00000KFZr0QAH</t>
  </si>
  <si>
    <t xml:space="preserve">ALIMI MARDOUKH</t>
  </si>
  <si>
    <t xml:space="preserve">ELEONORE</t>
  </si>
  <si>
    <t xml:space="preserve">ALIMI MARDOUKH ELEONORE</t>
  </si>
  <si>
    <t xml:space="preserve">57 RUE DES MATHURINS</t>
  </si>
  <si>
    <t xml:space="preserve">09 86 44 91 25</t>
  </si>
  <si>
    <t xml:space="preserve">https://biocodex6--c.vf.force.com/0014L00000KFMLBQA5</t>
  </si>
  <si>
    <t xml:space="preserve">https://annuairesante.ameli.fr/professionnels-de-sante/recherche/fiche-detaillee-B7c1kjE0Nzqx.html</t>
  </si>
  <si>
    <t xml:space="preserve">[Timestamp('2023-08-30 11:30:00'), Timestamp('2023-12-20 11:30:00')]</t>
  </si>
  <si>
    <t xml:space="preserve">ROZENTAL</t>
  </si>
  <si>
    <t xml:space="preserve">ROZENTAL JONATHAN</t>
  </si>
  <si>
    <t xml:space="preserve">07 86 62 09 47</t>
  </si>
  <si>
    <t xml:space="preserve">https://biocodex6--c.vf.force.com/0014L00000KFP66QAH</t>
  </si>
  <si>
    <t xml:space="preserve">https://annuairesante.ameli.fr/professionnels-de-sante/recherche/fiche-detaillee-B7c1lTEwODKx.html</t>
  </si>
  <si>
    <t xml:space="preserve">BESSE</t>
  </si>
  <si>
    <t xml:space="preserve">BESSE PIERRE</t>
  </si>
  <si>
    <t xml:space="preserve">CDS MEDIKSANTE</t>
  </si>
  <si>
    <t xml:space="preserve">206 BOULEVARD PEREIRE</t>
  </si>
  <si>
    <t xml:space="preserve">01 45 78 36 00</t>
  </si>
  <si>
    <t xml:space="preserve">https://biocodex6--c.vf.force.com/0014L00000KFTDpQAP</t>
  </si>
  <si>
    <t xml:space="preserve">CHEZAUD</t>
  </si>
  <si>
    <t xml:space="preserve">CHEZAUD GABRIEL</t>
  </si>
  <si>
    <t xml:space="preserve">https://biocodex6--c.vf.force.com/0014L00000KGGdnQAH</t>
  </si>
  <si>
    <t xml:space="preserve">https://annuairesante.ameli.fr/professionnels-de-sante/recherche/fiche-detaillee-B7c1kjs4OTu3.html</t>
  </si>
  <si>
    <t xml:space="preserve">[Timestamp('2023-06-29 10:30:00'), Timestamp('2023-09-25 15:30:00'), Timestamp('2024-01-19 14:00:00')]</t>
  </si>
  <si>
    <t xml:space="preserve">NICOLAS OLIVIER</t>
  </si>
  <si>
    <t xml:space="preserve">10 VILLA THORETON</t>
  </si>
  <si>
    <t xml:space="preserve">VILLA THORETON</t>
  </si>
  <si>
    <t xml:space="preserve">D1</t>
  </si>
  <si>
    <t xml:space="preserve">https://biocodex6--c.vf.force.com/0014L00000KFuFYQA1</t>
  </si>
  <si>
    <t xml:space="preserve">via DOCTOLIB</t>
  </si>
  <si>
    <t xml:space="preserve">CASTAGNE</t>
  </si>
  <si>
    <t xml:space="preserve">CESAR</t>
  </si>
  <si>
    <t xml:space="preserve">CASTAGNE CESAR</t>
  </si>
  <si>
    <t xml:space="preserve">https://biocodex6--c.vf.force.com/0014L00000KFj85QAD</t>
  </si>
  <si>
    <t xml:space="preserve">MACQUERON</t>
  </si>
  <si>
    <t xml:space="preserve">MACQUERON GERARD</t>
  </si>
  <si>
    <t xml:space="preserve">https://biocodex6--c.vf.force.com/0014L00000KFpATQA1</t>
  </si>
  <si>
    <t xml:space="preserve">HERBELIN</t>
  </si>
  <si>
    <t xml:space="preserve">HERBELIN CATHERINE</t>
  </si>
  <si>
    <t xml:space="preserve">41 BOULEVARD PAUL EMILE VICTOR</t>
  </si>
  <si>
    <t xml:space="preserve">BOULEVARD PAUL EMILE VICTOR</t>
  </si>
  <si>
    <t xml:space="preserve">01 46 24 97 28</t>
  </si>
  <si>
    <t xml:space="preserve">https://biocodex6--c.vf.force.com/0014L00000KFiccQAD</t>
  </si>
  <si>
    <t xml:space="preserve">BENSAAD</t>
  </si>
  <si>
    <t xml:space="preserve">ABEL</t>
  </si>
  <si>
    <t xml:space="preserve">BENSAAD ABEL</t>
  </si>
  <si>
    <t xml:space="preserve">10 RUE LAURENT PICHAT</t>
  </si>
  <si>
    <t xml:space="preserve">RUE LAURENT PICHAT</t>
  </si>
  <si>
    <t xml:space="preserve">01 44 05 90 50</t>
  </si>
  <si>
    <t xml:space="preserve">https://biocodex6--c.vf.force.com/0014L00000KFShaQAH</t>
  </si>
  <si>
    <t xml:space="preserve">TROLLIET</t>
  </si>
  <si>
    <t xml:space="preserve">TROLLIET MARIE</t>
  </si>
  <si>
    <t xml:space="preserve">https://biocodex6--c.vf.force.com/0014L00000KG9EcQAL</t>
  </si>
  <si>
    <t xml:space="preserve">BROOMAND</t>
  </si>
  <si>
    <t xml:space="preserve">BROOMAND BERNARD</t>
  </si>
  <si>
    <t xml:space="preserve">https://biocodex6--c.vf.force.com/0014L00000KFUsIQAX</t>
  </si>
  <si>
    <t xml:space="preserve">HAJJI</t>
  </si>
  <si>
    <t xml:space="preserve">HELA</t>
  </si>
  <si>
    <t xml:space="preserve">HAJJI HELA</t>
  </si>
  <si>
    <t xml:space="preserve">https://biocodex6--c.vf.force.com/0014L00000KGFn4QAH</t>
  </si>
  <si>
    <t xml:space="preserve">DRIESSEN</t>
  </si>
  <si>
    <t xml:space="preserve">MARINE</t>
  </si>
  <si>
    <t xml:space="preserve">DRIESSEN MARINE</t>
  </si>
  <si>
    <t xml:space="preserve">https://biocodex6--c.vf.force.com/0014L00000KFYrLQAX</t>
  </si>
  <si>
    <t xml:space="preserve">LAROUZEE</t>
  </si>
  <si>
    <t xml:space="preserve">LAROUZEE ELISE</t>
  </si>
  <si>
    <t xml:space="preserve">https://biocodex6--c.vf.force.com/0014L00000KG9hRQAT</t>
  </si>
  <si>
    <t xml:space="preserve">RABAIN</t>
  </si>
  <si>
    <t xml:space="preserve">RABAIN JEAN FRANCOIS</t>
  </si>
  <si>
    <t xml:space="preserve">5 RUE LE TASSE</t>
  </si>
  <si>
    <t xml:space="preserve">RUE LE TASSE</t>
  </si>
  <si>
    <t xml:space="preserve">01 42 30 96 00</t>
  </si>
  <si>
    <t xml:space="preserve">https://biocodex6--c.vf.force.com/0014L00000KFxOMQA1</t>
  </si>
  <si>
    <t xml:space="preserve">https://annuairesante.ameli.fr/professionnels-de-sante/recherche/fiche-detaillee-B7c1kDQwODey.html</t>
  </si>
  <si>
    <t xml:space="preserve">ROYANT PAROLA</t>
  </si>
  <si>
    <t xml:space="preserve">ROYANT PAROLA SYLVIE</t>
  </si>
  <si>
    <t xml:space="preserve">SOM</t>
  </si>
  <si>
    <t xml:space="preserve">12 AVENUE DE LAMBALLE</t>
  </si>
  <si>
    <t xml:space="preserve">AVENUE DE LAMBALLE</t>
  </si>
  <si>
    <t xml:space="preserve">01 53 92 02 02</t>
  </si>
  <si>
    <t xml:space="preserve">https://biocodex6--c.vf.force.com/0014L00000KFzpYQAT</t>
  </si>
  <si>
    <t xml:space="preserve">CARRIERE</t>
  </si>
  <si>
    <t xml:space="preserve">CARRIERE ANNE SOPHIE</t>
  </si>
  <si>
    <t xml:space="preserve">74 AVENUE KLEBER</t>
  </si>
  <si>
    <t xml:space="preserve">https://biocodex6--c.vf.force.com/0014L00000KFVaDQAX</t>
  </si>
  <si>
    <t xml:space="preserve">LAFFONT</t>
  </si>
  <si>
    <t xml:space="preserve">LAFFONT ISABELLE</t>
  </si>
  <si>
    <t xml:space="preserve">11 RUE VIGNON</t>
  </si>
  <si>
    <t xml:space="preserve">RUE VIGNON</t>
  </si>
  <si>
    <t xml:space="preserve">01 40 06 04 49</t>
  </si>
  <si>
    <t xml:space="preserve">https://biocodex6--c.vf.force.com/0014L00000KFlQhQAL</t>
  </si>
  <si>
    <t xml:space="preserve">[Timestamp('2024-01-16 19:00:00'), Timestamp('2024-03-15 11:00:00')]</t>
  </si>
  <si>
    <t xml:space="preserve">via MAIL</t>
  </si>
  <si>
    <t xml:space="preserve">DE VAUX</t>
  </si>
  <si>
    <t xml:space="preserve">DE VAUX PAULINE</t>
  </si>
  <si>
    <t xml:space="preserve">https://biocodex6--c.vf.force.com/0014L00000KFtHVQA1</t>
  </si>
  <si>
    <t xml:space="preserve">DUBEAU</t>
  </si>
  <si>
    <t xml:space="preserve">DUBEAU MARIE CHARLOTTE</t>
  </si>
  <si>
    <t xml:space="preserve">30 RUE DE LUBECK</t>
  </si>
  <si>
    <t xml:space="preserve">RUE DE LUBECK</t>
  </si>
  <si>
    <t xml:space="preserve">https://biocodex6--c.vf.force.com/0014L00000KFYzzQAH</t>
  </si>
  <si>
    <t xml:space="preserve">COLIN GORSKI</t>
  </si>
  <si>
    <t xml:space="preserve">COLIN GORSKI ANNE MARIE</t>
  </si>
  <si>
    <t xml:space="preserve">https://biocodex6--c.vf.force.com/0014L00000KFgZ1QAL</t>
  </si>
  <si>
    <t xml:space="preserve">BELCOUR</t>
  </si>
  <si>
    <t xml:space="preserve">BELCOUR FRANCOISE</t>
  </si>
  <si>
    <t xml:space="preserve">15 RUE ROBERT DE FLERS</t>
  </si>
  <si>
    <t xml:space="preserve">RUE ROBERT DE FLERS</t>
  </si>
  <si>
    <t xml:space="preserve">01 45 77 27 75</t>
  </si>
  <si>
    <t xml:space="preserve">https://biocodex6--c.vf.force.com/0014L00000KFSKBQA5</t>
  </si>
  <si>
    <t xml:space="preserve">HOURTANE</t>
  </si>
  <si>
    <t xml:space="preserve">MARYSE</t>
  </si>
  <si>
    <t xml:space="preserve">HOURTANE MARYSE</t>
  </si>
  <si>
    <t xml:space="preserve">1 AVENUE FRANCO RUSSE</t>
  </si>
  <si>
    <t xml:space="preserve">AVENUE FRANCO RUSSE</t>
  </si>
  <si>
    <t xml:space="preserve">01 42 73 12 80</t>
  </si>
  <si>
    <t xml:space="preserve">https://biocodex6--c.vf.force.com/0014L00000KFj5WQAT</t>
  </si>
  <si>
    <t xml:space="preserve">BARBIER</t>
  </si>
  <si>
    <t xml:space="preserve">BARBIER DELPHINE</t>
  </si>
  <si>
    <t xml:space="preserve">39 RUE DE BERRI</t>
  </si>
  <si>
    <t xml:space="preserve">RUE DE BERRI</t>
  </si>
  <si>
    <t xml:space="preserve">01 42 89 04 04</t>
  </si>
  <si>
    <t xml:space="preserve">https://biocodex6--c.vf.force.com/0014L00000KFTryQAH</t>
  </si>
  <si>
    <t xml:space="preserve">FAVEZ</t>
  </si>
  <si>
    <t xml:space="preserve">MAUREEN</t>
  </si>
  <si>
    <t xml:space="preserve">FAVEZ MAUREEN</t>
  </si>
  <si>
    <t xml:space="preserve">https://biocodex6--c.vf.force.com/0014L00000KFPM5QAP</t>
  </si>
  <si>
    <t xml:space="preserve">BEHEREC</t>
  </si>
  <si>
    <t xml:space="preserve">BEHEREC LAURENE</t>
  </si>
  <si>
    <t xml:space="preserve">https://biocodex6--c.vf.force.com/0014L00000KFSUBQA5</t>
  </si>
  <si>
    <t xml:space="preserve">GIRAUDON</t>
  </si>
  <si>
    <t xml:space="preserve">GIRAUDON ISABELLE</t>
  </si>
  <si>
    <t xml:space="preserve">311 RUE DE VAUGIRARD</t>
  </si>
  <si>
    <t xml:space="preserve">01 56 08 08 18</t>
  </si>
  <si>
    <t xml:space="preserve">https://biocodex6--c.vf.force.com/0014L00000KFgAJQA1</t>
  </si>
  <si>
    <t xml:space="preserve">KIESMANN</t>
  </si>
  <si>
    <t xml:space="preserve">KIESMANN ELISABETH</t>
  </si>
  <si>
    <t xml:space="preserve">209 BOULEVARD PEREIRE</t>
  </si>
  <si>
    <t xml:space="preserve">01 44 09 93 79</t>
  </si>
  <si>
    <t xml:space="preserve">https://biocodex6--c.vf.force.com/0014L00000KFOSuQAP</t>
  </si>
  <si>
    <t xml:space="preserve">BENISSA</t>
  </si>
  <si>
    <t xml:space="preserve">MOHAMED REDA</t>
  </si>
  <si>
    <t xml:space="preserve">BENISSA MOHAMED REDA</t>
  </si>
  <si>
    <t xml:space="preserve">https://biocodex6--c.vf.force.com/0014L00000KFN7GQAX</t>
  </si>
  <si>
    <t xml:space="preserve">COLELLA</t>
  </si>
  <si>
    <t xml:space="preserve">CAROLINA</t>
  </si>
  <si>
    <t xml:space="preserve">COLELLA CAROLINA</t>
  </si>
  <si>
    <t xml:space="preserve">colellacaro@yahoo.fr</t>
  </si>
  <si>
    <t xml:space="preserve">https://biocodex6--c.vf.force.com/0014L00000KFk2BQAT</t>
  </si>
  <si>
    <t xml:space="preserve">SALFATI</t>
  </si>
  <si>
    <t xml:space="preserve">SALFATI CHARLES</t>
  </si>
  <si>
    <t xml:space="preserve">5 RUE DAVIOUD</t>
  </si>
  <si>
    <t xml:space="preserve">01 41 92 92 42</t>
  </si>
  <si>
    <t xml:space="preserve">https://biocodex6--c.vf.force.com/0014L00000KGBKMQA5</t>
  </si>
  <si>
    <t xml:space="preserve">NE RECOIT PAS LES LABOS</t>
  </si>
  <si>
    <t xml:space="preserve">90 AVENUE NIEL</t>
  </si>
  <si>
    <t xml:space="preserve">01 42 94 18 97</t>
  </si>
  <si>
    <t xml:space="preserve">ESTHÉTIQUE</t>
  </si>
  <si>
    <t xml:space="preserve">RENOLLEAU</t>
  </si>
  <si>
    <t xml:space="preserve">RENOLLEAU SYLVAIN</t>
  </si>
  <si>
    <t xml:space="preserve">https://biocodex6--c.vf.force.com/0014L00000Ufh1VQAR</t>
  </si>
  <si>
    <t xml:space="preserve">GUIRGIS</t>
  </si>
  <si>
    <t xml:space="preserve">LISA</t>
  </si>
  <si>
    <t xml:space="preserve">GUIRGIS LISA</t>
  </si>
  <si>
    <t xml:space="preserve">07 49 04 70 54</t>
  </si>
  <si>
    <t xml:space="preserve">https://biocodex6--c.vf.force.com/0014L00000KGES6QAP</t>
  </si>
  <si>
    <t xml:space="preserve">https://annuairesante.ameli.fr/professionnels-de-sante/recherche/fiche-detaillee-B7c1mjA5NDO7.html</t>
  </si>
  <si>
    <t xml:space="preserve">BOUGNOUX</t>
  </si>
  <si>
    <t xml:space="preserve">BOUGNOUX LAURENT</t>
  </si>
  <si>
    <t xml:space="preserve">01 42 15 40 16</t>
  </si>
  <si>
    <t xml:space="preserve">https://biocodex6--c.vf.force.com/0014L00000hubimQAA</t>
  </si>
  <si>
    <t xml:space="preserve">https://annuairesante.ameli.fr/professionnels-de-sante/recherche/fiche-detaillee-B7c1kzI4MDS1.html</t>
  </si>
  <si>
    <t xml:space="preserve">ALIMI</t>
  </si>
  <si>
    <t xml:space="preserve">ALIMI DANIEL</t>
  </si>
  <si>
    <t xml:space="preserve">6 RUE ROBERT ESTIENNE</t>
  </si>
  <si>
    <t xml:space="preserve">RUE ROBERT ESTIENNE</t>
  </si>
  <si>
    <t xml:space="preserve">06 26 39 08 04</t>
  </si>
  <si>
    <t xml:space="preserve">https://biocodex6--c.vf.force.com/0014L00000KGIPRQA5</t>
  </si>
  <si>
    <t xml:space="preserve">https://annuairesante.ameli.fr/professionnels-de-sante/recherche/fiche-detaillee-B7c1kzMxNzKz.html</t>
  </si>
  <si>
    <t xml:space="preserve">LACHARME</t>
  </si>
  <si>
    <t xml:space="preserve">LACHARME CATHERINE</t>
  </si>
  <si>
    <t xml:space="preserve">https://biocodex6--c.vf.force.com/0014L00000KGJa2QAH</t>
  </si>
  <si>
    <t xml:space="preserve">https://annuairesante.ameli.fr/professionnels-de-sante/recherche/fiche-detaillee-B7c1kzE4Nzqx.html</t>
  </si>
  <si>
    <t xml:space="preserve">COFFIN</t>
  </si>
  <si>
    <t xml:space="preserve">COFFIN ELISE</t>
  </si>
  <si>
    <t xml:space="preserve">01 46 25 26 32</t>
  </si>
  <si>
    <t xml:space="preserve">https://biocodex6--c.vf.force.com/0014L00000KGEYBQA5</t>
  </si>
  <si>
    <t xml:space="preserve">DA SILVA</t>
  </si>
  <si>
    <t xml:space="preserve">FLORIAN</t>
  </si>
  <si>
    <t xml:space="preserve">DA SILVA FLORIAN</t>
  </si>
  <si>
    <t xml:space="preserve">01 56 09 38 88</t>
  </si>
  <si>
    <t xml:space="preserve">https://biocodex6--c.vf.force.com/0014L00000Ufk8NQAR</t>
  </si>
  <si>
    <t xml:space="preserve">FASSY COLCOMBET</t>
  </si>
  <si>
    <t xml:space="preserve">FASSY COLCOMBET MARION</t>
  </si>
  <si>
    <t xml:space="preserve">https://biocodex6--c.vf.force.com/0014L00000NB4moQAD</t>
  </si>
  <si>
    <t xml:space="preserve">FOURNIER</t>
  </si>
  <si>
    <t xml:space="preserve">FOURNIER BENJAMIN</t>
  </si>
  <si>
    <t xml:space="preserve">https://biocodex6--c.vf.force.com/0014L00000hvD76QAE</t>
  </si>
  <si>
    <t xml:space="preserve">BERNHEIM</t>
  </si>
  <si>
    <t xml:space="preserve">BERNHEIM SEGOLENE</t>
  </si>
  <si>
    <t xml:space="preserve">01 44 38 19 04</t>
  </si>
  <si>
    <t xml:space="preserve">https://biocodex6--c.vf.force.com/0014L00000KHYwXQAX</t>
  </si>
  <si>
    <t xml:space="preserve">MALLAM RASHED SAJED</t>
  </si>
  <si>
    <t xml:space="preserve">ADNAAN</t>
  </si>
  <si>
    <t xml:space="preserve">MALLAM RASHED SAJED ADNAAN</t>
  </si>
  <si>
    <t xml:space="preserve">https://biocodex6--c.vf.force.com/0014L00000KJCofQAH</t>
  </si>
  <si>
    <t xml:space="preserve">CHARRIER</t>
  </si>
  <si>
    <t xml:space="preserve">CHARRIER CAMILLE</t>
  </si>
  <si>
    <t xml:space="preserve">70 RUE MADEMOISELLE</t>
  </si>
  <si>
    <t xml:space="preserve">01 71 26 62 92</t>
  </si>
  <si>
    <t xml:space="preserve">https://biocodex6--c.vf.force.com/0014L00000KGGbFQAX</t>
  </si>
  <si>
    <t xml:space="preserve">https://annuairesante.ameli.fr/professionnels-de-sante/recherche/fiche-detaillee-B7c1kzIzNTuz.html</t>
  </si>
  <si>
    <t xml:space="preserve">09:00-13:30(R)</t>
  </si>
  <si>
    <t xml:space="preserve">ROUCHE</t>
  </si>
  <si>
    <t xml:space="preserve">ROUCHE JULIEN</t>
  </si>
  <si>
    <t xml:space="preserve">01 87 44 67 77 // 01 87 44 67 70</t>
  </si>
  <si>
    <t xml:space="preserve">https://biocodex6--c.vf.force.com/0014L00000KGGnRQAX</t>
  </si>
  <si>
    <t xml:space="preserve">https://annuairesante.ameli.fr/professionnels-de-sante/recherche/fiche-detaillee-B7c1kzE2MTG2.html</t>
  </si>
  <si>
    <t xml:space="preserve">LANDMAN</t>
  </si>
  <si>
    <t xml:space="preserve">LANDMAN BENJAMIN</t>
  </si>
  <si>
    <t xml:space="preserve">10 RUE DE PHALSBOURG</t>
  </si>
  <si>
    <t xml:space="preserve">RUE DE PHALSBOURG</t>
  </si>
  <si>
    <t xml:space="preserve">https://biocodex6--c.vf.force.com/0014L00000KGGc8QAH</t>
  </si>
  <si>
    <t xml:space="preserve">GRANIER</t>
  </si>
  <si>
    <t xml:space="preserve">SIBYLLE</t>
  </si>
  <si>
    <t xml:space="preserve">GRANIER SIBYLLE</t>
  </si>
  <si>
    <t xml:space="preserve">BERROUYNE</t>
  </si>
  <si>
    <t xml:space="preserve">MAROUA</t>
  </si>
  <si>
    <t xml:space="preserve">BERROUYNE MAROUA</t>
  </si>
  <si>
    <t xml:space="preserve">https://biocodex6--c.vf.force.com/0014L00000NDOpKQAX</t>
  </si>
  <si>
    <t xml:space="preserve">COHEN DEBORAH</t>
  </si>
  <si>
    <t xml:space="preserve">12 AVENUE DE LA GRANDE ARMEE</t>
  </si>
  <si>
    <t xml:space="preserve">PRUNIERES</t>
  </si>
  <si>
    <t xml:space="preserve">PRUNIERES JEAN BAPTISTE</t>
  </si>
  <si>
    <t xml:space="preserve">https://biocodex6--c.vf.force.com/0014L00000bQ1szQAC</t>
  </si>
  <si>
    <t xml:space="preserve">PERRIN</t>
  </si>
  <si>
    <t xml:space="preserve">PERRIN ALAIN</t>
  </si>
  <si>
    <t xml:space="preserve">https://biocodex6--c.vf.force.com/0014L00000KFvPiQAL</t>
  </si>
  <si>
    <t xml:space="preserve">DE BILLY</t>
  </si>
  <si>
    <t xml:space="preserve">DE BILLY ALAIN</t>
  </si>
  <si>
    <t xml:space="preserve">12 RUE PERIGNON</t>
  </si>
  <si>
    <t xml:space="preserve">RUE PERIGNON</t>
  </si>
  <si>
    <t xml:space="preserve">01 40 56 05 32</t>
  </si>
  <si>
    <t xml:space="preserve">https://biocodex6--c.vf.force.com/0014L00000KFZ2OQAX</t>
  </si>
  <si>
    <t xml:space="preserve">https://annuairesante.ameli.fr/professionnels-de-sante/recherche/fiche-detaillee-B7c1mjA0Mjuy.html</t>
  </si>
  <si>
    <t xml:space="preserve">LAUNAY</t>
  </si>
  <si>
    <t xml:space="preserve">LAUNAY MICHEL</t>
  </si>
  <si>
    <t xml:space="preserve">01 47 57 21 31</t>
  </si>
  <si>
    <t xml:space="preserve">https://biocodex6--c.vf.force.com/0014L00000KFmLQQA1</t>
  </si>
  <si>
    <t xml:space="preserve">https://annuairesante.ameli.fr/professionnels-de-sante/recherche/fiche-detaillee-CbA1kzMzNTW7.html</t>
  </si>
  <si>
    <t xml:space="preserve">BELHADJ</t>
  </si>
  <si>
    <t xml:space="preserve">KHEIREDDINE</t>
  </si>
  <si>
    <t xml:space="preserve">BELHADJ KHEIREDDINE</t>
  </si>
  <si>
    <t xml:space="preserve">7 AVENUE GOURGAUD</t>
  </si>
  <si>
    <t xml:space="preserve">01 47 64 53 21</t>
  </si>
  <si>
    <t xml:space="preserve">https://biocodex6--c.vf.force.com/0014L00000KFSbpQAH</t>
  </si>
  <si>
    <t xml:space="preserve">https://annuairesante.ameli.fr/professionnels-de-sante/recherche/fiche-detaillee-B7c1kjY5ODW1.html</t>
  </si>
  <si>
    <t xml:space="preserve">PAS INTÉRESSÉ</t>
  </si>
  <si>
    <t xml:space="preserve">GIRARD</t>
  </si>
  <si>
    <t xml:space="preserve">GIRARD DIDIER</t>
  </si>
  <si>
    <t xml:space="preserve">13 RUE DE PLELO</t>
  </si>
  <si>
    <t xml:space="preserve">RUE DE PLELO</t>
  </si>
  <si>
    <t xml:space="preserve">https://biocodex6--c.vf.force.com/0014L00000KFg4TQAT</t>
  </si>
  <si>
    <t xml:space="preserve">PASSER</t>
  </si>
  <si>
    <t xml:space="preserve">SUR PLACE</t>
  </si>
  <si>
    <t xml:space="preserve">CHETRIT</t>
  </si>
  <si>
    <t xml:space="preserve">MAURICE</t>
  </si>
  <si>
    <t xml:space="preserve">CHETRIT MAURICE</t>
  </si>
  <si>
    <t xml:space="preserve">50 AVENUE DU ROULE</t>
  </si>
  <si>
    <t xml:space="preserve">AVENUE DU ROULE</t>
  </si>
  <si>
    <t xml:space="preserve">01 46 40 04 80</t>
  </si>
  <si>
    <t xml:space="preserve">https://biocodex6--c.vf.force.com/0014L00000KFWR5QAP</t>
  </si>
  <si>
    <t xml:space="preserve">https://annuairesante.ameli.fr/professionnels-de-sante/recherche/fiche-detaillee-CbA1kzc4MTaz.html</t>
  </si>
  <si>
    <t xml:space="preserve">HACCOUN</t>
  </si>
  <si>
    <t xml:space="preserve">HACCOUN PHILIPPE</t>
  </si>
  <si>
    <t xml:space="preserve">CLINIQUE MONCEAU</t>
  </si>
  <si>
    <t xml:space="preserve">6 ALLEE AUGUSTE RENOIR</t>
  </si>
  <si>
    <t xml:space="preserve">ALLEE AUGUSTE RENOIR</t>
  </si>
  <si>
    <t xml:space="preserve">01 48 88 26 60 // 01 40 89 90 30</t>
  </si>
  <si>
    <t xml:space="preserve">https://biocodex6--c.vf.force.com/0014L00000KFhycQAD</t>
  </si>
  <si>
    <t xml:space="preserve">https://annuairesante.ameli.fr/professionnels-de-sante/recherche/fiche-detaillee-CbA1lTIwNzux.html</t>
  </si>
  <si>
    <t xml:space="preserve">[Timestamp('2024-01-03 15:30:00'), Timestamp('2024-05-30 08:30:00')]</t>
  </si>
  <si>
    <t xml:space="preserve">BOULALAM</t>
  </si>
  <si>
    <t xml:space="preserve">SOUMAYA</t>
  </si>
  <si>
    <t xml:space="preserve">BOULALAM SOUMAYA</t>
  </si>
  <si>
    <t xml:space="preserve">25 RUE THIBOUMERY</t>
  </si>
  <si>
    <t xml:space="preserve">RUE THIBOUMERY</t>
  </si>
  <si>
    <t xml:space="preserve">01 40 61 06 10</t>
  </si>
  <si>
    <t xml:space="preserve">https://biocodex6--c.vf.force.com/0014L00000KGEJRQA5</t>
  </si>
  <si>
    <t xml:space="preserve">MALARMEY</t>
  </si>
  <si>
    <t xml:space="preserve">MALARMEY ERIC</t>
  </si>
  <si>
    <t xml:space="preserve">01 47 22 36 74</t>
  </si>
  <si>
    <t xml:space="preserve">https://biocodex6--c.vf.force.com/0014L00000KFpUSQA1</t>
  </si>
  <si>
    <t xml:space="preserve">GRUDET</t>
  </si>
  <si>
    <t xml:space="preserve">GRUDET STEPHANE</t>
  </si>
  <si>
    <t xml:space="preserve">https://biocodex6--c.vf.force.com/0014L00000KFeH4QAL</t>
  </si>
  <si>
    <t xml:space="preserve">https://annuairesante.ameli.fr/professionnels-de-sante/recherche/fiche-detaillee-B7c1kjU4MjKx.html</t>
  </si>
  <si>
    <t xml:space="preserve">09:00-13:45(D)
13:45-14:00(R)</t>
  </si>
  <si>
    <t xml:space="preserve">LANGART</t>
  </si>
  <si>
    <t xml:space="preserve">LANGART LAURENT</t>
  </si>
  <si>
    <t xml:space="preserve">50 AVENUE DE SAXE</t>
  </si>
  <si>
    <t xml:space="preserve">AVENUE DE SAXE</t>
  </si>
  <si>
    <t xml:space="preserve">01 44 49 02 54</t>
  </si>
  <si>
    <t xml:space="preserve">https://biocodex6--c.vf.force.com/0014L00000KFltgQAD</t>
  </si>
  <si>
    <t xml:space="preserve">https://annuairesante.ameli.fr/professionnels-de-sante/recherche/fiche-detaillee-B7c1kTs4MjG7.html</t>
  </si>
  <si>
    <t xml:space="preserve">[Timestamp('2023-09-19 12:00:00'), Timestamp('2024-01-03 12:00:00')]</t>
  </si>
  <si>
    <t xml:space="preserve">SALZGEBER</t>
  </si>
  <si>
    <t xml:space="preserve">SALZGEBER SYLVAIN</t>
  </si>
  <si>
    <t xml:space="preserve">https://biocodex6--c.vf.force.com/0014L00000KG1YeQAL</t>
  </si>
  <si>
    <t xml:space="preserve">GUITER</t>
  </si>
  <si>
    <t xml:space="preserve">GUITER LAURENT</t>
  </si>
  <si>
    <t xml:space="preserve">12 RUE ST JEAN BAPTISTE DE LA SALLE</t>
  </si>
  <si>
    <t xml:space="preserve">RUE ST JEAN BAPTISTE DE LA SALLE</t>
  </si>
  <si>
    <t xml:space="preserve">01 40 61 07 01</t>
  </si>
  <si>
    <t xml:space="preserve">https://biocodex6--c.vf.force.com/0014L00000KFhnfQAD</t>
  </si>
  <si>
    <t xml:space="preserve">BESSON</t>
  </si>
  <si>
    <t xml:space="preserve">BESSON FRANCOIS</t>
  </si>
  <si>
    <t xml:space="preserve">114 RUE DE VAUGIRARD</t>
  </si>
  <si>
    <t xml:space="preserve">01 42 84 09 20</t>
  </si>
  <si>
    <t xml:space="preserve">https://biocodex6--c.vf.force.com/0014L00000KFTLPQA5</t>
  </si>
  <si>
    <t xml:space="preserve">TRAVERS</t>
  </si>
  <si>
    <t xml:space="preserve">FREDERIC GEORGES</t>
  </si>
  <si>
    <t xml:space="preserve">TRAVERS FREDERIC GEORGES</t>
  </si>
  <si>
    <t xml:space="preserve">96 AVENUE DE VERSAILLES</t>
  </si>
  <si>
    <t xml:space="preserve">01 49 59 65 77 // 01 45 27 89 20</t>
  </si>
  <si>
    <t xml:space="preserve">https://biocodex6--c.vf.force.com/0014L00000KG3hXQAT</t>
  </si>
  <si>
    <t xml:space="preserve">https://annuairesante.ameli.fr/professionnels-de-sante/recherche/fiche-detaillee-B7c1kTA3Mzqy.html</t>
  </si>
  <si>
    <t xml:space="preserve">08:00-11:00(R)</t>
  </si>
  <si>
    <t xml:space="preserve">BEAUNIER</t>
  </si>
  <si>
    <t xml:space="preserve">BEAUNIER PHILIPPE</t>
  </si>
  <si>
    <t xml:space="preserve">01 47 83 73 02</t>
  </si>
  <si>
    <t xml:space="preserve">https://biocodex6--c.vf.force.com/0014L00000KFSBeQAP</t>
  </si>
  <si>
    <t xml:space="preserve">GUETTA</t>
  </si>
  <si>
    <t xml:space="preserve">GILLES MICHAEL</t>
  </si>
  <si>
    <t xml:space="preserve">GUETTA GILLES MICHAEL</t>
  </si>
  <si>
    <t xml:space="preserve">01 44 49 02 54 // 01 47 83 73 02</t>
  </si>
  <si>
    <t xml:space="preserve">https://biocodex6--c.vf.force.com/0014L00000KFhRjQAL</t>
  </si>
  <si>
    <t xml:space="preserve">https://annuairesante.ameli.fr/professionnels-de-sante/recherche/fiche-detaillee-B7c1ljI4OTa1.html</t>
  </si>
  <si>
    <t xml:space="preserve">[Timestamp('2023-09-19 10:00:00'), Timestamp('2024-01-03 13:30:00')]</t>
  </si>
  <si>
    <t xml:space="preserve">DEROCHE</t>
  </si>
  <si>
    <t xml:space="preserve">DEROCHE FRANCOIS</t>
  </si>
  <si>
    <t xml:space="preserve">152 AVENUE CHARLES DE GAULLE</t>
  </si>
  <si>
    <t xml:space="preserve">01 30 46 18 62 // 01 47 38 00 00</t>
  </si>
  <si>
    <t xml:space="preserve">https://biocodex6--c.vf.force.com/0014L00000KFXRTQA5</t>
  </si>
  <si>
    <t xml:space="preserve">https://annuairesante.ameli.fr/professionnels-de-sante/recherche/fiche-detaillee-CbA1lTIzMzOw.html</t>
  </si>
  <si>
    <t xml:space="preserve">09:45-13:30(R)</t>
  </si>
  <si>
    <t xml:space="preserve">WINTREBERT</t>
  </si>
  <si>
    <t xml:space="preserve">WINTREBERT PHILIPPE</t>
  </si>
  <si>
    <t xml:space="preserve">15 RUE DE L EGLISE</t>
  </si>
  <si>
    <t xml:space="preserve">01 46 24 19 78</t>
  </si>
  <si>
    <t xml:space="preserve">https://biocodex6--c.vf.force.com/0014L00000KG5wiQAD</t>
  </si>
  <si>
    <t xml:space="preserve">https://annuairesante.ameli.fr/professionnels-de-sante/recherche/fiche-detaillee-CbA1kjs5NTG7.html</t>
  </si>
  <si>
    <t xml:space="preserve">LEVY ALEXANDRE</t>
  </si>
  <si>
    <t xml:space="preserve">09 83 09 09 19</t>
  </si>
  <si>
    <t xml:space="preserve">https://biocodex6--c.vf.force.com/0014L00000KGEFPQA5</t>
  </si>
  <si>
    <t xml:space="preserve">https://annuairesante.ameli.fr/professionnels-de-sante/recherche/fiche-detaillee-CbA1lTM1MjG2.html</t>
  </si>
  <si>
    <t xml:space="preserve">PORTEFAIX</t>
  </si>
  <si>
    <t xml:space="preserve">PORTEFAIX CHRISTOPHE</t>
  </si>
  <si>
    <t xml:space="preserve">5 AVENUE STE FOY</t>
  </si>
  <si>
    <t xml:space="preserve">01 41 92 08 44</t>
  </si>
  <si>
    <t xml:space="preserve">https://biocodex6--c.vf.force.com/0014L00000KFwgXQAT</t>
  </si>
  <si>
    <t xml:space="preserve">https://annuairesante.ameli.fr/professionnels-de-sante/recherche/fiche-detaillee-CbA1kzE0ODG0.html</t>
  </si>
  <si>
    <t xml:space="preserve">BEN SOUSSAN</t>
  </si>
  <si>
    <t xml:space="preserve">BEN SOUSSAN EMMANUEL</t>
  </si>
  <si>
    <t xml:space="preserve">https://biocodex6--c.vf.force.com/0014L00000KFTajQAH</t>
  </si>
  <si>
    <t xml:space="preserve">https://annuairesante.ameli.fr/professionnels-de-sante/recherche/fiche-detaillee-B7c1lTA0Nju6.html</t>
  </si>
  <si>
    <t xml:space="preserve">PANAIT</t>
  </si>
  <si>
    <t xml:space="preserve">CRISTIAN</t>
  </si>
  <si>
    <t xml:space="preserve">PANAIT CRISTIAN</t>
  </si>
  <si>
    <t xml:space="preserve">https://biocodex6--c.vf.force.com/0014L00000KGEUrQAP</t>
  </si>
  <si>
    <t xml:space="preserve">GAMON</t>
  </si>
  <si>
    <t xml:space="preserve">HUBERT</t>
  </si>
  <si>
    <t xml:space="preserve">GAMON HUBERT</t>
  </si>
  <si>
    <t xml:space="preserve">20 RUE CLER</t>
  </si>
  <si>
    <t xml:space="preserve">RUE CLER</t>
  </si>
  <si>
    <t xml:space="preserve">01 45 55 79 91</t>
  </si>
  <si>
    <t xml:space="preserve">https://biocodex6--c.vf.force.com/0014L00000KFez9QAD</t>
  </si>
  <si>
    <t xml:space="preserve">https://annuairesante.ameli.fr/professionnels-de-sante/recherche/fiche-detaillee-B7c1kTY3NTKx.html</t>
  </si>
  <si>
    <t xml:space="preserve">SIOU</t>
  </si>
  <si>
    <t xml:space="preserve">SIOU PHILIPPE</t>
  </si>
  <si>
    <t xml:space="preserve">01 46 41 27 64</t>
  </si>
  <si>
    <t xml:space="preserve">https://biocodex6--c.vf.force.com/0014L00000KG1gaQAD</t>
  </si>
  <si>
    <t xml:space="preserve">TARAVEL</t>
  </si>
  <si>
    <t xml:space="preserve">TARAVEL GUY</t>
  </si>
  <si>
    <t xml:space="preserve">60 RUE DE CHEZY</t>
  </si>
  <si>
    <t xml:space="preserve">RUE DE CHEZY</t>
  </si>
  <si>
    <t xml:space="preserve">01 47 47 40 47</t>
  </si>
  <si>
    <t xml:space="preserve">https://biocodex6--c.vf.force.com/0014L00000KG2aaQAD</t>
  </si>
  <si>
    <t xml:space="preserve">https://annuairesante.ameli.fr/professionnels-de-sante/recherche/fiche-detaillee-CbA1kjE3MTGx.html</t>
  </si>
  <si>
    <t xml:space="preserve">GRILLET</t>
  </si>
  <si>
    <t xml:space="preserve">GRILLET GERARD</t>
  </si>
  <si>
    <t xml:space="preserve">9 RUE SEDILLOT</t>
  </si>
  <si>
    <t xml:space="preserve">RUE SEDILLOT</t>
  </si>
  <si>
    <t xml:space="preserve">01 45 51 55 85</t>
  </si>
  <si>
    <t xml:space="preserve">https://biocodex6--c.vf.force.com/0014L00000KFh1nQAD</t>
  </si>
  <si>
    <t xml:space="preserve">https://annuairesante.ameli.fr/professionnels-de-sante/recherche/fiche-detaillee-B7c1kTc2Mzez.html</t>
  </si>
  <si>
    <t xml:space="preserve">DESGRANGES</t>
  </si>
  <si>
    <t xml:space="preserve">DESGRANGES THIERRY</t>
  </si>
  <si>
    <t xml:space="preserve">01 46 40 00 40</t>
  </si>
  <si>
    <t xml:space="preserve">https://biocodex6--c.vf.force.com/0014L00000KFaRnQAL</t>
  </si>
  <si>
    <t xml:space="preserve">https://annuairesante.ameli.fr/professionnels-de-sante/recherche/fiche-detaillee-CbA1kzUzNjWw.html</t>
  </si>
  <si>
    <t xml:space="preserve">LOAP</t>
  </si>
  <si>
    <t xml:space="preserve">SUVADDHANA</t>
  </si>
  <si>
    <t xml:space="preserve">LOAP SUVADDHANA</t>
  </si>
  <si>
    <t xml:space="preserve">11 RUE EBLE</t>
  </si>
  <si>
    <t xml:space="preserve">RUE EBLE</t>
  </si>
  <si>
    <t xml:space="preserve">01 40 54 30 04 // 01 40 54 07 27</t>
  </si>
  <si>
    <t xml:space="preserve">https://biocodex6--c.vf.force.com/0014L00000KG3NRQA1</t>
  </si>
  <si>
    <t xml:space="preserve">https://annuairesante.ameli.fr/professionnels-de-sante/recherche/fiche-detaillee-B7c1lDQ4ODu0.html</t>
  </si>
  <si>
    <t xml:space="preserve">BARNICHON</t>
  </si>
  <si>
    <t xml:space="preserve">BARNICHON GILLES</t>
  </si>
  <si>
    <t xml:space="preserve">89 BOULEVARD BINEAU</t>
  </si>
  <si>
    <t xml:space="preserve">01 47 45 25 44</t>
  </si>
  <si>
    <t xml:space="preserve">https://biocodex6--c.vf.force.com/0014L00000KFReNQAX</t>
  </si>
  <si>
    <t xml:space="preserve">VAL</t>
  </si>
  <si>
    <t xml:space="preserve">VAL PHILIPPE</t>
  </si>
  <si>
    <t xml:space="preserve">2 RUE DE L EGLISE</t>
  </si>
  <si>
    <t xml:space="preserve">01 46 24 49 51</t>
  </si>
  <si>
    <t xml:space="preserve">SIBEUD</t>
  </si>
  <si>
    <t xml:space="preserve">SIBEUD JACQUES</t>
  </si>
  <si>
    <t xml:space="preserve">01 46 37 04 04</t>
  </si>
  <si>
    <t xml:space="preserve">https://biocodex6--c.vf.force.com/0014L00000KG1RaQAL</t>
  </si>
  <si>
    <t xml:space="preserve">BATON</t>
  </si>
  <si>
    <t xml:space="preserve">BATON BRUNO</t>
  </si>
  <si>
    <t xml:space="preserve">01 42 24 16 50 // 01 42 24 16 51</t>
  </si>
  <si>
    <t xml:space="preserve">https://biocodex6--c.vf.force.com/0014L00000KFRvjQAH</t>
  </si>
  <si>
    <t xml:space="preserve">https://annuairesante.ameli.fr/professionnels-de-sante/recherche/fiche-detaillee-B7c1lzEyMDG3.html</t>
  </si>
  <si>
    <t xml:space="preserve">[Timestamp('2023-07-06 11:00:00'), Timestamp('2023-09-26 13:30:00'), Timestamp('2024-01-12 13:00:00'), Timestamp('2024-05-21 13:30:00')]</t>
  </si>
  <si>
    <t xml:space="preserve">RENAULT</t>
  </si>
  <si>
    <t xml:space="preserve">RENAULT MATHILDE</t>
  </si>
  <si>
    <t xml:space="preserve">https://biocodex6--c.vf.force.com/0014L00000KGP0aQAH</t>
  </si>
  <si>
    <t xml:space="preserve">PIOCH CHAGUE</t>
  </si>
  <si>
    <t xml:space="preserve">PIOCH CHAGUE CAMILLE</t>
  </si>
  <si>
    <t xml:space="preserve">https://biocodex6--c.vf.force.com/0014L00000bPPatQAG</t>
  </si>
  <si>
    <t xml:space="preserve">https://annuairesante.ameli.fr/professionnels-de-sante/recherche/fiche-detaillee-B7c1lTE5NjKy.html</t>
  </si>
  <si>
    <t xml:space="preserve">PICAUD</t>
  </si>
  <si>
    <t xml:space="preserve">PICAUD JULIE</t>
  </si>
  <si>
    <t xml:space="preserve">3 RUE CHARLES TELLIER</t>
  </si>
  <si>
    <t xml:space="preserve">RUE CHARLES TELLIER</t>
  </si>
  <si>
    <t xml:space="preserve">https://biocodex6--c.vf.force.com/0014L00000KGOfYQAX</t>
  </si>
  <si>
    <t xml:space="preserve">AFFO</t>
  </si>
  <si>
    <t xml:space="preserve">LOUIS</t>
  </si>
  <si>
    <t xml:space="preserve">AFFO LOUIS</t>
  </si>
  <si>
    <t xml:space="preserve">https://biocodex6--c.vf.force.com/001Py000001dSGwIAM</t>
  </si>
  <si>
    <t xml:space="preserve">RAHARISONINA</t>
  </si>
  <si>
    <t xml:space="preserve">TIANA</t>
  </si>
  <si>
    <t xml:space="preserve">RAHARISONINA TIANA</t>
  </si>
  <si>
    <t xml:space="preserve">29 AVENUE DE SUFFREN</t>
  </si>
  <si>
    <t xml:space="preserve">01 45 66 01 25</t>
  </si>
  <si>
    <t xml:space="preserve">https://biocodex6--c.vf.force.com/0014L00000KGPF0QAP</t>
  </si>
  <si>
    <t xml:space="preserve">TENORIO GONZALEZ</t>
  </si>
  <si>
    <t xml:space="preserve">TENORIO GONZALEZ ELENA</t>
  </si>
  <si>
    <t xml:space="preserve">https://biocodex6--c.vf.force.com/0014L00000hu1KVQAY</t>
  </si>
  <si>
    <t xml:space="preserve">BERTHAIL</t>
  </si>
  <si>
    <t xml:space="preserve">BERTHAIL BENOIT</t>
  </si>
  <si>
    <t xml:space="preserve">https://biocodex6--c.vf.force.com/0014L00000n12M0QAI</t>
  </si>
  <si>
    <t xml:space="preserve">FOURIKI</t>
  </si>
  <si>
    <t xml:space="preserve">ATHINA</t>
  </si>
  <si>
    <t xml:space="preserve">FOURIKI ATHINA</t>
  </si>
  <si>
    <t xml:space="preserve">https://biocodex6--c.vf.force.com/0014L00000KGPnAQAX</t>
  </si>
  <si>
    <t xml:space="preserve">JOURET</t>
  </si>
  <si>
    <t xml:space="preserve">MAURINE</t>
  </si>
  <si>
    <t xml:space="preserve">JOURET MAURINE</t>
  </si>
  <si>
    <t xml:space="preserve">https://biocodex6--c.vf.force.com/0014L00000VMl0kQAD</t>
  </si>
  <si>
    <t xml:space="preserve">TIETART FROGE</t>
  </si>
  <si>
    <t xml:space="preserve">TIETART FROGE MARIE PIERRE</t>
  </si>
  <si>
    <t xml:space="preserve">49 RUE DE BOULAINVILLIERS</t>
  </si>
  <si>
    <t xml:space="preserve">RUE DE BOULAINVILLIERS</t>
  </si>
  <si>
    <t xml:space="preserve">01 42 24 52 54</t>
  </si>
  <si>
    <t xml:space="preserve">https://biocodex6--c.vf.force.com/0014L00000KGPRyQAP</t>
  </si>
  <si>
    <t xml:space="preserve">PERRIGNON LUSCAN</t>
  </si>
  <si>
    <t xml:space="preserve">PERRIGNON LUSCAN CAMILLE</t>
  </si>
  <si>
    <t xml:space="preserve">https://biocodex6--c.vf.force.com/0014L00000n17OkQAI</t>
  </si>
  <si>
    <t xml:space="preserve">GIRARD ERIC</t>
  </si>
  <si>
    <t xml:space="preserve">1 RUE DE VILLERSEXEL</t>
  </si>
  <si>
    <t xml:space="preserve">RUE DE VILLERSEXEL</t>
  </si>
  <si>
    <t xml:space="preserve">01 42 84 14 45 // 06 08 61 29 74</t>
  </si>
  <si>
    <t xml:space="preserve">https://biocodex6--c.vf.force.com/0014L00000KFg4UQAT</t>
  </si>
  <si>
    <t xml:space="preserve">https://annuairesante.ameli.fr/professionnels-de-sante/recherche/fiche-detaillee-B7c1ljQwNzWx.html</t>
  </si>
  <si>
    <t xml:space="preserve">LABROSSE OLIVIER</t>
  </si>
  <si>
    <t xml:space="preserve">69 RUE FONDARY</t>
  </si>
  <si>
    <t xml:space="preserve">RUE FONDARY</t>
  </si>
  <si>
    <t xml:space="preserve">01 45 75 20 21</t>
  </si>
  <si>
    <t xml:space="preserve">https://biocodex6--c.vf.force.com/0014L00000KFlEYQA1</t>
  </si>
  <si>
    <t xml:space="preserve">https://annuairesante.ameli.fr/professionnels-de-sante/recherche/fiche-detaillee-B7c1kTY1MDa3.html</t>
  </si>
  <si>
    <t xml:space="preserve">HACHET</t>
  </si>
  <si>
    <t xml:space="preserve">JEAN CHARLES</t>
  </si>
  <si>
    <t xml:space="preserve">HACHET JEAN CHARLES</t>
  </si>
  <si>
    <t xml:space="preserve">51 RUE FONDARY</t>
  </si>
  <si>
    <t xml:space="preserve">01 45 79 94 82</t>
  </si>
  <si>
    <t xml:space="preserve">https://biocodex6--c.vf.force.com/0014L00000KFhyjQAD</t>
  </si>
  <si>
    <t xml:space="preserve">https://annuairesante.ameli.fr/professionnels-de-sante/recherche/fiche-detaillee-B7c1kTY2MjK2.html</t>
  </si>
  <si>
    <t xml:space="preserve">ARDITTI</t>
  </si>
  <si>
    <t xml:space="preserve">ARDITTI LAURENT</t>
  </si>
  <si>
    <t xml:space="preserve">72 RUE DU COMMERCE</t>
  </si>
  <si>
    <t xml:space="preserve">RUE DU COMMERCE</t>
  </si>
  <si>
    <t xml:space="preserve">01 45 30 64 20</t>
  </si>
  <si>
    <t xml:space="preserve">https://biocodex6--c.vf.force.com/0014L00000KFQc3QAH</t>
  </si>
  <si>
    <t xml:space="preserve">https://annuairesante.ameli.fr/professionnels-de-sante/recherche/fiche-detaillee-B7c1lDc4NTC3.html</t>
  </si>
  <si>
    <t xml:space="preserve">DE PERETTI DELLA ROCCA</t>
  </si>
  <si>
    <t xml:space="preserve">MARC ANTOINE</t>
  </si>
  <si>
    <t xml:space="preserve">DE PERETTI DELLA ROCCA MARC ANTOINE</t>
  </si>
  <si>
    <t xml:space="preserve">https://biocodex6--c.vf.force.com/0014L00000KFZLsQAP</t>
  </si>
  <si>
    <t xml:space="preserve">MANODRITTA</t>
  </si>
  <si>
    <t xml:space="preserve">MANODRITTA PASCALE</t>
  </si>
  <si>
    <t xml:space="preserve">2 RUE BOUGAINVILLE</t>
  </si>
  <si>
    <t xml:space="preserve">RUE BOUGAINVILLE</t>
  </si>
  <si>
    <t xml:space="preserve">01 45 56 01 91</t>
  </si>
  <si>
    <t xml:space="preserve">https://biocodex6--c.vf.force.com/0014L00000KFrwYQAT</t>
  </si>
  <si>
    <t xml:space="preserve">https://annuairesante.ameli.fr/professionnels-de-sante/recherche/fiche-detaillee-B7c1lzY2NzOw.html</t>
  </si>
  <si>
    <t xml:space="preserve">MOHEBI</t>
  </si>
  <si>
    <t xml:space="preserve">MOHEBI ALEXIS</t>
  </si>
  <si>
    <t xml:space="preserve">3 BOULEVARD BINEAU</t>
  </si>
  <si>
    <t xml:space="preserve">01 84 00 70 07</t>
  </si>
  <si>
    <t xml:space="preserve">https://biocodex6--c.vf.force.com/0014L00000KFsTWQA1</t>
  </si>
  <si>
    <t xml:space="preserve">LASNIER</t>
  </si>
  <si>
    <t xml:space="preserve">PIERRE GUILLAUME</t>
  </si>
  <si>
    <t xml:space="preserve">LASNIER PIERRE GUILLAUME</t>
  </si>
  <si>
    <t xml:space="preserve">181 RUE ST CHARLES</t>
  </si>
  <si>
    <t xml:space="preserve">01 40 60 16 39</t>
  </si>
  <si>
    <t xml:space="preserve">https://biocodex6--c.vf.force.com/0014L00000KFmFTQA1</t>
  </si>
  <si>
    <t xml:space="preserve">https://annuairesante.ameli.fr/professionnels-de-sante/recherche/fiche-detaillee-B7c1lzA3MjC7.html</t>
  </si>
  <si>
    <t xml:space="preserve">LE BIDEAU VIEILLEFOSSE</t>
  </si>
  <si>
    <t xml:space="preserve">ANNE SOLENNE</t>
  </si>
  <si>
    <t xml:space="preserve">LE BIDEAU VIEILLEFOSSE ANNE SOLENNE</t>
  </si>
  <si>
    <t xml:space="preserve">https://biocodex6--c.vf.force.com/0014L00000htPinQAE</t>
  </si>
  <si>
    <t xml:space="preserve">PRIA</t>
  </si>
  <si>
    <t xml:space="preserve">PRIA ELENA</t>
  </si>
  <si>
    <t xml:space="preserve">81 RUE ST DOMINIQUE</t>
  </si>
  <si>
    <t xml:space="preserve">01 45 50 30 26</t>
  </si>
  <si>
    <t xml:space="preserve">https://biocodex6--c.vf.force.com/0014L00000KFxVSQA1</t>
  </si>
  <si>
    <t xml:space="preserve">https://annuairesante.ameli.fr/professionnels-de-sante/recherche/fiche-detaillee-B7c1lDEyODO7.html</t>
  </si>
  <si>
    <t xml:space="preserve">VISINET</t>
  </si>
  <si>
    <t xml:space="preserve">VISINET BERTRAND</t>
  </si>
  <si>
    <t xml:space="preserve">4 RUE DEVES</t>
  </si>
  <si>
    <t xml:space="preserve">RUE DEVES</t>
  </si>
  <si>
    <t xml:space="preserve">01 47 45 50 35</t>
  </si>
  <si>
    <t xml:space="preserve">https://biocodex6--c.vf.force.com/0014L00000KG5O0QAL</t>
  </si>
  <si>
    <t xml:space="preserve">https://annuairesante.ameli.fr/professionnels-de-sante/recherche/fiche-detaillee-CbA1kjo2Mze7.html</t>
  </si>
  <si>
    <t xml:space="preserve">HOUTA</t>
  </si>
  <si>
    <t xml:space="preserve">HOUTA BENJAMIN</t>
  </si>
  <si>
    <t xml:space="preserve">06 46 21 04 47</t>
  </si>
  <si>
    <t xml:space="preserve">https://biocodex6--c.vf.force.com/0014L00000KFj63QAD</t>
  </si>
  <si>
    <t xml:space="preserve">https://annuairesante.ameli.fr/professionnels-de-sante/recherche/fiche-detaillee-B7c1kTs5ODG3.html</t>
  </si>
  <si>
    <t xml:space="preserve">15:30-18:00(R)</t>
  </si>
  <si>
    <t xml:space="preserve">GEORGE</t>
  </si>
  <si>
    <t xml:space="preserve">GEORGE FRANCOISE</t>
  </si>
  <si>
    <t xml:space="preserve">3 RUE JEAN FERRANDI</t>
  </si>
  <si>
    <t xml:space="preserve">RUE JEAN FERRANDI</t>
  </si>
  <si>
    <t xml:space="preserve">01 43 35 18 71</t>
  </si>
  <si>
    <t xml:space="preserve">https://biocodex6--c.vf.force.com/0014L00000KFfeyQAD</t>
  </si>
  <si>
    <t xml:space="preserve">LAFITTE</t>
  </si>
  <si>
    <t xml:space="preserve">LAFITTE THIERRY</t>
  </si>
  <si>
    <t xml:space="preserve">9 RUE DE LA TREMOILLE</t>
  </si>
  <si>
    <t xml:space="preserve">RUE DE LA TREMOILLE</t>
  </si>
  <si>
    <t xml:space="preserve">01 45 63 91 65 // 06 86 58 45 26</t>
  </si>
  <si>
    <t xml:space="preserve">https://biocodex6--c.vf.force.com/0014L00000KFo06QAD</t>
  </si>
  <si>
    <t xml:space="preserve">https://annuairesante.ameli.fr/professionnels-de-sante/recherche/fiche-detaillee-B7c1mzE4Njq1.html</t>
  </si>
  <si>
    <t xml:space="preserve">SALDUCCI DECOCK</t>
  </si>
  <si>
    <t xml:space="preserve">VANINA</t>
  </si>
  <si>
    <t xml:space="preserve">SALDUCCI DECOCK VANINA</t>
  </si>
  <si>
    <t xml:space="preserve">https://biocodex6--c.vf.force.com/0014L00000KG1ZFQA1</t>
  </si>
  <si>
    <t xml:space="preserve">REY JACQUES</t>
  </si>
  <si>
    <t xml:space="preserve">41 RUE MADELEINE MICHELIS</t>
  </si>
  <si>
    <t xml:space="preserve">RUE MADELEINE MICHELIS</t>
  </si>
  <si>
    <t xml:space="preserve">01 47 45 50 23 // 01 46 24 31 02</t>
  </si>
  <si>
    <t xml:space="preserve">https://biocodex6--c.vf.force.com/0014L00000KFyFcQAL</t>
  </si>
  <si>
    <t xml:space="preserve">https://annuairesante.ameli.fr/professionnels-de-sante/recherche/fiche-detaillee-CbA1kjsyMzu7.html</t>
  </si>
  <si>
    <t xml:space="preserve">12:30-14:00(D)
08:30-12:00(R)</t>
  </si>
  <si>
    <t xml:space="preserve">14:00-15:00(D)
15:30-19:30(R)</t>
  </si>
  <si>
    <t xml:space="preserve">12:30-14:00(D)
09:15-12:00(R)</t>
  </si>
  <si>
    <t xml:space="preserve">JONOT</t>
  </si>
  <si>
    <t xml:space="preserve">JONOT ANDRE</t>
  </si>
  <si>
    <t xml:space="preserve">MDS JEANNE GARNIER</t>
  </si>
  <si>
    <t xml:space="preserve">106 AVENUE EMILE ZOLA</t>
  </si>
  <si>
    <t xml:space="preserve">01 43 92 21 21</t>
  </si>
  <si>
    <t xml:space="preserve">https://biocodex6--c.vf.force.com/0014L00000KFhPlQAL</t>
  </si>
  <si>
    <t xml:space="preserve">RICHARD JEAN FRANCOIS</t>
  </si>
  <si>
    <t xml:space="preserve">01 43 92 21 24</t>
  </si>
  <si>
    <t xml:space="preserve">https://biocodex6--c.vf.force.com/0014L00000KFybkQAD</t>
  </si>
  <si>
    <t xml:space="preserve">ALVAREZ</t>
  </si>
  <si>
    <t xml:space="preserve">ALVAREZ SILVIA</t>
  </si>
  <si>
    <t xml:space="preserve">15 AVENUE RAYMOND POINCARE</t>
  </si>
  <si>
    <t xml:space="preserve">01 40 74 00 11</t>
  </si>
  <si>
    <t xml:space="preserve">sylvia.alvarez@free.fr</t>
  </si>
  <si>
    <t xml:space="preserve">https://biocodex6--c.vf.force.com/0014L00000KFQIJQA5</t>
  </si>
  <si>
    <t xml:space="preserve">https://annuairesante.ameli.fr/professionnels-de-sante/recherche/fiche-detaillee-B7c1lTA0MzC0.html</t>
  </si>
  <si>
    <t xml:space="preserve">13:00-17:00</t>
  </si>
  <si>
    <t xml:space="preserve">LEPRISE</t>
  </si>
  <si>
    <t xml:space="preserve">LEPRISE OLIVIER</t>
  </si>
  <si>
    <t xml:space="preserve">01 30 15 89 22 // 01 48 42 15 30</t>
  </si>
  <si>
    <t xml:space="preserve">https://biocodex6--c.vf.force.com/0014L00000KFo2lQAD</t>
  </si>
  <si>
    <t xml:space="preserve">https://annuairesante.ameli.fr/professionnels-de-sante/recherche/fiche-detaillee-B7c1lzU2NDSz.html</t>
  </si>
  <si>
    <t xml:space="preserve">12:00-14:00(D)
09:00-12:00(R)</t>
  </si>
  <si>
    <t xml:space="preserve">LARGET</t>
  </si>
  <si>
    <t xml:space="preserve">LARGET DOMINIQUE</t>
  </si>
  <si>
    <t xml:space="preserve">40 RUE DU PRESIDENT WILSON</t>
  </si>
  <si>
    <t xml:space="preserve">01 53 66 64 02 // 01 47 39 10 51</t>
  </si>
  <si>
    <t xml:space="preserve">https://biocodex6--c.vf.force.com/0014L00000KFm7fQAD</t>
  </si>
  <si>
    <t xml:space="preserve">https://annuairesante.ameli.fr/professionnels-de-sante/recherche/fiche-detaillee-CbA1kjU2MDSz.html</t>
  </si>
  <si>
    <t xml:space="preserve">11:00-14:00(D)
09:00-11:00(R)</t>
  </si>
  <si>
    <t xml:space="preserve">15:30-19:30(R)</t>
  </si>
  <si>
    <t xml:space="preserve">TEXIER PRAT</t>
  </si>
  <si>
    <t xml:space="preserve">SANDRA</t>
  </si>
  <si>
    <t xml:space="preserve">TEXIER PRAT SANDRA</t>
  </si>
  <si>
    <t xml:space="preserve">235 RUE DU FAUBOURG ST HONORE</t>
  </si>
  <si>
    <t xml:space="preserve">01 42 67 55 50</t>
  </si>
  <si>
    <t xml:space="preserve">https://biocodex6--c.vf.force.com/0014L00000KG3FXQA1</t>
  </si>
  <si>
    <t xml:space="preserve">SASPORTAS</t>
  </si>
  <si>
    <t xml:space="preserve">SASPORTAS RAPHAEL</t>
  </si>
  <si>
    <t xml:space="preserve">54 RUE CARNOT</t>
  </si>
  <si>
    <t xml:space="preserve">01 47 57 56 71</t>
  </si>
  <si>
    <t xml:space="preserve">https://biocodex6--c.vf.force.com/0014L00000KG1reQAD</t>
  </si>
  <si>
    <t xml:space="preserve">https://annuairesante.ameli.fr/professionnels-de-sante/recherche/fiche-detaillee-CbA1kzQwNjuz.html</t>
  </si>
  <si>
    <t xml:space="preserve">NGWEM</t>
  </si>
  <si>
    <t xml:space="preserve">NGWEM ELSA</t>
  </si>
  <si>
    <t xml:space="preserve">https://biocodex6--c.vf.force.com/0014L00000KFu6TQAT</t>
  </si>
  <si>
    <t xml:space="preserve">LIGEN</t>
  </si>
  <si>
    <t xml:space="preserve">LIGEN NATHALIE</t>
  </si>
  <si>
    <t xml:space="preserve">01 40 59 91 82</t>
  </si>
  <si>
    <t xml:space="preserve">https://biocodex6--c.vf.force.com/0014L00000KG8zLQAT</t>
  </si>
  <si>
    <t xml:space="preserve">https://annuairesante.ameli.fr/professionnels-de-sante/recherche/fiche-detaillee-B7c1kjM0MzSx.html</t>
  </si>
  <si>
    <t xml:space="preserve">TAOUSS</t>
  </si>
  <si>
    <t xml:space="preserve">FREDERIK</t>
  </si>
  <si>
    <t xml:space="preserve">TAOUSS FREDERIK</t>
  </si>
  <si>
    <t xml:space="preserve">https://biocodex6--c.vf.force.com/0014L00000KG2YzQAL</t>
  </si>
  <si>
    <t xml:space="preserve">https://annuairesante.ameli.fr/professionnels-de-sante/recherche/fiche-detaillee-CbA1lTI3ODG2.html</t>
  </si>
  <si>
    <t xml:space="preserve">LE DUC SOLUS</t>
  </si>
  <si>
    <t xml:space="preserve">LE DUC SOLUS MARINE</t>
  </si>
  <si>
    <t xml:space="preserve">https://biocodex6--c.vf.force.com/0014L00000KFlwsQAD</t>
  </si>
  <si>
    <t xml:space="preserve">https://annuairesante.ameli.fr/professionnels-de-sante/recherche/fiche-detaillee-CbA1kzozMzaz.html</t>
  </si>
  <si>
    <t xml:space="preserve">ZERR</t>
  </si>
  <si>
    <t xml:space="preserve">ZERR PHILIPPE</t>
  </si>
  <si>
    <t xml:space="preserve">58 RUE CARNOT</t>
  </si>
  <si>
    <t xml:space="preserve">01 47 57 55 80</t>
  </si>
  <si>
    <t xml:space="preserve">https://biocodex6--c.vf.force.com/0014L00000KG6AlQAL</t>
  </si>
  <si>
    <t xml:space="preserve">https://annuairesante.ameli.fr/professionnels-de-sante/recherche/fiche-detaillee-CbA1lTIwOTS1.html</t>
  </si>
  <si>
    <t xml:space="preserve">[Timestamp('2023-09-29 09:00:00'), Timestamp('2024-01-29 13:30:00')]</t>
  </si>
  <si>
    <t xml:space="preserve">AUDOUY</t>
  </si>
  <si>
    <t xml:space="preserve">AUDOUY PATRICK</t>
  </si>
  <si>
    <t xml:space="preserve">79 RUE BOISSIERE</t>
  </si>
  <si>
    <t xml:space="preserve">01 45 00 55 66</t>
  </si>
  <si>
    <t xml:space="preserve">https://biocodex6--c.vf.force.com/0014L00000KFQy4QAH</t>
  </si>
  <si>
    <t xml:space="preserve">https://annuairesante.ameli.fr/professionnels-de-sante/recherche/fiche-detaillee-B7c1lzc2Nja0.html</t>
  </si>
  <si>
    <t xml:space="preserve">08:30-12:00(D)
13:30-14:00(R)</t>
  </si>
  <si>
    <t xml:space="preserve">AISENBERG</t>
  </si>
  <si>
    <t xml:space="preserve">AISENBERG CHARLES</t>
  </si>
  <si>
    <t xml:space="preserve">01 47 57 63 43</t>
  </si>
  <si>
    <t xml:space="preserve">https://biocodex6--c.vf.force.com/0014L00000KFQcDQAX</t>
  </si>
  <si>
    <t xml:space="preserve">https://annuairesante.ameli.fr/professionnels-de-sante/recherche/fiche-detaillee-CbA1kzsxNzu7.html</t>
  </si>
  <si>
    <t xml:space="preserve">BASSIL</t>
  </si>
  <si>
    <t xml:space="preserve">BASSIL MARC</t>
  </si>
  <si>
    <t xml:space="preserve">https://biocodex6--c.vf.force.com/0014L00000KFRrmQAH</t>
  </si>
  <si>
    <t xml:space="preserve">https://annuairesante.ameli.fr/professionnels-de-sante/recherche/fiche-detaillee-B7c1lzA3MTW7.html</t>
  </si>
  <si>
    <t xml:space="preserve">FAWAZ</t>
  </si>
  <si>
    <t xml:space="preserve">MAHMOUD</t>
  </si>
  <si>
    <t xml:space="preserve">FAWAZ MAHMOUD</t>
  </si>
  <si>
    <t xml:space="preserve">01 45 33 10 00</t>
  </si>
  <si>
    <t xml:space="preserve">https://biocodex6--c.vf.force.com/0014L00000KFdJsQAL</t>
  </si>
  <si>
    <t xml:space="preserve">https://annuairesante.ameli.fr/professionnels-de-sante/recherche/fiche-detaillee-B7c1lDE0OTWy.html</t>
  </si>
  <si>
    <t xml:space="preserve">COLIN JEAN MARIE</t>
  </si>
  <si>
    <t xml:space="preserve">37 RUE GODOT DE MAUROY</t>
  </si>
  <si>
    <t xml:space="preserve">RUE GODOT DE MAUROY</t>
  </si>
  <si>
    <t xml:space="preserve">https://biocodex6--c.vf.force.com/0014L00000KFX9rQAH</t>
  </si>
  <si>
    <t xml:space="preserve">HENRY MAMOU</t>
  </si>
  <si>
    <t xml:space="preserve">JEAN ELIE</t>
  </si>
  <si>
    <t xml:space="preserve">HENRY MAMOU JEAN ELIE</t>
  </si>
  <si>
    <t xml:space="preserve">62 AVENUE RAYMOND POINCARE</t>
  </si>
  <si>
    <t xml:space="preserve">01 47 47 45 41 // 01 47 04 25 00</t>
  </si>
  <si>
    <t xml:space="preserve">https://biocodex6--c.vf.force.com/0014L00000KFibLQAT</t>
  </si>
  <si>
    <t xml:space="preserve">https://annuairesante.ameli.fr/professionnels-de-sante/recherche/fiche-detaillee-B7c1kDszNjqz.html</t>
  </si>
  <si>
    <t xml:space="preserve">AMAR</t>
  </si>
  <si>
    <t xml:space="preserve">AMAR PAUL</t>
  </si>
  <si>
    <t xml:space="preserve">68 RUE MARJOLIN</t>
  </si>
  <si>
    <t xml:space="preserve">RUE MARJOLIN</t>
  </si>
  <si>
    <t xml:space="preserve">01 47 31 44 78</t>
  </si>
  <si>
    <t xml:space="preserve">https://biocodex6--c.vf.force.com/0014L00000KFQJWQA5</t>
  </si>
  <si>
    <t xml:space="preserve">https://annuairesante.ameli.fr/professionnels-de-sante/recherche/fiche-detaillee-CbA1kzI2ODS6.html</t>
  </si>
  <si>
    <t xml:space="preserve">FARMACHI</t>
  </si>
  <si>
    <t xml:space="preserve">FARMACHI ALAIN</t>
  </si>
  <si>
    <t xml:space="preserve">80 RUE DE MIROMESNIL</t>
  </si>
  <si>
    <t xml:space="preserve">01 55 30 07 49</t>
  </si>
  <si>
    <t xml:space="preserve">https://biocodex6--c.vf.force.com/0014L00000KFaj1QAD</t>
  </si>
  <si>
    <t xml:space="preserve">https://annuairesante.ameli.fr/professionnels-de-sante/recherche/fiche-detaillee-B7c1lDA4MTa6.html</t>
  </si>
  <si>
    <t xml:space="preserve">HAZOUT</t>
  </si>
  <si>
    <t xml:space="preserve">HAZOUT THIERRY</t>
  </si>
  <si>
    <t xml:space="preserve">34 RUE FORTUNY</t>
  </si>
  <si>
    <t xml:space="preserve">RUE FORTUNY</t>
  </si>
  <si>
    <t xml:space="preserve">01 40 54 85 35</t>
  </si>
  <si>
    <t xml:space="preserve">https://biocodex6--c.vf.force.com/0014L00000KFiO2QAL</t>
  </si>
  <si>
    <t xml:space="preserve">LOBBE</t>
  </si>
  <si>
    <t xml:space="preserve">LOBBE MARION</t>
  </si>
  <si>
    <t xml:space="preserve">https://biocodex6--c.vf.force.com/0014L00000KGBQVQA5</t>
  </si>
  <si>
    <t xml:space="preserve">PESTRE</t>
  </si>
  <si>
    <t xml:space="preserve">PESTRE MICHELE</t>
  </si>
  <si>
    <t xml:space="preserve">EEG</t>
  </si>
  <si>
    <t xml:space="preserve">15 RUE DE LA CROIX NIVERT</t>
  </si>
  <si>
    <t xml:space="preserve">01 45 66 78 65</t>
  </si>
  <si>
    <t xml:space="preserve">https://biocodex6--c.vf.force.com/0014L00000KFvWdQAL</t>
  </si>
  <si>
    <t xml:space="preserve">https://annuairesante.ameli.fr/professionnels-de-sante/recherche/fiche-detaillee-B7c1ljs1NTO7.html</t>
  </si>
  <si>
    <t xml:space="preserve">CHAVINIER</t>
  </si>
  <si>
    <t xml:space="preserve">CHAVINIER CHRISTIAN</t>
  </si>
  <si>
    <t xml:space="preserve">47 RUE FREMICOURT</t>
  </si>
  <si>
    <t xml:space="preserve">RUE FREMICOURT</t>
  </si>
  <si>
    <t xml:space="preserve">01 42 50 20 87</t>
  </si>
  <si>
    <t xml:space="preserve">https://biocodex6--c.vf.force.com/0014L00000KFWLfQAP</t>
  </si>
  <si>
    <t xml:space="preserve">https://annuairesante.ameli.fr/professionnels-de-sante/recherche/fiche-detaillee-B7c1lDA0MTCy.html</t>
  </si>
  <si>
    <t xml:space="preserve">TEDGUI</t>
  </si>
  <si>
    <t xml:space="preserve">TEDGUI JEAN PAUL</t>
  </si>
  <si>
    <t xml:space="preserve">01 47 34 04 20</t>
  </si>
  <si>
    <t xml:space="preserve">https://biocodex6--c.vf.force.com/0014L00000KG2mLQAT</t>
  </si>
  <si>
    <t xml:space="preserve">RETRAITE</t>
  </si>
  <si>
    <t xml:space="preserve">YAZBECK</t>
  </si>
  <si>
    <t xml:space="preserve">CHADI</t>
  </si>
  <si>
    <t xml:space="preserve">YAZBECK CHADI</t>
  </si>
  <si>
    <t xml:space="preserve">134 AVENUE VICTOR HUGO</t>
  </si>
  <si>
    <t xml:space="preserve">01 45 03 90 90 // 01 40 72 33 97</t>
  </si>
  <si>
    <t xml:space="preserve">https://biocodex6--c.vf.force.com/0014L00000KG6p8QAD</t>
  </si>
  <si>
    <t xml:space="preserve">https://annuairesante.ameli.fr/professionnels-de-sante/recherche/fiche-detaillee-B7c1lTAyNzuw.html</t>
  </si>
  <si>
    <t xml:space="preserve">ROLAND</t>
  </si>
  <si>
    <t xml:space="preserve">LEVY ROLAND</t>
  </si>
  <si>
    <t xml:space="preserve">01 43 70 28 28</t>
  </si>
  <si>
    <t xml:space="preserve">https://biocodex6--c.vf.force.com/0014L00000KFoNNQA1</t>
  </si>
  <si>
    <t xml:space="preserve">DEFONTAINES</t>
  </si>
  <si>
    <t xml:space="preserve">DEFONTAINES BENEDICTE</t>
  </si>
  <si>
    <t xml:space="preserve">01 84 25 60 97 // 01 45 77 17 60</t>
  </si>
  <si>
    <t xml:space="preserve">https://biocodex6--c.vf.force.com/0014L00000KFWJsQAP</t>
  </si>
  <si>
    <t xml:space="preserve">https://annuairesante.ameli.fr/professionnels-de-sante/recherche/fiche-detaillee-B7c1lzozODC0.html</t>
  </si>
  <si>
    <t xml:space="preserve">09:15-13:30(R)</t>
  </si>
  <si>
    <t xml:space="preserve">NIZARD</t>
  </si>
  <si>
    <t xml:space="preserve">NIZARD PATRICIA</t>
  </si>
  <si>
    <t xml:space="preserve">01 45 55 66 15</t>
  </si>
  <si>
    <t xml:space="preserve">https://biocodex6--c.vf.force.com/0014L00000KFtiGQAT</t>
  </si>
  <si>
    <t xml:space="preserve">https://annuairesante.ameli.fr/professionnels-de-sante/recherche/fiche-detaillee-B7c1lzI4ODKx.html</t>
  </si>
  <si>
    <t xml:space="preserve">GANDRILLE</t>
  </si>
  <si>
    <t xml:space="preserve">GANDRILLE NICOLAS</t>
  </si>
  <si>
    <t xml:space="preserve">88 RUE DE VILLIERS</t>
  </si>
  <si>
    <t xml:space="preserve">RUE DE VILLIERS</t>
  </si>
  <si>
    <t xml:space="preserve">01 46 97 01 75</t>
  </si>
  <si>
    <t xml:space="preserve">https://biocodex6--c.vf.force.com/0014L00000KFcKrQAL</t>
  </si>
  <si>
    <t xml:space="preserve">ZITOUN</t>
  </si>
  <si>
    <t xml:space="preserve">ZITOUN PIERRE</t>
  </si>
  <si>
    <t xml:space="preserve">6 RUE GOUNOD</t>
  </si>
  <si>
    <t xml:space="preserve">RUE GOUNOD</t>
  </si>
  <si>
    <t xml:space="preserve">01 48 78 15 15</t>
  </si>
  <si>
    <t xml:space="preserve">https://biocodex6--c.vf.force.com/0014L00000KG6CvQAL</t>
  </si>
  <si>
    <t xml:space="preserve">https://annuairesante.ameli.fr/professionnels-de-sante/recherche/fiche-detaillee-B7c1lzMzNzC2.html</t>
  </si>
  <si>
    <t xml:space="preserve">MAIER</t>
  </si>
  <si>
    <t xml:space="preserve">MAIER DOMINIQUE</t>
  </si>
  <si>
    <t xml:space="preserve">https://biocodex6--c.vf.force.com/0014L00000KFpk9QAD</t>
  </si>
  <si>
    <t xml:space="preserve">https://annuairesante.ameli.fr/professionnels-de-sante/recherche/fiche-detaillee-B7c1mjA5MDOx.html</t>
  </si>
  <si>
    <t xml:space="preserve">CHARLON</t>
  </si>
  <si>
    <t xml:space="preserve">YANNIS</t>
  </si>
  <si>
    <t xml:space="preserve">CHARLON YANNIS</t>
  </si>
  <si>
    <t xml:space="preserve">01 42 50 02 61 // 01 42 50 04 20</t>
  </si>
  <si>
    <t xml:space="preserve">https://biocodex6--c.vf.force.com/0014L00000KFfLDQA1</t>
  </si>
  <si>
    <t xml:space="preserve">https://annuairesante.ameli.fr/professionnels-de-sante/recherche/fiche-detaillee-B7c1mzE0ODG2.html</t>
  </si>
  <si>
    <t xml:space="preserve">08:30-12:30(R)</t>
  </si>
  <si>
    <t xml:space="preserve">DUPRE</t>
  </si>
  <si>
    <t xml:space="preserve">JEAN PHILIPPE</t>
  </si>
  <si>
    <t xml:space="preserve">DUPRE JEAN PHILIPPE</t>
  </si>
  <si>
    <t xml:space="preserve">5 RUE DU GENERAL DE CASTELNAU</t>
  </si>
  <si>
    <t xml:space="preserve">RUE DU GENERAL DE CASTELNAU</t>
  </si>
  <si>
    <t xml:space="preserve">01 47 83 36 71</t>
  </si>
  <si>
    <t xml:space="preserve">https://biocodex6--c.vf.force.com/0014L00000KFc2uQAD</t>
  </si>
  <si>
    <t xml:space="preserve">https://annuairesante.ameli.fr/professionnels-de-sante/recherche/fiche-detaillee-B7c1kToxMzG6.html</t>
  </si>
  <si>
    <t xml:space="preserve">GUGLIELMI</t>
  </si>
  <si>
    <t xml:space="preserve">GUGLIELMI JEAN MARC</t>
  </si>
  <si>
    <t xml:space="preserve">01 46 41 28 21 // 01 47 38 12 57</t>
  </si>
  <si>
    <t xml:space="preserve">https://biocodex6--c.vf.force.com/0014L00000KFeJCQA1</t>
  </si>
  <si>
    <t xml:space="preserve">https://annuairesante.ameli.fr/professionnels-de-sante/recherche/fiche-detaillee-CbA1kzQ2Nze3.html</t>
  </si>
  <si>
    <t xml:space="preserve">MAHIEUX LAURENT</t>
  </si>
  <si>
    <t xml:space="preserve">MAHIEUX LAURENT FLORENCE</t>
  </si>
  <si>
    <t xml:space="preserve">https://biocodex6--c.vf.force.com/0014L00000KFpJ1QAL</t>
  </si>
  <si>
    <t xml:space="preserve">FORTIN</t>
  </si>
  <si>
    <t xml:space="preserve">FORTIN JEROME</t>
  </si>
  <si>
    <t xml:space="preserve">19 RUE DUPHOT</t>
  </si>
  <si>
    <t xml:space="preserve">RUE DUPHOT</t>
  </si>
  <si>
    <t xml:space="preserve">01 42 60 87 60</t>
  </si>
  <si>
    <t xml:space="preserve">https://biocodex6--c.vf.force.com/0014L00000KFeAYQA1</t>
  </si>
  <si>
    <t xml:space="preserve">KRAINIK</t>
  </si>
  <si>
    <t xml:space="preserve">KRAINIK FRANCOIS</t>
  </si>
  <si>
    <t xml:space="preserve">https://biocodex6--c.vf.force.com/0014L00000KFkxhQAD</t>
  </si>
  <si>
    <t xml:space="preserve">TAILLIA</t>
  </si>
  <si>
    <t xml:space="preserve">TAILLIA HERVE</t>
  </si>
  <si>
    <t xml:space="preserve">https://biocodex6--c.vf.force.com/0014L00000KG2U1QAL</t>
  </si>
  <si>
    <t xml:space="preserve">https://annuairesante.ameli.fr/professionnels-de-sante/recherche/fiche-detaillee-CbA1kDE4Njq1.html</t>
  </si>
  <si>
    <t xml:space="preserve">JAIS</t>
  </si>
  <si>
    <t xml:space="preserve">JAIS LAURENT</t>
  </si>
  <si>
    <t xml:space="preserve">66 RUE DE LISBONNE</t>
  </si>
  <si>
    <t xml:space="preserve">RUE DE LISBONNE</t>
  </si>
  <si>
    <t xml:space="preserve">https://biocodex6--c.vf.force.com/0014L00000KFjewQAD</t>
  </si>
  <si>
    <t xml:space="preserve">HERTZOG</t>
  </si>
  <si>
    <t xml:space="preserve">HERTZOG BERNARD</t>
  </si>
  <si>
    <t xml:space="preserve">68 BOULEVARD MALESHERBES</t>
  </si>
  <si>
    <t xml:space="preserve">01 45 56 10 00</t>
  </si>
  <si>
    <t xml:space="preserve">https://biocodex6--c.vf.force.com/0014L00000KFijtQAD</t>
  </si>
  <si>
    <t xml:space="preserve">TORDJMAN LEVY</t>
  </si>
  <si>
    <t xml:space="preserve">TORDJMAN LEVY MURIEL</t>
  </si>
  <si>
    <t xml:space="preserve">63 RUE DE PONTHIEU</t>
  </si>
  <si>
    <t xml:space="preserve">01 44 07 48 15</t>
  </si>
  <si>
    <t xml:space="preserve">https://biocodex6--c.vf.force.com/0014L00000KG4A7QAL</t>
  </si>
  <si>
    <t xml:space="preserve">OLIVENNES</t>
  </si>
  <si>
    <t xml:space="preserve">OLIVENNES FRANCOIS</t>
  </si>
  <si>
    <t xml:space="preserve">15 RUE FARADAY</t>
  </si>
  <si>
    <t xml:space="preserve">01 43 80 28 05</t>
  </si>
  <si>
    <t xml:space="preserve">https://biocodex6--c.vf.force.com/0014L00000KFu3aQAD</t>
  </si>
  <si>
    <t xml:space="preserve">https://annuairesante.ameli.fr/professionnels-de-sante/recherche/fiche-detaillee-B7c1lDo5MjO7.html</t>
  </si>
  <si>
    <t xml:space="preserve">BENHAIEM</t>
  </si>
  <si>
    <t xml:space="preserve">BENHAIEM JEAN MARC</t>
  </si>
  <si>
    <t xml:space="preserve">19 AVENUE FRANKLIN DELANO ROOSEVELT</t>
  </si>
  <si>
    <t xml:space="preserve">01 42 56 65 65</t>
  </si>
  <si>
    <t xml:space="preserve">https://biocodex6--c.vf.force.com/0014L00000KFSWTQA5</t>
  </si>
  <si>
    <t xml:space="preserve">https://annuairesante.ameli.fr/professionnels-de-sante/recherche/fiche-detaillee-B7c1kTc2MzS7.html</t>
  </si>
  <si>
    <t xml:space="preserve">MORYUSEF</t>
  </si>
  <si>
    <t xml:space="preserve">MORYUSEF DAVID</t>
  </si>
  <si>
    <t xml:space="preserve">52 RUE PIERRE BROSSOLETTE</t>
  </si>
  <si>
    <t xml:space="preserve">RUE PIERRE BROSSOLETTE</t>
  </si>
  <si>
    <t xml:space="preserve">09 83 36 92 95</t>
  </si>
  <si>
    <t xml:space="preserve">https://biocodex6--c.vf.force.com/0014L00000KFsknQAD</t>
  </si>
  <si>
    <t xml:space="preserve">https://annuairesante.ameli.fr/professionnels-de-sante/recherche/fiche-detaillee-CbA1kDE2MDW7.html</t>
  </si>
  <si>
    <t xml:space="preserve">14:00-15:30(R)</t>
  </si>
  <si>
    <t xml:space="preserve">SPECIEL</t>
  </si>
  <si>
    <t xml:space="preserve">SPECIEL PHILIPPE</t>
  </si>
  <si>
    <t xml:space="preserve">35 RUE RIVAY</t>
  </si>
  <si>
    <t xml:space="preserve">01 47 37 17 33</t>
  </si>
  <si>
    <t xml:space="preserve">https://biocodex6--c.vf.force.com/0014L00000KG24gQAD</t>
  </si>
  <si>
    <t xml:space="preserve">TORDJMAN</t>
  </si>
  <si>
    <t xml:space="preserve">TORDJMAN MICHEL</t>
  </si>
  <si>
    <t xml:space="preserve">01 42 25 25 61</t>
  </si>
  <si>
    <t xml:space="preserve">https://biocodex6--c.vf.force.com/0014L00000KG3QZQA1</t>
  </si>
  <si>
    <t xml:space="preserve">https://annuairesante.ameli.fr/professionnels-de-sante/recherche/fiche-detaillee-B7c1kTE0Nzex.html</t>
  </si>
  <si>
    <t xml:space="preserve">SANSON KERMARREC</t>
  </si>
  <si>
    <t xml:space="preserve">SANSON KERMARREC BRIGITTE</t>
  </si>
  <si>
    <t xml:space="preserve">32 BOULEVARD RASPAIL</t>
  </si>
  <si>
    <t xml:space="preserve">BOULEVARD RASPAIL</t>
  </si>
  <si>
    <t xml:space="preserve">01 45 49 02 45</t>
  </si>
  <si>
    <t xml:space="preserve">https://biocodex6--c.vf.force.com/0014L00000KG0QFQA1</t>
  </si>
  <si>
    <t xml:space="preserve">https://annuairesante.ameli.fr/professionnels-de-sante/recherche/fiche-detaillee-B7c1kTo3ODq7.html</t>
  </si>
  <si>
    <t xml:space="preserve">SALZMAN JESSULA</t>
  </si>
  <si>
    <t xml:space="preserve">NANCY</t>
  </si>
  <si>
    <t xml:space="preserve">SALZMAN JESSULA NANCY</t>
  </si>
  <si>
    <t xml:space="preserve">1 AVENUE DE LOWENDAL</t>
  </si>
  <si>
    <t xml:space="preserve">01 45 63 18 43</t>
  </si>
  <si>
    <t xml:space="preserve">https://biocodex6--c.vf.force.com/0014L00000KG1XuQAL</t>
  </si>
  <si>
    <t xml:space="preserve">https://annuairesante.ameli.fr/professionnels-de-sante/recherche/fiche-detaillee-B7c1lDIzMDK2.html</t>
  </si>
  <si>
    <t xml:space="preserve">PANHARD</t>
  </si>
  <si>
    <t xml:space="preserve">PANHARD CLAIRE</t>
  </si>
  <si>
    <t xml:space="preserve">50 RUE DE VERNEUIL</t>
  </si>
  <si>
    <t xml:space="preserve">RUE DE VERNEUIL</t>
  </si>
  <si>
    <t xml:space="preserve">01 42 96 96 00</t>
  </si>
  <si>
    <t xml:space="preserve">https://biocodex6--c.vf.force.com/0014L00000KFuVyQAL</t>
  </si>
  <si>
    <t xml:space="preserve">ANDLAUER HELLOCO</t>
  </si>
  <si>
    <t xml:space="preserve">ANDLAUER HELLOCO ADELINE</t>
  </si>
  <si>
    <t xml:space="preserve">01 46 41 88 88</t>
  </si>
  <si>
    <t xml:space="preserve">https://biocodex6--c.vf.force.com/0014L00000KFQedQAH</t>
  </si>
  <si>
    <t xml:space="preserve">LEVY GEORGES</t>
  </si>
  <si>
    <t xml:space="preserve">01 45 24 30 57</t>
  </si>
  <si>
    <t xml:space="preserve">drglevy@free.fr</t>
  </si>
  <si>
    <t xml:space="preserve">https://biocodex6--c.vf.force.com/0014L00000KFoLRQA1</t>
  </si>
  <si>
    <t xml:space="preserve">https://annuairesante.ameli.fr/professionnels-de-sante/recherche/fiche-detaillee-B7c1kTs1NjS7.html</t>
  </si>
  <si>
    <t xml:space="preserve">BEGHI</t>
  </si>
  <si>
    <t xml:space="preserve">PASCAL</t>
  </si>
  <si>
    <t xml:space="preserve">BEGHI PASCAL</t>
  </si>
  <si>
    <t xml:space="preserve">4 RUE LARGILLIERE</t>
  </si>
  <si>
    <t xml:space="preserve">RUE LARGILLIERE</t>
  </si>
  <si>
    <t xml:space="preserve">01 42 24 03 03 // 01 46 47 79 38</t>
  </si>
  <si>
    <t xml:space="preserve">https://biocodex6--c.vf.force.com/0014L00000KFSHPQA5</t>
  </si>
  <si>
    <t xml:space="preserve">https://annuairesante.ameli.fr/professionnels-de-sante/recherche/fiche-detaillee-B7c1ljM3MDS0.html</t>
  </si>
  <si>
    <t xml:space="preserve">[Timestamp('2023-08-29 15:30:00'), Timestamp('2023-12-19 15:00:00')]</t>
  </si>
  <si>
    <t xml:space="preserve">BOUKASSEM BOURBIA</t>
  </si>
  <si>
    <t xml:space="preserve">SABIHA</t>
  </si>
  <si>
    <t xml:space="preserve">BOUKASSEM BOURBIA SABIHA</t>
  </si>
  <si>
    <t xml:space="preserve">153 AVENUE CHARLES DE GAULLE</t>
  </si>
  <si>
    <t xml:space="preserve">01 46 24 31 29</t>
  </si>
  <si>
    <t xml:space="preserve">https://biocodex6--c.vf.force.com/0014L00000KFVr9QAH</t>
  </si>
  <si>
    <t xml:space="preserve">VOLSTEIN</t>
  </si>
  <si>
    <t xml:space="preserve">VOLSTEIN MICHEL</t>
  </si>
  <si>
    <t xml:space="preserve">5 RUE DE CONSTANTINOPLE</t>
  </si>
  <si>
    <t xml:space="preserve">RUE DE CONSTANTINOPLE</t>
  </si>
  <si>
    <t xml:space="preserve">01 45 22 05 20</t>
  </si>
  <si>
    <t xml:space="preserve">https://biocodex6--c.vf.force.com/0014L00000KG5TaQAL</t>
  </si>
  <si>
    <t xml:space="preserve">https://annuairesante.ameli.fr/professionnels-de-sante/recherche/fiche-detaillee-B7c1kTE0NjSw.html</t>
  </si>
  <si>
    <t xml:space="preserve">ROMESTAN</t>
  </si>
  <si>
    <t xml:space="preserve">ANGELINA</t>
  </si>
  <si>
    <t xml:space="preserve">ROMESTAN ANGELINA</t>
  </si>
  <si>
    <t xml:space="preserve">01 47 05 98 09</t>
  </si>
  <si>
    <t xml:space="preserve">https://biocodex6--c.vf.force.com/0014L00000KG7wVQAT</t>
  </si>
  <si>
    <t xml:space="preserve">https://annuairesante.ameli.fr/professionnels-de-sante/recherche/fiche-detaillee-B7c1mzYxOTaz.html</t>
  </si>
  <si>
    <t xml:space="preserve">13:00-14:00(D)
09:30-13:00(R)</t>
  </si>
  <si>
    <t xml:space="preserve">10:40-14:00(R)</t>
  </si>
  <si>
    <t xml:space="preserve">14:20-19:40(R)</t>
  </si>
  <si>
    <t xml:space="preserve">13:00-14:00(D)
10:00-13:00(R)</t>
  </si>
  <si>
    <t xml:space="preserve">ATMADJIAN</t>
  </si>
  <si>
    <t xml:space="preserve">ATMADJIAN ANAIS</t>
  </si>
  <si>
    <t xml:space="preserve">77 BOULEVARD DE GRENELLE</t>
  </si>
  <si>
    <t xml:space="preserve">01 47 34 32 30</t>
  </si>
  <si>
    <t xml:space="preserve">https://biocodex6--c.vf.force.com/0014L00000KFQpfQAH</t>
  </si>
  <si>
    <t xml:space="preserve">https://annuairesante.ameli.fr/professionnels-de-sante/recherche/fiche-detaillee-B7c1kTA3MzS2.html</t>
  </si>
  <si>
    <t xml:space="preserve">STUDER</t>
  </si>
  <si>
    <t xml:space="preserve">NOEMIE</t>
  </si>
  <si>
    <t xml:space="preserve">STUDER NOEMIE</t>
  </si>
  <si>
    <t xml:space="preserve">01 46 41 82 60 // 06 77 01 76 17</t>
  </si>
  <si>
    <t xml:space="preserve">https://biocodex6--c.vf.force.com/0014L00000KG2nmQAD</t>
  </si>
  <si>
    <t xml:space="preserve">https://annuairesante.ameli.fr/professionnels-de-sante/recherche/fiche-detaillee-B7c1kjA2MzG3.html</t>
  </si>
  <si>
    <t xml:space="preserve">HERVE FLORENCE</t>
  </si>
  <si>
    <t xml:space="preserve">01 46 22 24 95</t>
  </si>
  <si>
    <t xml:space="preserve">https://biocodex6--c.vf.force.com/0014L00000KFikLQAT</t>
  </si>
  <si>
    <t xml:space="preserve">https://annuairesante.ameli.fr/professionnels-de-sante/recherche/fiche-detaillee-B7c1lzYyNzG1.html</t>
  </si>
  <si>
    <t xml:space="preserve">CORNET</t>
  </si>
  <si>
    <t xml:space="preserve">CORNET DOMINIQUE</t>
  </si>
  <si>
    <t xml:space="preserve">01 56 91 08 56</t>
  </si>
  <si>
    <t xml:space="preserve">https://biocodex6--c.vf.force.com/0014L00000KFXWJQA5</t>
  </si>
  <si>
    <t xml:space="preserve">https://annuairesante.ameli.fr/professionnels-de-sante/recherche/fiche-detaillee-B7c1lTI2MzK6.html</t>
  </si>
  <si>
    <t xml:space="preserve">[Timestamp('2023-07-20 12:50:00'), Timestamp('2024-03-08 10:30:00')]</t>
  </si>
  <si>
    <t xml:space="preserve">DESPORTE</t>
  </si>
  <si>
    <t xml:space="preserve">DESPORTE BRIGITTE</t>
  </si>
  <si>
    <t xml:space="preserve">16 PLACE DE VERDUN</t>
  </si>
  <si>
    <t xml:space="preserve">PLACE DE VERUN</t>
  </si>
  <si>
    <t xml:space="preserve">01 79 62 56 46</t>
  </si>
  <si>
    <t xml:space="preserve">https://biocodex6--c.vf.force.com/0014L00000KFzJCQA1</t>
  </si>
  <si>
    <t xml:space="preserve">https://annuairesante.ameli.fr/professionnels-de-sante/recherche/fiche-detaillee-CbA1kjQwMju1.html</t>
  </si>
  <si>
    <t xml:space="preserve">GARIEN</t>
  </si>
  <si>
    <t xml:space="preserve">GARIEN JEAN FRANCOIS</t>
  </si>
  <si>
    <t xml:space="preserve">45 RUE BOILEAU</t>
  </si>
  <si>
    <t xml:space="preserve">01 47 43 06 07</t>
  </si>
  <si>
    <t xml:space="preserve">https://biocodex6--c.vf.force.com/0014L00000KFf6qQAD</t>
  </si>
  <si>
    <t xml:space="preserve">https://annuairesante.ameli.fr/professionnels-de-sante/recherche/fiche-detaillee-B7c1kTY1NjGz.html</t>
  </si>
  <si>
    <t xml:space="preserve">JUNES</t>
  </si>
  <si>
    <t xml:space="preserve">JUNES GILLES</t>
  </si>
  <si>
    <t xml:space="preserve">90 RUE DE L ABBE GROULT</t>
  </si>
  <si>
    <t xml:space="preserve">RUE DE L ABBE GROULT</t>
  </si>
  <si>
    <t xml:space="preserve">01 48 28 61 58</t>
  </si>
  <si>
    <t xml:space="preserve">https://biocodex6--c.vf.force.com/0014L00000KFkPrQAL</t>
  </si>
  <si>
    <t xml:space="preserve">https://annuairesante.ameli.fr/professionnels-de-sante/recherche/fiche-detaillee-B7c1kTQ3Mzq0.html</t>
  </si>
  <si>
    <t xml:space="preserve">TCHERIATCHOUKINE</t>
  </si>
  <si>
    <t xml:space="preserve">TCHERIATCHOUKINE HELENE</t>
  </si>
  <si>
    <t xml:space="preserve">8 RUE AUGUSTE BARTHOLDI</t>
  </si>
  <si>
    <t xml:space="preserve">RUE AUGUSTE BARTHOLDI</t>
  </si>
  <si>
    <t xml:space="preserve">01 47 34 60 08</t>
  </si>
  <si>
    <t xml:space="preserve">https://biocodex6--c.vf.force.com/0014L00000KG3o3QAD</t>
  </si>
  <si>
    <t xml:space="preserve">https://annuairesante.ameli.fr/professionnels-de-sante/recherche/fiche-detaillee-B7c1mzEyNza6.html</t>
  </si>
  <si>
    <t xml:space="preserve">BOUDJEMA</t>
  </si>
  <si>
    <t xml:space="preserve">JAMAIL PASCAL</t>
  </si>
  <si>
    <t xml:space="preserve">BOUDJEMA JAMAIL PASCAL</t>
  </si>
  <si>
    <t xml:space="preserve">69 RUE DE LA TOUR</t>
  </si>
  <si>
    <t xml:space="preserve">01 40 72 71 32</t>
  </si>
  <si>
    <t xml:space="preserve">https://biocodex6--c.vf.force.com/0014L00000KFUEeQAP</t>
  </si>
  <si>
    <t xml:space="preserve">https://annuairesante.ameli.fr/professionnels-de-sante/recherche/fiche-detaillee-B7c1ljo4MTSw.html</t>
  </si>
  <si>
    <t xml:space="preserve">NATHAN ABOU</t>
  </si>
  <si>
    <t xml:space="preserve">NATHAN ABOU CATHERINE</t>
  </si>
  <si>
    <t xml:space="preserve">FIV</t>
  </si>
  <si>
    <t xml:space="preserve">CLI PIERRE CHEREST</t>
  </si>
  <si>
    <t xml:space="preserve">5 RUE PIERRE CHEREST</t>
  </si>
  <si>
    <t xml:space="preserve">RUE PIERRE CHEREST</t>
  </si>
  <si>
    <t xml:space="preserve">01 73 06 02 00</t>
  </si>
  <si>
    <t xml:space="preserve">https://biocodex6--c.vf.force.com/0014L00000KFtJXQA1</t>
  </si>
  <si>
    <t xml:space="preserve">FIEUX</t>
  </si>
  <si>
    <t xml:space="preserve">JACQUES DOMINIQUE</t>
  </si>
  <si>
    <t xml:space="preserve">FIEUX JACQUES DOMINIQUE</t>
  </si>
  <si>
    <t xml:space="preserve">14 AVENUE DU COLONEL BONNET</t>
  </si>
  <si>
    <t xml:space="preserve">01 45 27 05 21</t>
  </si>
  <si>
    <t xml:space="preserve">https://biocodex6--c.vf.force.com/0014L00000KFdcVQAT</t>
  </si>
  <si>
    <t xml:space="preserve">https://annuairesante.ameli.fr/professionnels-de-sante/recherche/fiche-detaillee-B7c1kTcyMzKz.html</t>
  </si>
  <si>
    <t xml:space="preserve">LE BAIL</t>
  </si>
  <si>
    <t xml:space="preserve">LE BAIL ANNE SOPHIE</t>
  </si>
  <si>
    <t xml:space="preserve">https://biocodex6--c.vf.force.com/0014L00000KFlmmQAD</t>
  </si>
  <si>
    <t xml:space="preserve">DRAY</t>
  </si>
  <si>
    <t xml:space="preserve">CHARLES MICHEL</t>
  </si>
  <si>
    <t xml:space="preserve">DRAY CHARLES MICHEL</t>
  </si>
  <si>
    <t xml:space="preserve">28 AVENUE D EYLAU</t>
  </si>
  <si>
    <t xml:space="preserve">01 47 27 79 50</t>
  </si>
  <si>
    <t xml:space="preserve">https://biocodex6--c.vf.force.com/0014L00000KFbKRQA1</t>
  </si>
  <si>
    <t xml:space="preserve">https://annuairesante.ameli.fr/professionnels-de-sante/recherche/fiche-detaillee-B7c1ljUwMzW0.html</t>
  </si>
  <si>
    <t xml:space="preserve">[Timestamp('2024-01-05 11:00:00'), Timestamp('2024-05-30 15:30:00')]</t>
  </si>
  <si>
    <t xml:space="preserve">JEANNIN</t>
  </si>
  <si>
    <t xml:space="preserve">JEANNIN PHILIPPE</t>
  </si>
  <si>
    <t xml:space="preserve">2 RUE DE CIVRY</t>
  </si>
  <si>
    <t xml:space="preserve">RUE DE CIVRY</t>
  </si>
  <si>
    <t xml:space="preserve">01 46 51 02 54</t>
  </si>
  <si>
    <t xml:space="preserve">https://biocodex6--c.vf.force.com/0014L00000KFjvjQAD</t>
  </si>
  <si>
    <t xml:space="preserve">https://annuairesante.ameli.fr/professionnels-de-sante/recherche/fiche-detaillee-B7c1kTQyODOx.html</t>
  </si>
  <si>
    <t xml:space="preserve">ATIENZA</t>
  </si>
  <si>
    <t xml:space="preserve">ATIENZA PATRICK</t>
  </si>
  <si>
    <t xml:space="preserve">https://biocodex6--c.vf.force.com/0014L00000KFQp5QAH</t>
  </si>
  <si>
    <t xml:space="preserve">https://annuairesante.ameli.fr/professionnels-de-sante/recherche/fiche-detaillee-B7c1lTA3ODSy.html</t>
  </si>
  <si>
    <t xml:space="preserve">DAVY</t>
  </si>
  <si>
    <t xml:space="preserve">DAVY CELINE</t>
  </si>
  <si>
    <t xml:space="preserve">01 42 12 02 67</t>
  </si>
  <si>
    <t xml:space="preserve">celine.davy@free.fr</t>
  </si>
  <si>
    <t xml:space="preserve">https://biocodex6--c.vf.force.com/0014L00000KFYD2QAP</t>
  </si>
  <si>
    <t xml:space="preserve">https://annuairesante.ameli.fr/professionnels-de-sante/recherche/fiche-detaillee-B7c1mzE5NTO3.html</t>
  </si>
  <si>
    <t xml:space="preserve">TONNELLIER</t>
  </si>
  <si>
    <t xml:space="preserve">TONNELLIER FREDERIC</t>
  </si>
  <si>
    <t xml:space="preserve">18 RUE GREFFULHE</t>
  </si>
  <si>
    <t xml:space="preserve">01 55 63 90 10</t>
  </si>
  <si>
    <t xml:space="preserve">https://biocodex6--c.vf.force.com/0014L00000KG48mQAD</t>
  </si>
  <si>
    <t xml:space="preserve">https://annuairesante.ameli.fr/professionnels-de-sante/recherche/fiche-detaillee-CbA1kzQwNjO6.html</t>
  </si>
  <si>
    <t xml:space="preserve">LISOVOSKI</t>
  </si>
  <si>
    <t xml:space="preserve">LISOVOSKI FABRICE</t>
  </si>
  <si>
    <t xml:space="preserve">PAIN</t>
  </si>
  <si>
    <t xml:space="preserve">01 41 43 04 50</t>
  </si>
  <si>
    <t xml:space="preserve">https://biocodex6--c.vf.force.com/0014L00000KFobiQAD</t>
  </si>
  <si>
    <t xml:space="preserve">https://annuairesante.ameli.fr/professionnels-de-sante/recherche/fiche-detaillee-CbA1kzQzNza7.html</t>
  </si>
  <si>
    <t xml:space="preserve">06:40-14:00(R)</t>
  </si>
  <si>
    <t xml:space="preserve">DJIAN</t>
  </si>
  <si>
    <t xml:space="preserve">YVES</t>
  </si>
  <si>
    <t xml:space="preserve">DJIAN YVES</t>
  </si>
  <si>
    <t xml:space="preserve">130 BOULEVARD EXELMANS</t>
  </si>
  <si>
    <t xml:space="preserve">01 46 51 02 04</t>
  </si>
  <si>
    <t xml:space="preserve">https://biocodex6--c.vf.force.com/0014L00000KFazBQAT</t>
  </si>
  <si>
    <t xml:space="preserve">https://annuairesante.ameli.fr/professionnels-de-sante/recherche/fiche-detaillee-B7c1lzI3Mjq6.html</t>
  </si>
  <si>
    <t xml:space="preserve">GUENOUN</t>
  </si>
  <si>
    <t xml:space="preserve">GUENOUN GILBERT</t>
  </si>
  <si>
    <t xml:space="preserve">EXP</t>
  </si>
  <si>
    <t xml:space="preserve">66 RUE DE MIROMESNIL</t>
  </si>
  <si>
    <t xml:space="preserve">01 45 62 07 30</t>
  </si>
  <si>
    <t xml:space="preserve">https://biocodex6--c.vf.force.com/0014L00000KFhL4QAL</t>
  </si>
  <si>
    <t xml:space="preserve">GIAOUI</t>
  </si>
  <si>
    <t xml:space="preserve">GIAOUI MARC</t>
  </si>
  <si>
    <t xml:space="preserve">2 AVENUE DE SEGUR</t>
  </si>
  <si>
    <t xml:space="preserve">01 53 59 88 00</t>
  </si>
  <si>
    <t xml:space="preserve">https://biocodex6--c.vf.force.com/0014L00000KFfu0QAD</t>
  </si>
  <si>
    <t xml:space="preserve">ROSS</t>
  </si>
  <si>
    <t xml:space="preserve">ROSS CECILE</t>
  </si>
  <si>
    <t xml:space="preserve">https://biocodex6--c.vf.force.com/0014L00000KFM1HQAX</t>
  </si>
  <si>
    <t xml:space="preserve">https://annuairesante.ameli.fr/professionnels-de-sante/recherche/fiche-detaillee-B7c1kjA1NDK1.html</t>
  </si>
  <si>
    <t xml:space="preserve">LANG</t>
  </si>
  <si>
    <t xml:space="preserve">LANG MARIE PIERRE</t>
  </si>
  <si>
    <t xml:space="preserve">01 30 15 89 22 // 01 45 32 40 76</t>
  </si>
  <si>
    <t xml:space="preserve">https://biocodex6--c.vf.force.com/0014L00000KFltdQAD</t>
  </si>
  <si>
    <t xml:space="preserve">https://annuairesante.ameli.fr/professionnels-de-sante/recherche/fiche-detaillee-B7c1lzUzODuw.html</t>
  </si>
  <si>
    <t xml:space="preserve">14:00-16:00(D)</t>
  </si>
  <si>
    <t xml:space="preserve">BOXELE</t>
  </si>
  <si>
    <t xml:space="preserve">BOXELE REGIS</t>
  </si>
  <si>
    <t xml:space="preserve">34 AVENUE DU GENERAL SARRAIL</t>
  </si>
  <si>
    <t xml:space="preserve">AVENUE DU GENERAL SARRAIL</t>
  </si>
  <si>
    <t xml:space="preserve">01 87 44 24 24</t>
  </si>
  <si>
    <t xml:space="preserve">https://biocodex6--c.vf.force.com/0014L00000KFUgKQAX</t>
  </si>
  <si>
    <t xml:space="preserve">https://annuairesante.ameli.fr/professionnels-de-sante/recherche/fiche-detaillee-B7c1lDYxMjq3.html</t>
  </si>
  <si>
    <t xml:space="preserve">LLEDO</t>
  </si>
  <si>
    <t xml:space="preserve">LLEDO JEAN BERNARD</t>
  </si>
  <si>
    <t xml:space="preserve">44 RUE DE LABORDE</t>
  </si>
  <si>
    <t xml:space="preserve">RUE DE LABORDE</t>
  </si>
  <si>
    <t xml:space="preserve">01 45 22 10 43</t>
  </si>
  <si>
    <t xml:space="preserve">https://biocodex6--c.vf.force.com/0014L00000KFocFQAT</t>
  </si>
  <si>
    <t xml:space="preserve">https://annuairesante.ameli.fr/professionnels-de-sante/recherche/fiche-detaillee-B7c1kTs5NTW7.html</t>
  </si>
  <si>
    <t xml:space="preserve">SHOUKRY</t>
  </si>
  <si>
    <t xml:space="preserve">KAMEL</t>
  </si>
  <si>
    <t xml:space="preserve">SHOUKRY KAMEL</t>
  </si>
  <si>
    <t xml:space="preserve">AND</t>
  </si>
  <si>
    <t xml:space="preserve">171 BOULEVARD MURAT</t>
  </si>
  <si>
    <t xml:space="preserve">BOULEVARD MURAT</t>
  </si>
  <si>
    <t xml:space="preserve">01 45 24 27 27</t>
  </si>
  <si>
    <t xml:space="preserve">https://biocodex6--c.vf.force.com/0014L00000KFg2rQAD</t>
  </si>
  <si>
    <t xml:space="preserve">KANAAN</t>
  </si>
  <si>
    <t xml:space="preserve">KANAAN YANN</t>
  </si>
  <si>
    <t xml:space="preserve">3 VILLA VICTOR HUGO</t>
  </si>
  <si>
    <t xml:space="preserve">VILLA VICTOR HUGO</t>
  </si>
  <si>
    <t xml:space="preserve">01 53 23 94 04</t>
  </si>
  <si>
    <t xml:space="preserve">https://biocodex6--c.vf.force.com/0014L00000KFkVJQA1</t>
  </si>
  <si>
    <t xml:space="preserve">https://annuairesante.ameli.fr/professionnels-de-sante/recherche/fiche-detaillee-B7c1ljUxODu7.html</t>
  </si>
  <si>
    <t xml:space="preserve">KOLLEN</t>
  </si>
  <si>
    <t xml:space="preserve">KOLLEN JEAN MICHEL</t>
  </si>
  <si>
    <t xml:space="preserve">37 BOULEVARD LANNES</t>
  </si>
  <si>
    <t xml:space="preserve">BOULEVARD LANNES</t>
  </si>
  <si>
    <t xml:space="preserve">01 40 72 74 74</t>
  </si>
  <si>
    <t xml:space="preserve">https://biocodex6--c.vf.force.com/0014L00000KFkuGQAT</t>
  </si>
  <si>
    <t xml:space="preserve">MASSEE</t>
  </si>
  <si>
    <t xml:space="preserve">CHARLINE</t>
  </si>
  <si>
    <t xml:space="preserve">MASSEE CHARLINE</t>
  </si>
  <si>
    <t xml:space="preserve">https://biocodex6--c.vf.force.com/0014L00000KGEE8QAP</t>
  </si>
  <si>
    <t xml:space="preserve">[Timestamp('2023-11-15 11:00:00'), Timestamp('2023-12-04 14:30:00')]</t>
  </si>
  <si>
    <t xml:space="preserve">JULIANE</t>
  </si>
  <si>
    <t xml:space="preserve">LUMBROSO JULIANE</t>
  </si>
  <si>
    <t xml:space="preserve">PSYK</t>
  </si>
  <si>
    <t xml:space="preserve">12 RUE DU COMMERCE</t>
  </si>
  <si>
    <t xml:space="preserve">01 45 79 87 25</t>
  </si>
  <si>
    <t xml:space="preserve">https://biocodex6--c.vf.force.com/0014L00000KFp3mQAD</t>
  </si>
  <si>
    <t xml:space="preserve">https://annuairesante.ameli.fr/professionnels-de-sante/recherche/fiche-detaillee-B7c1kTA3Nza3.html</t>
  </si>
  <si>
    <t xml:space="preserve">[Timestamp('2023-07-19 16:00:00'), Timestamp('2024-03-21 13:30:00')]</t>
  </si>
  <si>
    <t xml:space="preserve">SFAR KHATOUNIAN</t>
  </si>
  <si>
    <t xml:space="preserve">SFAR KHATOUNIAN CATHERINE</t>
  </si>
  <si>
    <t xml:space="preserve">12 RUE DESAIX</t>
  </si>
  <si>
    <t xml:space="preserve">01 45 67 39 05</t>
  </si>
  <si>
    <t xml:space="preserve">https://biocodex6--c.vf.force.com/0014L00000KG1uvQAD</t>
  </si>
  <si>
    <t xml:space="preserve">https://annuairesante.ameli.fr/professionnels-de-sante/recherche/fiche-detaillee-B7c1mzE4MDuz.html</t>
  </si>
  <si>
    <t xml:space="preserve">13:00-14:00(D)
08:00-13:00(R)</t>
  </si>
  <si>
    <t xml:space="preserve">14:00-15:00(D)
15:00-20:00(R)</t>
  </si>
  <si>
    <t xml:space="preserve">14:00-20:00(D)</t>
  </si>
  <si>
    <t xml:space="preserve">COHEN SIMON</t>
  </si>
  <si>
    <t xml:space="preserve">https://biocodex6--c.vf.force.com/0014L00000KFX2XQAX</t>
  </si>
  <si>
    <t xml:space="preserve">BERNARD SANDRA</t>
  </si>
  <si>
    <t xml:space="preserve">https://biocodex6--c.vf.force.com/0014L00000KFT4jQAH</t>
  </si>
  <si>
    <t xml:space="preserve">https://annuairesante.ameli.fr/professionnels-de-sante/recherche/fiche-detaillee-B7c1kzA0MDCw.html</t>
  </si>
  <si>
    <t xml:space="preserve">08:45-13:45(R)</t>
  </si>
  <si>
    <t xml:space="preserve">EL BEZ COHEN SCALI</t>
  </si>
  <si>
    <t xml:space="preserve">EL BEZ COHEN SCALI SANDRINE</t>
  </si>
  <si>
    <t xml:space="preserve">NEU
OBS</t>
  </si>
  <si>
    <t xml:space="preserve">123 AVENUE DE WAGRAM</t>
  </si>
  <si>
    <t xml:space="preserve">01 43 14 84 46 // 01 53 68 58 58</t>
  </si>
  <si>
    <t xml:space="preserve">sandrinelbez@hotmail.com</t>
  </si>
  <si>
    <t xml:space="preserve">https://biocodex6--c.vf.force.com/0014L00000KFQ1WQAX</t>
  </si>
  <si>
    <t xml:space="preserve">https://annuairesante.ameli.fr/professionnels-de-sante/recherche/fiche-detaillee-B7c1lTE0NjSx.html</t>
  </si>
  <si>
    <t xml:space="preserve">ROLLAND</t>
  </si>
  <si>
    <t xml:space="preserve">ROLLAND FLORENCE</t>
  </si>
  <si>
    <t xml:space="preserve">01 45 32 44 80</t>
  </si>
  <si>
    <t xml:space="preserve">https://biocodex6--c.vf.force.com/0014L00000KFzrxQAD</t>
  </si>
  <si>
    <t xml:space="preserve">https://annuairesante.ameli.fr/professionnels-de-sante/recherche/fiche-detaillee-B7c1lDc2OTW2.html</t>
  </si>
  <si>
    <t xml:space="preserve">09:40-13:40(R)</t>
  </si>
  <si>
    <t xml:space="preserve">14:40-19:20(R)</t>
  </si>
  <si>
    <t xml:space="preserve">09:40-13:00(D)</t>
  </si>
  <si>
    <t xml:space="preserve">14:40-17:00(R)</t>
  </si>
  <si>
    <t xml:space="preserve">14:30-19:20(R)</t>
  </si>
  <si>
    <t xml:space="preserve">COHEN ROUAH</t>
  </si>
  <si>
    <t xml:space="preserve">COHEN ROUAH DEBORAH</t>
  </si>
  <si>
    <t xml:space="preserve">1 ALLEE CLAUDE MONET</t>
  </si>
  <si>
    <t xml:space="preserve">ALLEE CLAUDE MONET</t>
  </si>
  <si>
    <t xml:space="preserve">09 81 96 61 44</t>
  </si>
  <si>
    <t xml:space="preserve">https://biocodex6--c.vf.force.com/0014L00000KFjp8QAD</t>
  </si>
  <si>
    <t xml:space="preserve">https://annuairesante.ameli.fr/professionnels-de-sante/recherche/fiche-detaillee-CbA1kDMzNDG1.html</t>
  </si>
  <si>
    <t xml:space="preserve">`</t>
  </si>
  <si>
    <t xml:space="preserve">BILLY</t>
  </si>
  <si>
    <t xml:space="preserve">BILLY ISABELLE</t>
  </si>
  <si>
    <t xml:space="preserve">https://biocodex6--c.vf.force.com/0014L00000KFUMlQAP</t>
  </si>
  <si>
    <t xml:space="preserve">https://annuairesante.ameli.fr/professionnels-de-sante/recherche/fiche-detaillee-B7c1lDMzNzK0.html</t>
  </si>
  <si>
    <t xml:space="preserve">14:00-17:00(D)</t>
  </si>
  <si>
    <t xml:space="preserve">DE BERC</t>
  </si>
  <si>
    <t xml:space="preserve">DE BERC HUGUES</t>
  </si>
  <si>
    <t xml:space="preserve">49 RUE DU RANELAGH</t>
  </si>
  <si>
    <t xml:space="preserve">01 42 24 58 88</t>
  </si>
  <si>
    <t xml:space="preserve">https://biocodex6--c.vf.force.com/0014L00000KFZ2IQAX</t>
  </si>
  <si>
    <t xml:space="preserve">BERTEROTTIERE</t>
  </si>
  <si>
    <t xml:space="preserve">BERTEROTTIERE PASCALE</t>
  </si>
  <si>
    <t xml:space="preserve">68 BOULEVARD PASTEUR</t>
  </si>
  <si>
    <t xml:space="preserve">BOULEVARD PASTEUR</t>
  </si>
  <si>
    <t xml:space="preserve">01 43 22 30 09</t>
  </si>
  <si>
    <t xml:space="preserve">https://biocodex6--c.vf.force.com/0014L00000KFT9QQAX</t>
  </si>
  <si>
    <t xml:space="preserve">https://annuairesante.ameli.fr/professionnels-de-sante/recherche/fiche-detaillee-B7c1lDAxOTK1.html</t>
  </si>
  <si>
    <t xml:space="preserve">17:30-19:00(R)</t>
  </si>
  <si>
    <t xml:space="preserve">BERREBY</t>
  </si>
  <si>
    <t xml:space="preserve">BERREBY LAURENT</t>
  </si>
  <si>
    <t xml:space="preserve">21 RUE GALVANI</t>
  </si>
  <si>
    <t xml:space="preserve">RUE GALVANI</t>
  </si>
  <si>
    <t xml:space="preserve">01 40 68 72 03</t>
  </si>
  <si>
    <t xml:space="preserve">https://biocodex6--c.vf.force.com/0014L00000KFSySQAX</t>
  </si>
  <si>
    <t xml:space="preserve">https://annuairesante.ameli.fr/professionnels-de-sante/recherche/fiche-detaillee-B7c1lzs3MjSx.html</t>
  </si>
  <si>
    <t xml:space="preserve">MARIA BACHMEYER</t>
  </si>
  <si>
    <t xml:space="preserve">MARIA BACHMEYER CLAIRE</t>
  </si>
  <si>
    <t xml:space="preserve">DIET</t>
  </si>
  <si>
    <t xml:space="preserve">2 RUE FERDINAND FABRE</t>
  </si>
  <si>
    <t xml:space="preserve">RUE FERDINAND FABRE</t>
  </si>
  <si>
    <t xml:space="preserve">01 48 42 36 94</t>
  </si>
  <si>
    <t xml:space="preserve">https://biocodex6--c.vf.force.com/0014L00000KFpzFQAT</t>
  </si>
  <si>
    <t xml:space="preserve">https://annuairesante.ameli.fr/professionnels-de-sante/recherche/fiche-detaillee-B7c1lzQ0OTOw.html</t>
  </si>
  <si>
    <t xml:space="preserve">DANEL</t>
  </si>
  <si>
    <t xml:space="preserve">DANEL HENRI</t>
  </si>
  <si>
    <t xml:space="preserve">https://biocodex6--c.vf.force.com/0014L00000KFYYgQAP</t>
  </si>
  <si>
    <t xml:space="preserve">[Timestamp('2023-10-17 09:30:00'), Timestamp('2023-11-07 14:30:00'), Timestamp('2023-12-01 14:30:00'), Timestamp('2024-02-20 11:00:00'), Timestamp('2024-06-17 12:30:00')]</t>
  </si>
  <si>
    <t xml:space="preserve">FENECH</t>
  </si>
  <si>
    <t xml:space="preserve">FENECH NOEMIE</t>
  </si>
  <si>
    <t xml:space="preserve">237 RUE DE LA CROIX NIVERT</t>
  </si>
  <si>
    <t xml:space="preserve">01 45 31 21 31</t>
  </si>
  <si>
    <t xml:space="preserve">https://biocodex6--c.vf.force.com/0014L00000KFaJqQAL</t>
  </si>
  <si>
    <t xml:space="preserve">https://annuairesante.ameli.fr/professionnels-de-sante/recherche/fiche-detaillee-B7c1kjE0NzG2.html</t>
  </si>
  <si>
    <t xml:space="preserve">HOUDRET</t>
  </si>
  <si>
    <t xml:space="preserve">JEAN CLAUDE</t>
  </si>
  <si>
    <t xml:space="preserve">HOUDRET JEAN CLAUDE</t>
  </si>
  <si>
    <t xml:space="preserve">94 BOULEVARD FLANDRIN</t>
  </si>
  <si>
    <t xml:space="preserve">01 47 27 27 33</t>
  </si>
  <si>
    <t xml:space="preserve">https://biocodex6--c.vf.force.com/0014L00000KFj4yQAD</t>
  </si>
  <si>
    <t xml:space="preserve">SPITZ CHRISTIAN</t>
  </si>
  <si>
    <t xml:space="preserve">https://biocodex6--c.vf.force.com/0014L00000KG265QAD</t>
  </si>
  <si>
    <t xml:space="preserve">https://annuairesante.ameli.fr/professionnels-de-sante/recherche/fiche-detaillee-B7c1mjExODu2.html</t>
  </si>
  <si>
    <t xml:space="preserve">CARGILL</t>
  </si>
  <si>
    <t xml:space="preserve">CARGILL GUILLAUME</t>
  </si>
  <si>
    <t xml:space="preserve">31 AVENUE DE LA BOURDONNAIS</t>
  </si>
  <si>
    <t xml:space="preserve">01 45 65 42 00</t>
  </si>
  <si>
    <t xml:space="preserve">https://biocodex6--c.vf.force.com/0014L00000KFVSzQAP</t>
  </si>
  <si>
    <t xml:space="preserve">https://annuairesante.ameli.fr/professionnels-de-sante/recherche/fiche-detaillee-B7c1kTs0NzGw.html</t>
  </si>
  <si>
    <t xml:space="preserve">ROGER</t>
  </si>
  <si>
    <t xml:space="preserve">ROGER JEAN LUC</t>
  </si>
  <si>
    <t xml:space="preserve">192 AVENUE VICTOR HUGO</t>
  </si>
  <si>
    <t xml:space="preserve">01 45 04 93 95</t>
  </si>
  <si>
    <t xml:space="preserve">https://biocodex6--c.vf.force.com/0014L00000KFz4OQAT</t>
  </si>
  <si>
    <t xml:space="preserve">https://annuairesante.ameli.fr/professionnels-de-sante/recherche/fiche-detaillee-B7c1ljAwNjC7.html</t>
  </si>
  <si>
    <t xml:space="preserve">MORISSET</t>
  </si>
  <si>
    <t xml:space="preserve">MORISSET DOMINIQUE</t>
  </si>
  <si>
    <t xml:space="preserve">01 42 15 42 15</t>
  </si>
  <si>
    <t xml:space="preserve">https://biocodex6--c.vf.force.com/0014L00000KFsiAQAT</t>
  </si>
  <si>
    <t xml:space="preserve">https://annuairesante.ameli.fr/professionnels-de-sante/recherche/fiche-detaillee-B7c1ljU0MTOw.html</t>
  </si>
  <si>
    <t xml:space="preserve">DANAN</t>
  </si>
  <si>
    <t xml:space="preserve">DANAN DENIS</t>
  </si>
  <si>
    <t xml:space="preserve">13 RUE DE TOCQUEVILLE</t>
  </si>
  <si>
    <t xml:space="preserve">RUE DE TOCQUEVILLE</t>
  </si>
  <si>
    <t xml:space="preserve">01 42 65 06 92</t>
  </si>
  <si>
    <t xml:space="preserve">denisdanan@hotmail.com</t>
  </si>
  <si>
    <t xml:space="preserve">https://biocodex6--c.vf.force.com/0014L00000KFYYHQA5</t>
  </si>
  <si>
    <t xml:space="preserve">https://annuairesante.ameli.fr/professionnels-de-sante/recherche/fiche-detaillee-B7c1ljU1OTqw.html</t>
  </si>
  <si>
    <t xml:space="preserve">BRIDET TARI</t>
  </si>
  <si>
    <t xml:space="preserve">BRIDET TARI CHRISTINE</t>
  </si>
  <si>
    <t xml:space="preserve">01 47 37 06 96</t>
  </si>
  <si>
    <t xml:space="preserve">https://biocodex6--c.vf.force.com/0014L00000KG8EiQAL</t>
  </si>
  <si>
    <t xml:space="preserve">https://annuairesante.ameli.fr/professionnels-de-sante/recherche/fiche-detaillee-CbA1kDE0MDe1.html</t>
  </si>
  <si>
    <t xml:space="preserve">14:30-17:30(D)</t>
  </si>
  <si>
    <t xml:space="preserve">09:00-11:00(D)</t>
  </si>
  <si>
    <t xml:space="preserve">BICLET PHILIPPE</t>
  </si>
  <si>
    <t xml:space="preserve">6 AVENUE DU GENERAL DETRIE</t>
  </si>
  <si>
    <t xml:space="preserve">AVENUE DU GENERAL DETRIE</t>
  </si>
  <si>
    <t xml:space="preserve">01 47 34 32 47</t>
  </si>
  <si>
    <t xml:space="preserve">https://biocodex6--c.vf.force.com/0014L00000KFTI1QAP</t>
  </si>
  <si>
    <t xml:space="preserve">GILBERG</t>
  </si>
  <si>
    <t xml:space="preserve">GILBERG SERGE</t>
  </si>
  <si>
    <t xml:space="preserve">156 RUE DE VAUGIRARD</t>
  </si>
  <si>
    <t xml:space="preserve">01 40 61 54 96 // 01 45 77 91 28</t>
  </si>
  <si>
    <t xml:space="preserve">https://biocodex6--c.vf.force.com/0014L00000KFfwTQAT</t>
  </si>
  <si>
    <t xml:space="preserve">https://annuairesante.ameli.fr/professionnels-de-sante/recherche/fiche-detaillee-B7c1kTU0Njax.html</t>
  </si>
  <si>
    <t xml:space="preserve">CHAUCHARD</t>
  </si>
  <si>
    <t xml:space="preserve">CHAUCHARD CLAUDE</t>
  </si>
  <si>
    <t xml:space="preserve">01 45 04 68 92</t>
  </si>
  <si>
    <t xml:space="preserve">https://biocodex6--c.vf.force.com/0014L00000KFWIFQA5</t>
  </si>
  <si>
    <t xml:space="preserve">https://annuairesante.ameli.fr/professionnels-de-sante/recherche/fiche-detaillee-B7c1kTE4NTK6.html</t>
  </si>
  <si>
    <t xml:space="preserve">ST GERMAIN</t>
  </si>
  <si>
    <t xml:space="preserve">ST GERMAIN PIERRE</t>
  </si>
  <si>
    <t xml:space="preserve">11 RUE DE LA TOUR</t>
  </si>
  <si>
    <t xml:space="preserve">01 45 04 37 19</t>
  </si>
  <si>
    <t xml:space="preserve">CHIAVERINI</t>
  </si>
  <si>
    <t xml:space="preserve">CHIAVERINI PHILIPPE</t>
  </si>
  <si>
    <t xml:space="preserve">52 RUE MADEMOISELLE</t>
  </si>
  <si>
    <t xml:space="preserve">01 48 28 58 97</t>
  </si>
  <si>
    <t xml:space="preserve">https://biocodex6--c.vf.force.com/0014L00000KFWVmQAP</t>
  </si>
  <si>
    <t xml:space="preserve">https://annuairesante.ameli.fr/professionnels-de-sante/recherche/fiche-detaillee-B7c1lDI1MTaz.html</t>
  </si>
  <si>
    <t xml:space="preserve">08:00-12:30(D)</t>
  </si>
  <si>
    <t xml:space="preserve">15:45-19:30(R)</t>
  </si>
  <si>
    <t xml:space="preserve">BINET ORTEGA</t>
  </si>
  <si>
    <t xml:space="preserve">BINET ORTEGA VIRGINIE</t>
  </si>
  <si>
    <t xml:space="preserve">01 40 71 24 59</t>
  </si>
  <si>
    <t xml:space="preserve">https://biocodex6--c.vf.force.com/0014L00000KFUJJQA5</t>
  </si>
  <si>
    <t xml:space="preserve">CHAMPION</t>
  </si>
  <si>
    <t xml:space="preserve">CHAMPION CHRISTIAN</t>
  </si>
  <si>
    <t xml:space="preserve">47 AVENUE PAUL DOUMER</t>
  </si>
  <si>
    <t xml:space="preserve">01 42 73 09 40</t>
  </si>
  <si>
    <t xml:space="preserve">https://biocodex6--c.vf.force.com/0014L00000KFW3mQAH</t>
  </si>
  <si>
    <t xml:space="preserve">https://annuairesante.ameli.fr/professionnels-de-sante/recherche/fiche-detaillee-B7c1lDMzOTSz.html</t>
  </si>
  <si>
    <t xml:space="preserve">VASRAM</t>
  </si>
  <si>
    <t xml:space="preserve">MOUSTAFA</t>
  </si>
  <si>
    <t xml:space="preserve">VASRAM MOUSTAFA</t>
  </si>
  <si>
    <t xml:space="preserve">ACU
HOMEO</t>
  </si>
  <si>
    <t xml:space="preserve">31 RUE DE LA TOUR</t>
  </si>
  <si>
    <t xml:space="preserve">01 42 88 80 90</t>
  </si>
  <si>
    <t xml:space="preserve">https://biocodex6--c.vf.force.com/0014L00000KG4SwQAL</t>
  </si>
  <si>
    <t xml:space="preserve">https://annuairesante.ameli.fr/professionnels-de-sante/recherche/fiche-detaillee-B7c1mzE1ODOz.html</t>
  </si>
  <si>
    <t xml:space="preserve">GARROS</t>
  </si>
  <si>
    <t xml:space="preserve">GARROS SEBASTIEN</t>
  </si>
  <si>
    <t xml:space="preserve">2 VILLA MALAKOFF</t>
  </si>
  <si>
    <t xml:space="preserve">VILLA MALAKOFF</t>
  </si>
  <si>
    <t xml:space="preserve">01 45 05 13 12</t>
  </si>
  <si>
    <t xml:space="preserve">https://biocodex6--c.vf.force.com/0014L00000KFfDSQA1</t>
  </si>
  <si>
    <t xml:space="preserve">MAJOU DE LA DEBUTRIE</t>
  </si>
  <si>
    <t xml:space="preserve">MAJOU DE LA DEBUTRIE ISABELLE</t>
  </si>
  <si>
    <t xml:space="preserve">https://biocodex6--c.vf.force.com/0014L00000KFWcrQAH</t>
  </si>
  <si>
    <t xml:space="preserve">BOUJENAH</t>
  </si>
  <si>
    <t xml:space="preserve">ARRY</t>
  </si>
  <si>
    <t xml:space="preserve">BOUJENAH ARRY</t>
  </si>
  <si>
    <t xml:space="preserve">ECHO
M/O</t>
  </si>
  <si>
    <t xml:space="preserve">https://biocodex6--c.vf.force.com/0014L00000KFUI2QAP</t>
  </si>
  <si>
    <t xml:space="preserve">https://annuairesante.ameli.fr/professionnels-de-sante/recherche/fiche-detaillee-B7c1mjI3OTez.html</t>
  </si>
  <si>
    <t xml:space="preserve">AZUELOS</t>
  </si>
  <si>
    <t xml:space="preserve">AZUELOS ANNIE</t>
  </si>
  <si>
    <t xml:space="preserve">MESO
ACU</t>
  </si>
  <si>
    <t xml:space="preserve">109 RUE ST CHARLES</t>
  </si>
  <si>
    <t xml:space="preserve">01 45 77 81 97</t>
  </si>
  <si>
    <t xml:space="preserve">https://biocodex6--c.vf.force.com/0014L00000KFRC3QAP</t>
  </si>
  <si>
    <t xml:space="preserve">https://annuairesante.ameli.fr/professionnels-de-sante/recherche/fiche-detaillee-B7c1kTcxMTe6.html</t>
  </si>
  <si>
    <t xml:space="preserve">DEMIRCI</t>
  </si>
  <si>
    <t xml:space="preserve">SELMA CHRISTINE</t>
  </si>
  <si>
    <t xml:space="preserve">DEMIRCI SELMA CHRISTINE</t>
  </si>
  <si>
    <t xml:space="preserve">https://biocodex6--c.vf.force.com/0014L00000KFX6gQAH</t>
  </si>
  <si>
    <t xml:space="preserve">CHEVALLIER</t>
  </si>
  <si>
    <t xml:space="preserve">CHEVALLIER OLIVIER</t>
  </si>
  <si>
    <t xml:space="preserve">01 40 72 33 57 // 01 53 10 13 75</t>
  </si>
  <si>
    <t xml:space="preserve">https://biocodex6--c.vf.force.com/0014L00000KFWUoQAP</t>
  </si>
  <si>
    <t xml:space="preserve">https://annuairesante.ameli.fr/professionnels-de-sante/recherche/fiche-detaillee-B7c1lzAwMjq1.html</t>
  </si>
  <si>
    <t xml:space="preserve">CHHIN</t>
  </si>
  <si>
    <t xml:space="preserve">SIRANE</t>
  </si>
  <si>
    <t xml:space="preserve">CHHIN SIRANE</t>
  </si>
  <si>
    <t xml:space="preserve">01 40 63 23 77</t>
  </si>
  <si>
    <t xml:space="preserve">https://biocodex6--c.vf.force.com/0014L00000KFlKkQAL</t>
  </si>
  <si>
    <t xml:space="preserve">LIZON AU CIRE</t>
  </si>
  <si>
    <t xml:space="preserve">VANESSA</t>
  </si>
  <si>
    <t xml:space="preserve">LIZON AU CIRE VANESSA</t>
  </si>
  <si>
    <t xml:space="preserve">5 RUE SURCOUF</t>
  </si>
  <si>
    <t xml:space="preserve">RUE SURCOUF</t>
  </si>
  <si>
    <t xml:space="preserve">01 71 50 55 44</t>
  </si>
  <si>
    <t xml:space="preserve">https://biocodex6--c.vf.force.com/0014L00000KFoucQAD</t>
  </si>
  <si>
    <t xml:space="preserve">https://annuairesante.ameli.fr/professionnels-de-sante/recherche/fiche-detaillee-B7c1lDUzNTG0.html</t>
  </si>
  <si>
    <t xml:space="preserve">LEVY PHILIPPE</t>
  </si>
  <si>
    <t xml:space="preserve">01 47 55 07 77</t>
  </si>
  <si>
    <t xml:space="preserve">https://biocodex6--c.vf.force.com/0014L00000KFoL8QAL</t>
  </si>
  <si>
    <t xml:space="preserve">https://annuairesante.ameli.fr/professionnels-de-sante/recherche/fiche-detaillee-B7c1lDA5ODO7.html</t>
  </si>
  <si>
    <t xml:space="preserve">MENAHEM MILHAU</t>
  </si>
  <si>
    <t xml:space="preserve">MENAHEM MILHAU BRIGITTE</t>
  </si>
  <si>
    <t xml:space="preserve">17 RUE DE LA POMPE</t>
  </si>
  <si>
    <t xml:space="preserve">01 75 50 97 72</t>
  </si>
  <si>
    <t xml:space="preserve">https://biocodex6--c.vf.force.com/0014L00000KGB2hQAH</t>
  </si>
  <si>
    <t xml:space="preserve">https://annuairesante.ameli.fr/professionnels-de-sante/recherche/fiche-detaillee-B7c1lTM1NjC1.html</t>
  </si>
  <si>
    <t xml:space="preserve">CHAMPIER</t>
  </si>
  <si>
    <t xml:space="preserve">CHAMPIER GILLES</t>
  </si>
  <si>
    <t xml:space="preserve">199 RUE DE VAUGIRARD</t>
  </si>
  <si>
    <t xml:space="preserve">01 47 34 50 46</t>
  </si>
  <si>
    <t xml:space="preserve">https://biocodex6--c.vf.force.com/0014L00000KFey7QAD</t>
  </si>
  <si>
    <t xml:space="preserve">https://annuairesante.ameli.fr/professionnels-de-sante/recherche/fiche-detaillee-B7c1kjA4NzC7.html</t>
  </si>
  <si>
    <t xml:space="preserve">RAMBAUD</t>
  </si>
  <si>
    <t xml:space="preserve">RAMBAUD DIDIER</t>
  </si>
  <si>
    <t xml:space="preserve">01 40 72 33 57 // 01 42 88 46 46</t>
  </si>
  <si>
    <t xml:space="preserve">https://biocodex6--c.vf.force.com/0014L00000KFxZOQA1</t>
  </si>
  <si>
    <t xml:space="preserve">https://annuairesante.ameli.fr/professionnels-de-sante/recherche/fiche-detaillee-B7c1ljozNTWz.html</t>
  </si>
  <si>
    <t xml:space="preserve">VACQUIER</t>
  </si>
  <si>
    <t xml:space="preserve">VACQUIER BERNARD</t>
  </si>
  <si>
    <t xml:space="preserve">88 RUE LECOURBE</t>
  </si>
  <si>
    <t xml:space="preserve">01 43 06 92 01</t>
  </si>
  <si>
    <t xml:space="preserve">https://biocodex6--c.vf.force.com/0014L00000KG45UQAT</t>
  </si>
  <si>
    <t xml:space="preserve">https://annuairesante.ameli.fr/professionnels-de-sante/recherche/fiche-detaillee-B7c1lzY3NDaz.html</t>
  </si>
  <si>
    <t xml:space="preserve">09:15-12:30(R)</t>
  </si>
  <si>
    <t xml:space="preserve">MOUTOT</t>
  </si>
  <si>
    <t xml:space="preserve">MOUTOT MAURICE</t>
  </si>
  <si>
    <t xml:space="preserve">68 BOULEVARD DE COURCELLES</t>
  </si>
  <si>
    <t xml:space="preserve">01 47 03 30 90</t>
  </si>
  <si>
    <t xml:space="preserve">https://biocodex6--c.vf.force.com/0014L00000KFszAQAT</t>
  </si>
  <si>
    <t xml:space="preserve">https://annuairesante.ameli.fr/professionnels-de-sante/recherche/fiche-detaillee-B7c1lzY0Mja3.html</t>
  </si>
  <si>
    <t xml:space="preserve">VASSEUR</t>
  </si>
  <si>
    <t xml:space="preserve">GERALDINE</t>
  </si>
  <si>
    <t xml:space="preserve">VASSEUR GERALDINE</t>
  </si>
  <si>
    <t xml:space="preserve">31 RUE TRONCHET</t>
  </si>
  <si>
    <t xml:space="preserve">01 43 87 60 33</t>
  </si>
  <si>
    <t xml:space="preserve">cabinetdrvasseur@gmail.com</t>
  </si>
  <si>
    <t xml:space="preserve">https://biocodex6--c.vf.force.com/0014L00000KG5yJQAT</t>
  </si>
  <si>
    <t xml:space="preserve">https://annuairesante.ameli.fr/professionnels-de-sante/recherche/fiche-detaillee-B7c1kjI3NDq1.html</t>
  </si>
  <si>
    <t xml:space="preserve">[Timestamp('2024-03-12 10:30:00'), Timestamp('2024-03-20 17:30:00')]</t>
  </si>
  <si>
    <t xml:space="preserve">TAKUN</t>
  </si>
  <si>
    <t xml:space="preserve">KHALIL</t>
  </si>
  <si>
    <t xml:space="preserve">TAKUN KHALIL</t>
  </si>
  <si>
    <t xml:space="preserve">8 AVENUE VION WHITCOMB</t>
  </si>
  <si>
    <t xml:space="preserve">AVENUE VION WHITCOMB</t>
  </si>
  <si>
    <t xml:space="preserve">https://biocodex6--c.vf.force.com/0014L00000KG3aeQAD</t>
  </si>
  <si>
    <t xml:space="preserve">https://annuairesante.ameli.fr/professionnels-de-sante/recherche/fiche-detaillee-B7c1lDQ2MTK0.html</t>
  </si>
  <si>
    <t xml:space="preserve">CHOUKROUN</t>
  </si>
  <si>
    <t xml:space="preserve">CHOUKROUN DENIS</t>
  </si>
  <si>
    <t xml:space="preserve">01 40 55 00 11</t>
  </si>
  <si>
    <t xml:space="preserve">https://biocodex6--c.vf.force.com/0014L00000KFWjbQAH</t>
  </si>
  <si>
    <t xml:space="preserve">https://annuairesante.ameli.fr/professionnels-de-sante/recherche/fiche-detaillee-B7c1lTI2MjS0.html</t>
  </si>
  <si>
    <t xml:space="preserve">14:30-20:00(R)</t>
  </si>
  <si>
    <t xml:space="preserve">LECART</t>
  </si>
  <si>
    <t xml:space="preserve">LECART SYLVIE</t>
  </si>
  <si>
    <t xml:space="preserve">233 RUE DE LA CROIX NIVERT</t>
  </si>
  <si>
    <t xml:space="preserve">01 45 33 40 99</t>
  </si>
  <si>
    <t xml:space="preserve">https://biocodex6--c.vf.force.com/0014L00000KFnBgQAL</t>
  </si>
  <si>
    <t xml:space="preserve">WISSA</t>
  </si>
  <si>
    <t xml:space="preserve">WISSA JEAN LOUIS</t>
  </si>
  <si>
    <t xml:space="preserve">32 BOULEVARD DE VAUGIRARD</t>
  </si>
  <si>
    <t xml:space="preserve">01 43 36 07 61</t>
  </si>
  <si>
    <t xml:space="preserve">https://biocodex6--c.vf.force.com/0014L00000KG6KZQA1</t>
  </si>
  <si>
    <t xml:space="preserve">https://annuairesante.ameli.fr/professionnels-de-sante/recherche/fiche-detaillee-B7c1lDQ3NDK3.html</t>
  </si>
  <si>
    <t xml:space="preserve">NEVI</t>
  </si>
  <si>
    <t xml:space="preserve">CHRISTILLA</t>
  </si>
  <si>
    <t xml:space="preserve">NEVI CHRISTILLA</t>
  </si>
  <si>
    <t xml:space="preserve">GY
MED</t>
  </si>
  <si>
    <t xml:space="preserve">01 47 27 55 55</t>
  </si>
  <si>
    <t xml:space="preserve">https://biocodex6--c.vf.force.com/0014L00000KFbHsQAL</t>
  </si>
  <si>
    <t xml:space="preserve">https://annuairesante.ameli.fr/professionnels-de-sante/recherche/fiche-detaillee-B7c1mzEzMDG7.html</t>
  </si>
  <si>
    <t xml:space="preserve">KADOUCH</t>
  </si>
  <si>
    <t xml:space="preserve">KADOUCH BENJAMIN</t>
  </si>
  <si>
    <t xml:space="preserve">105 RUE DE COURCELLES</t>
  </si>
  <si>
    <t xml:space="preserve">09 67 17 86 47</t>
  </si>
  <si>
    <t xml:space="preserve">https://biocodex6--c.vf.force.com/0014L00000KFiNlQAL</t>
  </si>
  <si>
    <t xml:space="preserve">https://annuairesante.ameli.fr/professionnels-de-sante/recherche/fiche-detaillee-B7c1kjExODO6.html</t>
  </si>
  <si>
    <t xml:space="preserve">KANGA</t>
  </si>
  <si>
    <t xml:space="preserve">KANGA YVES</t>
  </si>
  <si>
    <t xml:space="preserve">87 BOULEVARD DE COURCELLES</t>
  </si>
  <si>
    <t xml:space="preserve">01 44 40 08 04</t>
  </si>
  <si>
    <t xml:space="preserve">https://biocodex6--c.vf.force.com/0014L00000KFiD7QAL</t>
  </si>
  <si>
    <t xml:space="preserve">https://annuairesante.ameli.fr/professionnels-de-sante/recherche/fiche-detaillee-B7c1lDszMzKw.html</t>
  </si>
  <si>
    <t xml:space="preserve">ANGLADE</t>
  </si>
  <si>
    <t xml:space="preserve">ANGLADE CAROLE</t>
  </si>
  <si>
    <t xml:space="preserve">11 RUE DE LA SOURCE</t>
  </si>
  <si>
    <t xml:space="preserve">RUE DE LA SOURCE</t>
  </si>
  <si>
    <t xml:space="preserve">01 53 92 83 00</t>
  </si>
  <si>
    <t xml:space="preserve">https://biocodex6--c.vf.force.com/0014L00000KFQkMQAX</t>
  </si>
  <si>
    <t xml:space="preserve">BILLOT</t>
  </si>
  <si>
    <t xml:space="preserve">BILLOT JEAN PAUL</t>
  </si>
  <si>
    <t xml:space="preserve">https://biocodex6--c.vf.force.com/0014L00000KFTKTQA5</t>
  </si>
  <si>
    <t xml:space="preserve">ADAME</t>
  </si>
  <si>
    <t xml:space="preserve">ADAME PHILIPPE</t>
  </si>
  <si>
    <t xml:space="preserve">2 VILLA MONCEAU</t>
  </si>
  <si>
    <t xml:space="preserve">01 40 54 99 19</t>
  </si>
  <si>
    <t xml:space="preserve">https://biocodex6--c.vf.force.com/0014L00000KFPGCQA5</t>
  </si>
  <si>
    <t xml:space="preserve">https://annuairesante.ameli.fr/professionnels-de-sante/recherche/fiche-detaillee-B7c1ljA5MDCy.html</t>
  </si>
  <si>
    <t xml:space="preserve">SPYCHALA</t>
  </si>
  <si>
    <t xml:space="preserve">CEDRIC</t>
  </si>
  <si>
    <t xml:space="preserve">SPYCHALA CEDRIC</t>
  </si>
  <si>
    <t xml:space="preserve">ADD</t>
  </si>
  <si>
    <t xml:space="preserve">4 RUE DU PIC DE BARRETTE</t>
  </si>
  <si>
    <t xml:space="preserve">RUE DU PIC DE BARRETTE</t>
  </si>
  <si>
    <t xml:space="preserve">09 81 99 57 64</t>
  </si>
  <si>
    <t xml:space="preserve">https://biocodex6--c.vf.force.com/0014L00000KFPuAQAX</t>
  </si>
  <si>
    <t xml:space="preserve">https://annuairesante.ameli.fr/professionnels-de-sante/recherche/fiche-detaillee-B7c1mzY2OTW7.html</t>
  </si>
  <si>
    <t xml:space="preserve">GRAUZAM REBOT</t>
  </si>
  <si>
    <t xml:space="preserve">GRAUZAM REBOT GERALDINE</t>
  </si>
  <si>
    <t xml:space="preserve">15 RUE DE SURENE</t>
  </si>
  <si>
    <t xml:space="preserve">RUE DE SURENE</t>
  </si>
  <si>
    <t xml:space="preserve">01 47 42 62 00 // 01 43 59 35 15</t>
  </si>
  <si>
    <t xml:space="preserve">https://biocodex6--c.vf.force.com/0014L00000KFeFeQAL</t>
  </si>
  <si>
    <t xml:space="preserve">https://annuairesante.ameli.fr/professionnels-de-sante/recherche/fiche-detaillee-B7c1mzY1NDa6.html</t>
  </si>
  <si>
    <t xml:space="preserve">VUILLEMIN MASSIE</t>
  </si>
  <si>
    <t xml:space="preserve">VUILLEMIN MASSIE LUCIE</t>
  </si>
  <si>
    <t xml:space="preserve">59 RUE DE VARENNE</t>
  </si>
  <si>
    <t xml:space="preserve">RUE DE VARENNE</t>
  </si>
  <si>
    <t xml:space="preserve">01 44 49 93 93</t>
  </si>
  <si>
    <t xml:space="preserve">https://biocodex6--c.vf.force.com/0014L00000KG6kyQAD</t>
  </si>
  <si>
    <t xml:space="preserve">DELAFONTAINE</t>
  </si>
  <si>
    <t xml:space="preserve">DELAFONTAINE DIDIER</t>
  </si>
  <si>
    <t xml:space="preserve">01 45 03 15 06 // 01 40 72 33 33</t>
  </si>
  <si>
    <t xml:space="preserve">https://biocodex6--c.vf.force.com/0014L00000KFZc3QAH</t>
  </si>
  <si>
    <t xml:space="preserve">https://annuairesante.ameli.fr/professionnels-de-sante/recherche/fiche-detaillee-B7c1lTI5Mja7.html</t>
  </si>
  <si>
    <t xml:space="preserve">BITBOL DJIAN</t>
  </si>
  <si>
    <t xml:space="preserve">BITBOL DJIAN AUDREY</t>
  </si>
  <si>
    <t xml:space="preserve">108 RUE DE LONGCHAMP</t>
  </si>
  <si>
    <t xml:space="preserve">07 67 76 55 31</t>
  </si>
  <si>
    <t xml:space="preserve">https://biocodex6--c.vf.force.com/0014L00000KFUMDQA5</t>
  </si>
  <si>
    <t xml:space="preserve">HURTAUD</t>
  </si>
  <si>
    <t xml:space="preserve">HURTAUD NATHALIE</t>
  </si>
  <si>
    <t xml:space="preserve">44 AVENUE THEOPHILE GAUTIER</t>
  </si>
  <si>
    <t xml:space="preserve">01 45 20 45 06</t>
  </si>
  <si>
    <t xml:space="preserve">https://biocodex6--c.vf.force.com/0014L00000KGAHRQA5</t>
  </si>
  <si>
    <t xml:space="preserve">https://annuairesante.ameli.fr/professionnels-de-sante/recherche/fiche-detaillee-B7c1mzY0NDC7.html</t>
  </si>
  <si>
    <t xml:space="preserve">09:00-12:00(R)
13:30-14:00(R)</t>
  </si>
  <si>
    <t xml:space="preserve">09:40-12:00(R)
13:30-14:00(R)</t>
  </si>
  <si>
    <t xml:space="preserve">09:00-12:00(D)
13:30-14:00(R)</t>
  </si>
  <si>
    <t xml:space="preserve">09:00-12:30(R)
13:30-14:00(R)</t>
  </si>
  <si>
    <t xml:space="preserve">AMIABLE</t>
  </si>
  <si>
    <t xml:space="preserve">AMIABLE HERVE</t>
  </si>
  <si>
    <t xml:space="preserve">37 RUE AMPERE</t>
  </si>
  <si>
    <t xml:space="preserve">01 42 67 16 58</t>
  </si>
  <si>
    <t xml:space="preserve">https://biocodex6--c.vf.force.com/0014L00000KFQL1QAP</t>
  </si>
  <si>
    <t xml:space="preserve">BAMMOUNE</t>
  </si>
  <si>
    <t xml:space="preserve">ZAHRA</t>
  </si>
  <si>
    <t xml:space="preserve">BAMMOUNE ZAHRA</t>
  </si>
  <si>
    <t xml:space="preserve">https://biocodex6--c.vf.force.com/0014L00000KFVnnQAH</t>
  </si>
  <si>
    <t xml:space="preserve">BOURET</t>
  </si>
  <si>
    <t xml:space="preserve">BOURET JEAN MARC</t>
  </si>
  <si>
    <t xml:space="preserve">06 16 01 68 31 // 01 45 04 46 38</t>
  </si>
  <si>
    <t xml:space="preserve">https://biocodex6--c.vf.force.com/0014L00000KFUOaQAP</t>
  </si>
  <si>
    <t xml:space="preserve">https://annuairesante.ameli.fr/professionnels-de-sante/recherche/fiche-detaillee-B7c1lzUyNDC7.html</t>
  </si>
  <si>
    <t xml:space="preserve">[Timestamp('2023-07-20 09:00:00'), Timestamp('2024-01-10 15:30:00')]</t>
  </si>
  <si>
    <t xml:space="preserve">DE KERGUENEC</t>
  </si>
  <si>
    <t xml:space="preserve">DE KERGUENEC JENNIFER</t>
  </si>
  <si>
    <t xml:space="preserve">3 SQUARE THEODORE JUDLIN</t>
  </si>
  <si>
    <t xml:space="preserve">SQUARE THEODORE JUDLIN</t>
  </si>
  <si>
    <t xml:space="preserve">01 40 65 05 33</t>
  </si>
  <si>
    <t xml:space="preserve">https://biocodex6--c.vf.force.com/0014L00000KFZ7qQAH</t>
  </si>
  <si>
    <t xml:space="preserve">LAMY VERONIQUE</t>
  </si>
  <si>
    <t xml:space="preserve">27 RUE CURNONSKY</t>
  </si>
  <si>
    <t xml:space="preserve">RUE CURNONSKY</t>
  </si>
  <si>
    <t xml:space="preserve">01 48 88 07 28</t>
  </si>
  <si>
    <t xml:space="preserve">https://biocodex6--c.vf.force.com/0014L00000KFoIyQAL</t>
  </si>
  <si>
    <t xml:space="preserve">SABA</t>
  </si>
  <si>
    <t xml:space="preserve">SABA MICHEL</t>
  </si>
  <si>
    <t xml:space="preserve">01 40 67 93 93 // 01 45 00 70 61</t>
  </si>
  <si>
    <t xml:space="preserve">https://biocodex6--c.vf.force.com/0014L00000KG00YQAT</t>
  </si>
  <si>
    <t xml:space="preserve">https://annuairesante.ameli.fr/professionnels-de-sante/recherche/fiche-detaillee-B7c1kTo5Mjqz.html</t>
  </si>
  <si>
    <t xml:space="preserve">LAHAYE PEREZ</t>
  </si>
  <si>
    <t xml:space="preserve">LAHAYE PEREZ ELODIE</t>
  </si>
  <si>
    <t xml:space="preserve">5 RUE JACQUES MAWAS</t>
  </si>
  <si>
    <t xml:space="preserve">RUE JACQUES MAWAS</t>
  </si>
  <si>
    <t xml:space="preserve">01 56 36 14 98</t>
  </si>
  <si>
    <t xml:space="preserve">https://biocodex6--c.vf.force.com/0014L00000KFlZxQAL</t>
  </si>
  <si>
    <t xml:space="preserve">https://annuairesante.ameli.fr/professionnels-de-sante/recherche/fiche-detaillee-B7c1mzE2NTS0.html</t>
  </si>
  <si>
    <t xml:space="preserve">GIRARD STEIN</t>
  </si>
  <si>
    <t xml:space="preserve">GIRARD STEIN LAURA</t>
  </si>
  <si>
    <t xml:space="preserve">175 RUE DE LA POMPE</t>
  </si>
  <si>
    <t xml:space="preserve">01 89 16 67 76</t>
  </si>
  <si>
    <t xml:space="preserve">https://biocodex6--c.vf.force.com/0014L00000KFNPgQAP</t>
  </si>
  <si>
    <t xml:space="preserve">DE FRESCHEVILLE</t>
  </si>
  <si>
    <t xml:space="preserve">DE FRESCHEVILLE FREDERIQUE</t>
  </si>
  <si>
    <t xml:space="preserve">https://biocodex6--c.vf.force.com/0014L00000KG3BLQA1</t>
  </si>
  <si>
    <t xml:space="preserve">TAIFOR</t>
  </si>
  <si>
    <t xml:space="preserve">TAIFOR FATIMA</t>
  </si>
  <si>
    <t xml:space="preserve">19 RUE VIGNON</t>
  </si>
  <si>
    <t xml:space="preserve">01 47 42 05 84</t>
  </si>
  <si>
    <t xml:space="preserve">https://biocodex6--c.vf.force.com/0014L00000KG3F0QAL</t>
  </si>
  <si>
    <t xml:space="preserve">LE BIDOIS</t>
  </si>
  <si>
    <t xml:space="preserve">LE BIDOIS JEROME</t>
  </si>
  <si>
    <t xml:space="preserve">31 AVENUE DE LOWENDAL</t>
  </si>
  <si>
    <t xml:space="preserve">01 40 44 39 46</t>
  </si>
  <si>
    <t xml:space="preserve">https://biocodex6--c.vf.force.com/0014L00000KFmatQAD</t>
  </si>
  <si>
    <t xml:space="preserve">https://annuairesante.ameli.fr/professionnels-de-sante/recherche/fiche-detaillee-B7c1lTM4NDKw.html</t>
  </si>
  <si>
    <t xml:space="preserve">LACANT</t>
  </si>
  <si>
    <t xml:space="preserve">LACANT FRANCOIS</t>
  </si>
  <si>
    <t xml:space="preserve">25 RUE DE LA CROIX NIVERT</t>
  </si>
  <si>
    <t xml:space="preserve">01 47 83 72 45</t>
  </si>
  <si>
    <t xml:space="preserve">https://biocodex6--c.vf.force.com/0014L00000KFlFTQA1</t>
  </si>
  <si>
    <t xml:space="preserve">https://annuairesante.ameli.fr/professionnels-de-sante/recherche/fiche-detaillee-B7c1kToxMDGz.html</t>
  </si>
  <si>
    <t xml:space="preserve">RAFAL</t>
  </si>
  <si>
    <t xml:space="preserve">RAFAL SERGE</t>
  </si>
  <si>
    <t xml:space="preserve">11 CHAUSSEE DE LA MUETTE</t>
  </si>
  <si>
    <t xml:space="preserve">CHAUSSEE DE LA MUETTE</t>
  </si>
  <si>
    <t xml:space="preserve">01 55 25 01 67</t>
  </si>
  <si>
    <t xml:space="preserve">https://biocodex6--c.vf.force.com/0014L00000KFxT3QAL</t>
  </si>
  <si>
    <t xml:space="preserve">https://annuairesante.ameli.fr/professionnels-de-sante/recherche/fiche-detaillee-B7c1kTI0OTa1.html</t>
  </si>
  <si>
    <t xml:space="preserve">NIZARD ALEXIS</t>
  </si>
  <si>
    <t xml:space="preserve">https://biocodex6--c.vf.force.com/0014L00000KG7wiQAD</t>
  </si>
  <si>
    <t xml:space="preserve">https://annuairesante.ameli.fr/professionnels-de-sante/recherche/fiche-detaillee-B7c1lTY1MTa3.html</t>
  </si>
  <si>
    <t xml:space="preserve">CHASSET OMNES</t>
  </si>
  <si>
    <t xml:space="preserve">CHASSET OMNES SOPHIE</t>
  </si>
  <si>
    <t xml:space="preserve">01 46 22 01 18</t>
  </si>
  <si>
    <t xml:space="preserve">sophie.omnes@wanadoo.fr</t>
  </si>
  <si>
    <t xml:space="preserve">https://biocodex6--c.vf.force.com/0014L00000KFfQyQAL</t>
  </si>
  <si>
    <t xml:space="preserve">[Timestamp('2024-03-01 13:00:00'), Timestamp('2024-03-05 10:30:00')]</t>
  </si>
  <si>
    <t xml:space="preserve">LEGRAIN</t>
  </si>
  <si>
    <t xml:space="preserve">LEGRAIN YANN</t>
  </si>
  <si>
    <t xml:space="preserve">114 AVENUE MOZART</t>
  </si>
  <si>
    <t xml:space="preserve">01 45 25 08 82</t>
  </si>
  <si>
    <t xml:space="preserve">https://biocodex6--c.vf.force.com/0014L00000KFmCnQAL</t>
  </si>
  <si>
    <t xml:space="preserve">https://annuairesante.ameli.fr/professionnels-de-sante/recherche/fiche-detaillee-B7c1mzY5MTS1.html</t>
  </si>
  <si>
    <t xml:space="preserve">10:15-12:30(R)</t>
  </si>
  <si>
    <t xml:space="preserve">09:10-12:30(R)</t>
  </si>
  <si>
    <t xml:space="preserve">ELOUAER BLANC</t>
  </si>
  <si>
    <t xml:space="preserve">ELOUAER BLANC LISA</t>
  </si>
  <si>
    <t xml:space="preserve">https://biocodex6--c.vf.force.com/0014L00000KFcXeQAL</t>
  </si>
  <si>
    <t xml:space="preserve">https://annuairesante.ameli.fr/professionnels-de-sante/recherche/fiche-detaillee-B7c1mjA0Mzu7.html</t>
  </si>
  <si>
    <t xml:space="preserve">PORTES</t>
  </si>
  <si>
    <t xml:space="preserve">PORTES JEAN LOUIS</t>
  </si>
  <si>
    <t xml:space="preserve">24 RUE CARDINET</t>
  </si>
  <si>
    <t xml:space="preserve">01 40 54 90 40</t>
  </si>
  <si>
    <t xml:space="preserve">https://biocodex6--c.vf.force.com/0014L00000KFwgeQAD</t>
  </si>
  <si>
    <t xml:space="preserve">https://annuairesante.ameli.fr/professionnels-de-sante/recherche/fiche-detaillee-B7c1lzMxODO7.html</t>
  </si>
  <si>
    <t xml:space="preserve">DEIS</t>
  </si>
  <si>
    <t xml:space="preserve">DEIS STEPHANIE</t>
  </si>
  <si>
    <t xml:space="preserve">21 RUE DE CHAZELLES</t>
  </si>
  <si>
    <t xml:space="preserve">RUE DE CHAZELLES</t>
  </si>
  <si>
    <t xml:space="preserve">01 48 88 26 60</t>
  </si>
  <si>
    <t xml:space="preserve">drstephaniedeis@gmail.com</t>
  </si>
  <si>
    <t xml:space="preserve">https://biocodex6--c.vf.force.com/0014L00000KFWChQAP</t>
  </si>
  <si>
    <t xml:space="preserve">BEKOV</t>
  </si>
  <si>
    <t xml:space="preserve">KHAMZAT</t>
  </si>
  <si>
    <t xml:space="preserve">BEKOV KHAMZAT</t>
  </si>
  <si>
    <t xml:space="preserve">35 AVENUE D EYLAU</t>
  </si>
  <si>
    <t xml:space="preserve">01 47 27 18 08</t>
  </si>
  <si>
    <t xml:space="preserve">https://biocodex6--c.vf.force.com/0014L00000KFSZqQAP</t>
  </si>
  <si>
    <t xml:space="preserve">https://annuairesante.ameli.fr/professionnels-de-sante/recherche/fiche-detaillee-B7c1mzE4MjO0.html</t>
  </si>
  <si>
    <t xml:space="preserve">HAICAULT DE LA REGONTAIS</t>
  </si>
  <si>
    <t xml:space="preserve">GHISLAIN</t>
  </si>
  <si>
    <t xml:space="preserve">HAICAULT DE LA REGONTAIS GHISLAIN</t>
  </si>
  <si>
    <t xml:space="preserve">9 RUE DE SIAM</t>
  </si>
  <si>
    <t xml:space="preserve">RUE DE SIAM</t>
  </si>
  <si>
    <t xml:space="preserve">01 40 72 72 01</t>
  </si>
  <si>
    <t xml:space="preserve">https://biocodex6--c.vf.force.com/0014L00000KFi3XQAT</t>
  </si>
  <si>
    <t xml:space="preserve">https://annuairesante.ameli.fr/professionnels-de-sante/recherche/fiche-detaillee-B7c1lzA0Mzex.html</t>
  </si>
  <si>
    <t xml:space="preserve">10:30-14:00(D)</t>
  </si>
  <si>
    <t xml:space="preserve">14:00-15:00(D)
16:00-19:00(R)</t>
  </si>
  <si>
    <t xml:space="preserve">MENARD</t>
  </si>
  <si>
    <t xml:space="preserve">MARIE NOELLE</t>
  </si>
  <si>
    <t xml:space="preserve">MENARD MARIE NOELLE</t>
  </si>
  <si>
    <t xml:space="preserve">2 SQUARE MIGNOT</t>
  </si>
  <si>
    <t xml:space="preserve">SQUARE MIGNOT</t>
  </si>
  <si>
    <t xml:space="preserve">01 47 55 07 70</t>
  </si>
  <si>
    <t xml:space="preserve">https://biocodex6--c.vf.force.com/0014L00000KFrK9QAL</t>
  </si>
  <si>
    <t xml:space="preserve">https://annuairesante.ameli.fr/professionnels-de-sante/recherche/fiche-detaillee-B7c1lzE1Nzez.html</t>
  </si>
  <si>
    <t xml:space="preserve">SOUSSAN</t>
  </si>
  <si>
    <t xml:space="preserve">SOUSSAN MICHEL</t>
  </si>
  <si>
    <t xml:space="preserve">7 RUE YVON VILLARCEAU</t>
  </si>
  <si>
    <t xml:space="preserve">RUE YVON VILLARCEAU</t>
  </si>
  <si>
    <t xml:space="preserve">01 40 08 55 55</t>
  </si>
  <si>
    <t xml:space="preserve">https://biocodex6--c.vf.force.com/0014L00000KG3C7QAL</t>
  </si>
  <si>
    <t xml:space="preserve">https://annuairesante.ameli.fr/professionnels-de-sante/recherche/fiche-detaillee-B7c1mzA4MDq2.html</t>
  </si>
  <si>
    <t xml:space="preserve">08:45-13:30(D)</t>
  </si>
  <si>
    <t xml:space="preserve">DEPAUW</t>
  </si>
  <si>
    <t xml:space="preserve">DEPAUW DOMINIQUE</t>
  </si>
  <si>
    <t xml:space="preserve">17 RUE MICHEL ANGE</t>
  </si>
  <si>
    <t xml:space="preserve">01 45 24 04 75</t>
  </si>
  <si>
    <t xml:space="preserve">https://biocodex6--c.vf.force.com/0014L00000KFaGkQAL</t>
  </si>
  <si>
    <t xml:space="preserve">https://annuairesante.ameli.fr/professionnels-de-sante/recherche/fiche-detaillee-B7c1kTQ5NTe0.html</t>
  </si>
  <si>
    <t xml:space="preserve">[Timestamp('2023-07-11 17:00:00'), Timestamp('2024-01-10 14:00:00')]</t>
  </si>
  <si>
    <t xml:space="preserve">BLONDEEL</t>
  </si>
  <si>
    <t xml:space="preserve">BLONDEEL DAVID</t>
  </si>
  <si>
    <t xml:space="preserve">https://biocodex6--c.vf.force.com/0014L00000KFUW7QAP</t>
  </si>
  <si>
    <t xml:space="preserve">PETIT LAURENT</t>
  </si>
  <si>
    <t xml:space="preserve">01 44 01 00 50</t>
  </si>
  <si>
    <t xml:space="preserve">laurentpetit1312@gmail.com</t>
  </si>
  <si>
    <t xml:space="preserve">https://biocodex6--c.vf.force.com/0014L00000KFw1PQAT</t>
  </si>
  <si>
    <t xml:space="preserve">https://annuairesante.ameli.fr/professionnels-de-sante/recherche/fiche-detaillee-B7c1lTExMzW3.html</t>
  </si>
  <si>
    <t xml:space="preserve">[Timestamp('2023-09-13 09:30:00'), Timestamp('2023-11-28 09:30:00'), Timestamp('2024-03-12 15:00:00')]</t>
  </si>
  <si>
    <t xml:space="preserve">PECQUEUR HOBEIKA</t>
  </si>
  <si>
    <t xml:space="preserve">PECQUEUR HOBEIKA VALERIE</t>
  </si>
  <si>
    <t xml:space="preserve">4 RUE LINCOLN</t>
  </si>
  <si>
    <t xml:space="preserve">01 40 74 05 88</t>
  </si>
  <si>
    <t xml:space="preserve">https://biocodex6--c.vf.force.com/0014L00000KFvT2QAL</t>
  </si>
  <si>
    <t xml:space="preserve">PERRIN MARIE PIERRE</t>
  </si>
  <si>
    <t xml:space="preserve">01 43 92 21 23</t>
  </si>
  <si>
    <t xml:space="preserve">RECOULES ARCHE</t>
  </si>
  <si>
    <t xml:space="preserve">RECOULES ARCHE AUDE</t>
  </si>
  <si>
    <t xml:space="preserve">11 AVENUE D EYLAU</t>
  </si>
  <si>
    <t xml:space="preserve">01 45 53 80 43</t>
  </si>
  <si>
    <t xml:space="preserve">https://biocodex6--c.vf.force.com/0014L00000KFyNGQA1</t>
  </si>
  <si>
    <t xml:space="preserve">https://annuairesante.ameli.fr/professionnels-de-sante/recherche/fiche-detaillee-B7c1mzYyMjqx.html</t>
  </si>
  <si>
    <t xml:space="preserve">14:30-17:30(R)</t>
  </si>
  <si>
    <t xml:space="preserve">BOUKOBZA</t>
  </si>
  <si>
    <t xml:space="preserve">BOUKOBZA CAROLE</t>
  </si>
  <si>
    <t xml:space="preserve">01 45 22 01 10</t>
  </si>
  <si>
    <t xml:space="preserve">https://biocodex6--c.vf.force.com/0014L00000KGDFbQAP</t>
  </si>
  <si>
    <t xml:space="preserve">BAILLARGEAT</t>
  </si>
  <si>
    <t xml:space="preserve">BAILLARGEAT MARC</t>
  </si>
  <si>
    <t xml:space="preserve">28 PLACE ST FERDINAND</t>
  </si>
  <si>
    <t xml:space="preserve">PLACE ST FERDINAND</t>
  </si>
  <si>
    <t xml:space="preserve">01 44 09 90 90</t>
  </si>
  <si>
    <t xml:space="preserve">https://biocodex6--c.vf.force.com/0014L00000KFRL7QAP</t>
  </si>
  <si>
    <t xml:space="preserve">https://annuairesante.ameli.fr/professionnels-de-sante/recherche/fiche-detaillee-B7c1lzc3NTK1.html</t>
  </si>
  <si>
    <t xml:space="preserve">HANAU JAMA</t>
  </si>
  <si>
    <t xml:space="preserve">HANAU JAMA CORINNE</t>
  </si>
  <si>
    <t xml:space="preserve">21 RUE LAUGIER</t>
  </si>
  <si>
    <t xml:space="preserve">01 45 72 60 27</t>
  </si>
  <si>
    <t xml:space="preserve">https://biocodex6--c.vf.force.com/0014L00000KFi8sQAD</t>
  </si>
  <si>
    <t xml:space="preserve">GUINARD</t>
  </si>
  <si>
    <t xml:space="preserve">GUINARD AUDE</t>
  </si>
  <si>
    <t xml:space="preserve">9 RUE DE L ABBE GROULT</t>
  </si>
  <si>
    <t xml:space="preserve">01 45 66 70 51</t>
  </si>
  <si>
    <t xml:space="preserve">https://biocodex6--c.vf.force.com/0014L00000KFhlqQAD</t>
  </si>
  <si>
    <t xml:space="preserve">MARZOUK</t>
  </si>
  <si>
    <t xml:space="preserve">MARZOUK GERARD</t>
  </si>
  <si>
    <t xml:space="preserve">https://biocodex6--c.vf.force.com/0014L00000KFqVBQA1</t>
  </si>
  <si>
    <t xml:space="preserve">https://annuairesante.ameli.fr/professionnels-de-sante/recherche/fiche-detaillee-B7c1lTE3NTOx.html</t>
  </si>
  <si>
    <t xml:space="preserve">MONNIER</t>
  </si>
  <si>
    <t xml:space="preserve">MONNIER BERNARD</t>
  </si>
  <si>
    <t xml:space="preserve">44 RUE DE TOCQUEVILLE</t>
  </si>
  <si>
    <t xml:space="preserve">01 43 80 72 01</t>
  </si>
  <si>
    <t xml:space="preserve">https://biocodex6--c.vf.force.com/0014L00000KFsKkQAL</t>
  </si>
  <si>
    <t xml:space="preserve">https://annuairesante.ameli.fr/professionnels-de-sante/recherche/fiche-detaillee-B7c1lTI2Mzqz.html</t>
  </si>
  <si>
    <t xml:space="preserve">LEDOUX CHRISTIAN</t>
  </si>
  <si>
    <t xml:space="preserve">01 45 74 35 77</t>
  </si>
  <si>
    <t xml:space="preserve">https://biocodex6--c.vf.force.com/0014L00000KFnNcQAL</t>
  </si>
  <si>
    <t xml:space="preserve">https://annuairesante.ameli.fr/professionnels-de-sante/recherche/fiche-detaillee-B7c1ljI2MjSx.html</t>
  </si>
  <si>
    <t xml:space="preserve">HOVANESSIAN</t>
  </si>
  <si>
    <t xml:space="preserve">YVELINE</t>
  </si>
  <si>
    <t xml:space="preserve">HOVANESSIAN YVELINE</t>
  </si>
  <si>
    <t xml:space="preserve">18 RUE OLIVIER DE SERRES</t>
  </si>
  <si>
    <t xml:space="preserve">01 42 50 20 55</t>
  </si>
  <si>
    <t xml:space="preserve">https://biocodex6--c.vf.force.com/0014L00000KFj9KQAT</t>
  </si>
  <si>
    <t xml:space="preserve">https://annuairesante.ameli.fr/professionnels-de-sante/recherche/fiche-detaillee-B7c1ljY2ODa6.html</t>
  </si>
  <si>
    <t xml:space="preserve">09:00-13:45(R)</t>
  </si>
  <si>
    <t xml:space="preserve">MARIE SYLVIE</t>
  </si>
  <si>
    <t xml:space="preserve">RICHARD MARIE SYLVIE</t>
  </si>
  <si>
    <t xml:space="preserve">01 43 92 21 22</t>
  </si>
  <si>
    <t xml:space="preserve">https://biocodex6--c.vf.force.com/0014L00000KG8XFQA1</t>
  </si>
  <si>
    <t xml:space="preserve">DENIS JENNIFER</t>
  </si>
  <si>
    <t xml:space="preserve">01 56 09 34 47</t>
  </si>
  <si>
    <t xml:space="preserve">https://biocodex6--c.vf.force.com/0014L00000KFXFfQAP</t>
  </si>
  <si>
    <t xml:space="preserve">BEAUFORT</t>
  </si>
  <si>
    <t xml:space="preserve">BEAUFORT ROMAIN</t>
  </si>
  <si>
    <t xml:space="preserve">18 RUE ROUSSELET</t>
  </si>
  <si>
    <t xml:space="preserve">01 71 37 37 88</t>
  </si>
  <si>
    <t xml:space="preserve">https://biocodex6--c.vf.force.com/0014L00000KFUe0QAH</t>
  </si>
  <si>
    <t xml:space="preserve">https://annuairesante.ameli.fr/professionnels-de-sante/recherche/fiche-detaillee-B7c1mzY1Nzu2.html</t>
  </si>
  <si>
    <t xml:space="preserve">MENSAH</t>
  </si>
  <si>
    <t xml:space="preserve">MENSAH SANDRINE</t>
  </si>
  <si>
    <t xml:space="preserve">https://biocodex6--c.vf.force.com/0014L00000KFqSCQA1</t>
  </si>
  <si>
    <t xml:space="preserve">ROUGEMONT</t>
  </si>
  <si>
    <t xml:space="preserve">ROUGEMONT DIDIER</t>
  </si>
  <si>
    <t xml:space="preserve">39 RUE PIERRE DEMOURS</t>
  </si>
  <si>
    <t xml:space="preserve">01 47 64 00 89</t>
  </si>
  <si>
    <t xml:space="preserve">https://biocodex6--c.vf.force.com/0014L00000KFzWJQA1</t>
  </si>
  <si>
    <t xml:space="preserve">https://annuairesante.ameli.fr/professionnels-de-sante/recherche/fiche-detaillee-B7c1kTU4MTu7.html</t>
  </si>
  <si>
    <t xml:space="preserve">AMI</t>
  </si>
  <si>
    <t xml:space="preserve">AMI OLIVIER</t>
  </si>
  <si>
    <t xml:space="preserve">4 RUE DE SONTAY</t>
  </si>
  <si>
    <t xml:space="preserve">https://biocodex6--c.vf.force.com/0014L00000KFRkdQAH</t>
  </si>
  <si>
    <t xml:space="preserve">https://annuairesante.ameli.fr/professionnels-de-sante/recherche/fiche-detaillee-B7c1mjM5Nzuy.html</t>
  </si>
  <si>
    <t xml:space="preserve">MICHAELI</t>
  </si>
  <si>
    <t xml:space="preserve">MICHAELI CHRISTIAN</t>
  </si>
  <si>
    <t xml:space="preserve">37 RUE PERGOLESE</t>
  </si>
  <si>
    <t xml:space="preserve">RUE PERGOLESE</t>
  </si>
  <si>
    <t xml:space="preserve">01 45 01 21 71</t>
  </si>
  <si>
    <t xml:space="preserve">https://biocodex6--c.vf.force.com/0014L00000KFrjQQAT</t>
  </si>
  <si>
    <t xml:space="preserve">https://annuairesante.ameli.fr/professionnels-de-sante/recherche/fiche-detaillee-B7c1lzE2MjS1.html</t>
  </si>
  <si>
    <t xml:space="preserve">LASRY BRAOUDE</t>
  </si>
  <si>
    <t xml:space="preserve">LASRY BRAOUDE GENEVIEVE</t>
  </si>
  <si>
    <t xml:space="preserve">10 RUE RAYNOUARD</t>
  </si>
  <si>
    <t xml:space="preserve">01 42 30 98 12</t>
  </si>
  <si>
    <t xml:space="preserve">https://biocodex6--c.vf.force.com/0014L00000KFmFXQA1</t>
  </si>
  <si>
    <t xml:space="preserve">https://annuairesante.ameli.fr/professionnels-de-sante/recherche/fiche-detaillee-B7c1ljYxNTK2.html</t>
  </si>
  <si>
    <t xml:space="preserve">[Timestamp('2023-08-29 10:00:00'), Timestamp('2023-12-19 09:30:00')]</t>
  </si>
  <si>
    <t xml:space="preserve">JAURY</t>
  </si>
  <si>
    <t xml:space="preserve">JAURY PHILIPPE</t>
  </si>
  <si>
    <t xml:space="preserve">96 RUE LECOURBE</t>
  </si>
  <si>
    <t xml:space="preserve">01 53 66 62 62</t>
  </si>
  <si>
    <t xml:space="preserve">https://biocodex6--c.vf.force.com/0014L00000KFjpQQAT</t>
  </si>
  <si>
    <t xml:space="preserve">https://annuairesante.ameli.fr/professionnels-de-sante/recherche/fiche-detaillee-B7c1lTI2Mjqw.html</t>
  </si>
  <si>
    <t xml:space="preserve">07:30-13:00(R)</t>
  </si>
  <si>
    <t xml:space="preserve">BOIKO</t>
  </si>
  <si>
    <t xml:space="preserve">OKSANA</t>
  </si>
  <si>
    <t xml:space="preserve">BOIKO OKSANA</t>
  </si>
  <si>
    <t xml:space="preserve">FIV
MED</t>
  </si>
  <si>
    <t xml:space="preserve">01 40 72 70 38</t>
  </si>
  <si>
    <t xml:space="preserve">docteur.boiko@gmail.com</t>
  </si>
  <si>
    <t xml:space="preserve">https://biocodex6--c.vf.force.com/0014L00000KG2CBQA1</t>
  </si>
  <si>
    <t xml:space="preserve">https://annuairesante.ameli.fr/professionnels-de-sante/recherche/fiche-detaillee-B7c1lTM1NzO6.html</t>
  </si>
  <si>
    <t xml:space="preserve">AKERMAN</t>
  </si>
  <si>
    <t xml:space="preserve">GREGORY</t>
  </si>
  <si>
    <t xml:space="preserve">AKERMAN GREGORY</t>
  </si>
  <si>
    <t xml:space="preserve">01 40 72 33 56 // 01 45 03 30 86</t>
  </si>
  <si>
    <t xml:space="preserve">https://biocodex6--c.vf.force.com/0014L00000KFRKDQA5</t>
  </si>
  <si>
    <t xml:space="preserve">https://annuairesante.ameli.fr/professionnels-de-sante/recherche/fiche-detaillee-B7c1lTM2MDaw.html</t>
  </si>
  <si>
    <t xml:space="preserve">MAARAOUI</t>
  </si>
  <si>
    <t xml:space="preserve">MAARAOUI NICOLAS</t>
  </si>
  <si>
    <t xml:space="preserve">https://biocodex6--c.vf.force.com/0014L00000KFqaqQAD</t>
  </si>
  <si>
    <t xml:space="preserve">[Timestamp('2024-01-09 09:30:00'), Timestamp('2024-06-03 09:00:00')]</t>
  </si>
  <si>
    <t xml:space="preserve">NOHET</t>
  </si>
  <si>
    <t xml:space="preserve">NOHET NADIA</t>
  </si>
  <si>
    <t xml:space="preserve">78 RUE LAURISTON</t>
  </si>
  <si>
    <t xml:space="preserve">RUE LAURISTON</t>
  </si>
  <si>
    <t xml:space="preserve">https://biocodex6--c.vf.force.com/0014L00000KFuP2QAL</t>
  </si>
  <si>
    <t xml:space="preserve">DRIGUEZ</t>
  </si>
  <si>
    <t xml:space="preserve">PIERRE ANDRE</t>
  </si>
  <si>
    <t xml:space="preserve">DRIGUEZ PIERRE ANDRE</t>
  </si>
  <si>
    <t xml:space="preserve">7 RUE CHERNOVIZ</t>
  </si>
  <si>
    <t xml:space="preserve">RUE CHERNOVIZ</t>
  </si>
  <si>
    <t xml:space="preserve">01 45 27 97 83</t>
  </si>
  <si>
    <t xml:space="preserve">https://biocodex6--c.vf.force.com/0014L00000KFbLbQAL</t>
  </si>
  <si>
    <t xml:space="preserve">https://annuairesante.ameli.fr/professionnels-de-sante/recherche/fiche-detaillee-B7c1kDUwMjSx.html</t>
  </si>
  <si>
    <t xml:space="preserve">PIGNE</t>
  </si>
  <si>
    <t xml:space="preserve">PIGNE ALAIN</t>
  </si>
  <si>
    <t xml:space="preserve">33 RUE DE LA TOUR</t>
  </si>
  <si>
    <t xml:space="preserve">01 44 08 58 83 // 01 40 72 58 58</t>
  </si>
  <si>
    <t xml:space="preserve">https://biocodex6--c.vf.force.com/0014L00000KFw3aQAD</t>
  </si>
  <si>
    <t xml:space="preserve">https://annuairesante.ameli.fr/professionnels-de-sante/recherche/fiche-detaillee-B7c1kTY2NzO1.html</t>
  </si>
  <si>
    <t xml:space="preserve">FOURRIER</t>
  </si>
  <si>
    <t xml:space="preserve">FOURRIER BRUNO</t>
  </si>
  <si>
    <t xml:space="preserve">14 RUE DES SABLONS</t>
  </si>
  <si>
    <t xml:space="preserve">RUE DES SABLONS</t>
  </si>
  <si>
    <t xml:space="preserve">01 47 04 32 43</t>
  </si>
  <si>
    <t xml:space="preserve">https://biocodex6--c.vf.force.com/0014L00000KFeI8QAL</t>
  </si>
  <si>
    <t xml:space="preserve">https://annuairesante.ameli.fr/professionnels-de-sante/recherche/fiche-detaillee-B7c1kDsxODS1.html</t>
  </si>
  <si>
    <t xml:space="preserve">ERBAULT</t>
  </si>
  <si>
    <t xml:space="preserve">ERBAULT ROBERT</t>
  </si>
  <si>
    <t xml:space="preserve">5 RUE DE LA PROCESSION</t>
  </si>
  <si>
    <t xml:space="preserve">RUE DE LA PROCESSION</t>
  </si>
  <si>
    <t xml:space="preserve">01 53 58 91 50</t>
  </si>
  <si>
    <t xml:space="preserve">https://biocodex6--c.vf.force.com/0014L00000KFcfsQAD</t>
  </si>
  <si>
    <t xml:space="preserve">https://annuairesante.ameli.fr/professionnels-de-sante/recherche/fiche-detaillee-B7c1ljE3MzCy.html</t>
  </si>
  <si>
    <t xml:space="preserve">08:30-10:30(D)
10:30-13:00(R)</t>
  </si>
  <si>
    <t xml:space="preserve">TRAN DINH CAN</t>
  </si>
  <si>
    <t xml:space="preserve">TRAN DINH CAN MAURICE</t>
  </si>
  <si>
    <t xml:space="preserve">01 42 25 59 44 // 01 43 80 50 60</t>
  </si>
  <si>
    <t xml:space="preserve">https://biocodex6--c.vf.force.com/0014L00000KG3ekQAD</t>
  </si>
  <si>
    <t xml:space="preserve">https://annuairesante.ameli.fr/professionnels-de-sante/recherche/fiche-detaillee-B7c1kDswMzu2.html</t>
  </si>
  <si>
    <t xml:space="preserve">REFABERT</t>
  </si>
  <si>
    <t xml:space="preserve">REFABERT LUC</t>
  </si>
  <si>
    <t xml:space="preserve">01 44 49 48 48 // 01 47 34 24 44</t>
  </si>
  <si>
    <t xml:space="preserve">https://biocodex6--c.vf.force.com/0014L00000KFxwGQAT</t>
  </si>
  <si>
    <t xml:space="preserve">https://annuairesante.ameli.fr/professionnels-de-sante/recherche/fiche-detaillee-B7c1lzo1NDaw.html</t>
  </si>
  <si>
    <t xml:space="preserve">DUTOYA BENFTIMA</t>
  </si>
  <si>
    <t xml:space="preserve">SIHEM</t>
  </si>
  <si>
    <t xml:space="preserve">DUTOYA BENFTIMA SIHEM</t>
  </si>
  <si>
    <t xml:space="preserve">82 RUE LAURISTON</t>
  </si>
  <si>
    <t xml:space="preserve">01 43 59 33 85</t>
  </si>
  <si>
    <t xml:space="preserve">https://biocodex6--c.vf.force.com/0014L00000KFTX1QAP</t>
  </si>
  <si>
    <t xml:space="preserve">BENZAKINE</t>
  </si>
  <si>
    <t xml:space="preserve">BENZAKINE YVES</t>
  </si>
  <si>
    <t xml:space="preserve">01 40 72 33 57 // 01 58 05 11 22</t>
  </si>
  <si>
    <t xml:space="preserve">https://biocodex6--c.vf.force.com/0014L00000KFTecQAH</t>
  </si>
  <si>
    <t xml:space="preserve">https://annuairesante.ameli.fr/professionnels-de-sante/recherche/fiche-detaillee-B7c1lTI3NTC2.html</t>
  </si>
  <si>
    <t xml:space="preserve">THERON GERARD</t>
  </si>
  <si>
    <t xml:space="preserve">LUCIE MARIE</t>
  </si>
  <si>
    <t xml:space="preserve">THERON GERARD LUCIE MARIE</t>
  </si>
  <si>
    <t xml:space="preserve">01 45 74 52 15</t>
  </si>
  <si>
    <t xml:space="preserve">https://biocodex6--c.vf.force.com/0014L00000KG3KiQAL</t>
  </si>
  <si>
    <t xml:space="preserve">PALISSON</t>
  </si>
  <si>
    <t xml:space="preserve">PALISSON ERIC</t>
  </si>
  <si>
    <t xml:space="preserve">01 56 06 06 15</t>
  </si>
  <si>
    <t xml:space="preserve">https://biocodex6--c.vf.force.com/0014L00000KFwMZQA1</t>
  </si>
  <si>
    <t xml:space="preserve">JACOB DENIS</t>
  </si>
  <si>
    <t xml:space="preserve">01 40 69 34 34</t>
  </si>
  <si>
    <t xml:space="preserve">https://biocodex6--c.vf.force.com/0014L00000KFgiKQAT</t>
  </si>
  <si>
    <t xml:space="preserve">https://annuairesante.ameli.fr/professionnels-de-sante/recherche/fiche-detaillee-B7c1lTM1MjCz.html</t>
  </si>
  <si>
    <t xml:space="preserve">AIM</t>
  </si>
  <si>
    <t xml:space="preserve">AIM DENIS</t>
  </si>
  <si>
    <t xml:space="preserve">16 AVENUE PAUL DOUMER</t>
  </si>
  <si>
    <t xml:space="preserve">01 47 27 48 28</t>
  </si>
  <si>
    <t xml:space="preserve">https://biocodex6--c.vf.force.com/0014L00000KFQ2wQAH</t>
  </si>
  <si>
    <t xml:space="preserve">https://annuairesante.ameli.fr/professionnels-de-sante/recherche/fiche-detaillee-B7c1lDoyMTq0.html</t>
  </si>
  <si>
    <t xml:space="preserve">HOUBANI MIMERAN</t>
  </si>
  <si>
    <t xml:space="preserve">HOUBANI MIMERAN ELODIE</t>
  </si>
  <si>
    <t xml:space="preserve">1 RUE NICOLAS CHUQUET</t>
  </si>
  <si>
    <t xml:space="preserve">RUE NICOLAS CHUQUET</t>
  </si>
  <si>
    <t xml:space="preserve">https://biocodex6--c.vf.force.com/0014L00000KG7EuQAL</t>
  </si>
  <si>
    <t xml:space="preserve">https://annuairesante.ameli.fr/professionnels-de-sante/recherche/fiche-detaillee-B7c1lTEyNDC7.html</t>
  </si>
  <si>
    <t xml:space="preserve">GOLDSTEIN</t>
  </si>
  <si>
    <t xml:space="preserve">GOLDSTEIN RICHARD</t>
  </si>
  <si>
    <t xml:space="preserve">https://biocodex6--c.vf.force.com/0014L00000KFgUFQA1</t>
  </si>
  <si>
    <t xml:space="preserve">HAKMI</t>
  </si>
  <si>
    <t xml:space="preserve">ASMAA</t>
  </si>
  <si>
    <t xml:space="preserve">HAKMI ASMAA</t>
  </si>
  <si>
    <t xml:space="preserve">https://biocodex6--c.vf.force.com/0014L00000KG9kfQAD</t>
  </si>
  <si>
    <t xml:space="preserve">SCHMITT</t>
  </si>
  <si>
    <t xml:space="preserve">CECILIA</t>
  </si>
  <si>
    <t xml:space="preserve">SCHMITT CECILIA</t>
  </si>
  <si>
    <t xml:space="preserve">https://biocodex6--c.vf.force.com/0014L00000KGAVnQAP</t>
  </si>
  <si>
    <t xml:space="preserve">https://annuairesante.ameli.fr/professionnels-de-sante/recherche/fiche-detaillee-CbA1kjE4ODu1.html</t>
  </si>
  <si>
    <t xml:space="preserve">VAUTIER</t>
  </si>
  <si>
    <t xml:space="preserve">VAUTIER FRANCE</t>
  </si>
  <si>
    <t xml:space="preserve">PALL</t>
  </si>
  <si>
    <t xml:space="preserve">24 BOULEVARD DE GRENELLE</t>
  </si>
  <si>
    <t xml:space="preserve">https://biocodex6--c.vf.force.com/0014L00000KG4W5QAL</t>
  </si>
  <si>
    <t xml:space="preserve">MAVROV ALMOSNI</t>
  </si>
  <si>
    <t xml:space="preserve">DONKA</t>
  </si>
  <si>
    <t xml:space="preserve">MAVROV ALMOSNI DONKA</t>
  </si>
  <si>
    <t xml:space="preserve">42 RUE DE LA POMPE</t>
  </si>
  <si>
    <t xml:space="preserve">01 45 03 01 21</t>
  </si>
  <si>
    <t xml:space="preserve">https://biocodex6--c.vf.force.com/0014L00000KFQHDQA5</t>
  </si>
  <si>
    <t xml:space="preserve">VIGNAL</t>
  </si>
  <si>
    <t xml:space="preserve">VIGNAL PHILIPPE</t>
  </si>
  <si>
    <t xml:space="preserve">33 RUE NICOLO</t>
  </si>
  <si>
    <t xml:space="preserve">01 45 03 54 81</t>
  </si>
  <si>
    <t xml:space="preserve">https://biocodex6--c.vf.force.com/0014L00000KG54QQAT</t>
  </si>
  <si>
    <t xml:space="preserve">https://annuairesante.ameli.fr/professionnels-de-sante/recherche/fiche-detaillee-B7c1lTI0Mju2.html</t>
  </si>
  <si>
    <t xml:space="preserve">RIAZUL</t>
  </si>
  <si>
    <t xml:space="preserve">ISSHAQUE</t>
  </si>
  <si>
    <t xml:space="preserve">RIAZUL ISSHAQUE</t>
  </si>
  <si>
    <t xml:space="preserve">https://biocodex6--c.vf.force.com/0014L00000KG0KxQAL</t>
  </si>
  <si>
    <t xml:space="preserve">DELUBAC</t>
  </si>
  <si>
    <t xml:space="preserve">DELUBAC DANIEL</t>
  </si>
  <si>
    <t xml:space="preserve">8 RUE JEAN RICHEPIN</t>
  </si>
  <si>
    <t xml:space="preserve">01 45 03 30 74</t>
  </si>
  <si>
    <t xml:space="preserve">https://biocodex6--c.vf.force.com/0014L00000KFZzVQAX</t>
  </si>
  <si>
    <t xml:space="preserve">https://annuairesante.ameli.fr/professionnels-de-sante/recherche/fiche-detaillee-B7c1kTAyOTe1.html</t>
  </si>
  <si>
    <t xml:space="preserve">CREQUAT</t>
  </si>
  <si>
    <t xml:space="preserve">CREQUAT JOEL</t>
  </si>
  <si>
    <t xml:space="preserve">ECHO
ECH</t>
  </si>
  <si>
    <t xml:space="preserve">1 RUE DU PRINTEMPS</t>
  </si>
  <si>
    <t xml:space="preserve">RUE DU PRINTEMPS</t>
  </si>
  <si>
    <t xml:space="preserve">01 47 66 78 00</t>
  </si>
  <si>
    <t xml:space="preserve">https://biocodex6--c.vf.force.com/0014L00000KFY3RQAX</t>
  </si>
  <si>
    <t xml:space="preserve">https://annuairesante.ameli.fr/professionnels-de-sante/recherche/fiche-detaillee-B7c1kTo1Mje0.html</t>
  </si>
  <si>
    <t xml:space="preserve">DRAGOS</t>
  </si>
  <si>
    <t xml:space="preserve">SIMONE</t>
  </si>
  <si>
    <t xml:space="preserve">DRAGOS SIMONE</t>
  </si>
  <si>
    <t xml:space="preserve">102 AVENUE DES CHAMPS ELYSEES</t>
  </si>
  <si>
    <t xml:space="preserve">https://biocodex6--c.vf.force.com/0014L00000KFYq4QAH</t>
  </si>
  <si>
    <t xml:space="preserve">https://annuairesante.ameli.fr/professionnels-de-sante/recherche/fiche-detaillee-B7c1kjczMze6.html</t>
  </si>
  <si>
    <t xml:space="preserve">BENOIT YVES</t>
  </si>
  <si>
    <t xml:space="preserve">01 47 27 64 35</t>
  </si>
  <si>
    <t xml:space="preserve">https://biocodex6--c.vf.force.com/0014L00000KFShJQAX</t>
  </si>
  <si>
    <t xml:space="preserve">https://annuairesante.ameli.fr/professionnels-de-sante/recherche/fiche-detaillee-B7c1kTo4MzCz.html</t>
  </si>
  <si>
    <t xml:space="preserve">AGOGUE</t>
  </si>
  <si>
    <t xml:space="preserve">AGOGUE MATHILDE</t>
  </si>
  <si>
    <t xml:space="preserve">https://biocodex6--c.vf.force.com/0014L00000KFREbQAP</t>
  </si>
  <si>
    <t xml:space="preserve">HAMOU</t>
  </si>
  <si>
    <t xml:space="preserve">HAMOU JACQUES</t>
  </si>
  <si>
    <t xml:space="preserve">31 RUE ROBERT DE FLERS</t>
  </si>
  <si>
    <t xml:space="preserve">01 45 78 10 90</t>
  </si>
  <si>
    <t xml:space="preserve">https://biocodex6--c.vf.force.com/0014L00000KFi8XQAT</t>
  </si>
  <si>
    <t xml:space="preserve">GOURLET DESFONTAINES</t>
  </si>
  <si>
    <t xml:space="preserve">GOURLET DESFONTAINES DELPHINE</t>
  </si>
  <si>
    <t xml:space="preserve">https://biocodex6--c.vf.force.com/0014L00000KFeZiQAL</t>
  </si>
  <si>
    <t xml:space="preserve">LARROUY</t>
  </si>
  <si>
    <t xml:space="preserve">LARROUY CHARLES</t>
  </si>
  <si>
    <t xml:space="preserve">01 47 83 54 87</t>
  </si>
  <si>
    <t xml:space="preserve">https://biocodex6--c.vf.force.com/0014L00000KFmDZQA1</t>
  </si>
  <si>
    <t xml:space="preserve">https://annuairesante.ameli.fr/professionnels-de-sante/recherche/fiche-detaillee-B7c1lzQ4NTW3.html</t>
  </si>
  <si>
    <t xml:space="preserve">08:00-12:00(D)
13:00-14:00(R)</t>
  </si>
  <si>
    <t xml:space="preserve">CHESNEAU</t>
  </si>
  <si>
    <t xml:space="preserve">CHESNEAU ANNE SOPHIE</t>
  </si>
  <si>
    <t xml:space="preserve">https://biocodex6--c.vf.force.com/0014L00000KFejrQAD</t>
  </si>
  <si>
    <t xml:space="preserve">MARZOUK JEAN</t>
  </si>
  <si>
    <t xml:space="preserve">09 53 81 48 28</t>
  </si>
  <si>
    <t xml:space="preserve">https://biocodex6--c.vf.force.com/0014L00000KFMWGQA5</t>
  </si>
  <si>
    <t xml:space="preserve">https://annuairesante.ameli.fr/professionnels-de-sante/recherche/fiche-detaillee-B7c1kjczMzW2.html</t>
  </si>
  <si>
    <t xml:space="preserve">MARECHAL</t>
  </si>
  <si>
    <t xml:space="preserve">MARECHAL THIERRY</t>
  </si>
  <si>
    <t xml:space="preserve">01 45 53 94 01</t>
  </si>
  <si>
    <t xml:space="preserve">https://biocodex6--c.vf.force.com/0014L00000KFpx3QAD</t>
  </si>
  <si>
    <t xml:space="preserve">https://annuairesante.ameli.fr/professionnels-de-sante/recherche/fiche-detaillee-B7c1kTUxNjW1.html</t>
  </si>
  <si>
    <t xml:space="preserve">HOCHET LABROUSSE</t>
  </si>
  <si>
    <t xml:space="preserve">HOCHET LABROUSSE CHRISTINE</t>
  </si>
  <si>
    <t xml:space="preserve">3 RUE OUDINOT</t>
  </si>
  <si>
    <t xml:space="preserve">01 43 06 11 16</t>
  </si>
  <si>
    <t xml:space="preserve">https://biocodex6--c.vf.force.com/0014L00000KFv4UQAT</t>
  </si>
  <si>
    <t xml:space="preserve">SABBAN SERFATI</t>
  </si>
  <si>
    <t xml:space="preserve">SABBAN SERFATI PASCALE</t>
  </si>
  <si>
    <t xml:space="preserve">17 CHAUSSEE DE LA MUETTE</t>
  </si>
  <si>
    <t xml:space="preserve">01 45 20 54 65</t>
  </si>
  <si>
    <t xml:space="preserve">https://biocodex6--c.vf.force.com/0014L00000KG026QAD</t>
  </si>
  <si>
    <t xml:space="preserve">https://annuairesante.ameli.fr/professionnels-de-sante/recherche/fiche-detaillee-B7c1lzM5NTqy.html</t>
  </si>
  <si>
    <t xml:space="preserve">RELOUZAT</t>
  </si>
  <si>
    <t xml:space="preserve">RAOUL</t>
  </si>
  <si>
    <t xml:space="preserve">RELOUZAT RAOUL</t>
  </si>
  <si>
    <t xml:space="preserve">01 47 27 20 25</t>
  </si>
  <si>
    <t xml:space="preserve">https://biocodex6--c.vf.force.com/0014L00000KFy1BQAT</t>
  </si>
  <si>
    <t xml:space="preserve">https://annuairesante.ameli.fr/professionnels-de-sante/recherche/fiche-detaillee-B7c1ljQ5NTq6.html</t>
  </si>
  <si>
    <t xml:space="preserve">NEUKIRCH</t>
  </si>
  <si>
    <t xml:space="preserve">NEUKIRCH GILBERT</t>
  </si>
  <si>
    <t xml:space="preserve">15 AVENUE STE FOY</t>
  </si>
  <si>
    <t xml:space="preserve">01 40 11 14 91 // 01 46 24 14 59</t>
  </si>
  <si>
    <t xml:space="preserve">https://biocodex6--c.vf.force.com/0014L00000KFtTKQA1</t>
  </si>
  <si>
    <t xml:space="preserve">https://annuairesante.ameli.fr/professionnels-de-sante/recherche/fiche-detaillee-CbA1kjEwMze1.html</t>
  </si>
  <si>
    <t xml:space="preserve">17:00-20:00(R)</t>
  </si>
  <si>
    <t xml:space="preserve">BEN HAMOU</t>
  </si>
  <si>
    <t xml:space="preserve">MARTIAL</t>
  </si>
  <si>
    <t xml:space="preserve">BEN HAMOU MARTIAL</t>
  </si>
  <si>
    <t xml:space="preserve">8 AVENUE FRANKLIN DELANO ROOSEVELT</t>
  </si>
  <si>
    <t xml:space="preserve">01 46 11 50 00</t>
  </si>
  <si>
    <t xml:space="preserve">https://biocodex6--c.vf.force.com/0014L00000KFSXqQAP</t>
  </si>
  <si>
    <t xml:space="preserve">NGUYEN</t>
  </si>
  <si>
    <t xml:space="preserve">THE HUNG</t>
  </si>
  <si>
    <t xml:space="preserve">NGUYEN THE HUNG</t>
  </si>
  <si>
    <t xml:space="preserve">141 BOULEVARD PEREIRE</t>
  </si>
  <si>
    <t xml:space="preserve">01 47 63 74 67</t>
  </si>
  <si>
    <t xml:space="preserve">https://biocodex6--c.vf.force.com/0014L00000KFtYeQAL</t>
  </si>
  <si>
    <t xml:space="preserve">https://annuairesante.ameli.fr/professionnels-de-sante/recherche/fiche-detaillee-B7c1ljszMju7.html</t>
  </si>
  <si>
    <t xml:space="preserve">CHICHEPORTICHE AYACHE</t>
  </si>
  <si>
    <t xml:space="preserve">CHICHEPORTICHE AYACHE CORINNE</t>
  </si>
  <si>
    <t xml:space="preserve">30 AVENUE DU PRESIDENT WILSON</t>
  </si>
  <si>
    <t xml:space="preserve">01 53 70 43 21</t>
  </si>
  <si>
    <t xml:space="preserve">https://biocodex6--c.vf.force.com/0014L00000KIavPQAT</t>
  </si>
  <si>
    <t xml:space="preserve">https://annuairesante.ameli.fr/professionnels-de-sante/recherche/fiche-detaillee-B7c1lTM0Mjux.html</t>
  </si>
  <si>
    <t xml:space="preserve">GARCIA</t>
  </si>
  <si>
    <t xml:space="preserve">TATIANA</t>
  </si>
  <si>
    <t xml:space="preserve">GARCIA TATIANA</t>
  </si>
  <si>
    <t xml:space="preserve">https://biocodex6--c.vf.force.com/0014L00000KFcjiQAD</t>
  </si>
  <si>
    <t xml:space="preserve">ROURE</t>
  </si>
  <si>
    <t xml:space="preserve">ROURE SABINE</t>
  </si>
  <si>
    <t xml:space="preserve">136 BOULEVARD EXELMANS</t>
  </si>
  <si>
    <t xml:space="preserve">01 40 71 95 02</t>
  </si>
  <si>
    <t xml:space="preserve">https://biocodex6--c.vf.force.com/0014L00000KFzchQAD</t>
  </si>
  <si>
    <t xml:space="preserve">https://annuairesante.ameli.fr/professionnels-de-sante/recherche/fiche-detaillee-B7c1ljI5MDq7.html</t>
  </si>
  <si>
    <t xml:space="preserve">17:00-18:30(R)</t>
  </si>
  <si>
    <t xml:space="preserve">LEMAIRE</t>
  </si>
  <si>
    <t xml:space="preserve">LEMAIRE PHILIPPE</t>
  </si>
  <si>
    <t xml:space="preserve">28 RUE GUSTAVE COURBET</t>
  </si>
  <si>
    <t xml:space="preserve">RUE GUSTAVE COURBET</t>
  </si>
  <si>
    <t xml:space="preserve">01 47 27 06 74</t>
  </si>
  <si>
    <t xml:space="preserve">https://biocodex6--c.vf.force.com/0014L00000KFnhZQAT</t>
  </si>
  <si>
    <t xml:space="preserve">https://annuairesante.ameli.fr/professionnels-de-sante/recherche/fiche-detaillee-B7c1ljAyNjS0.html</t>
  </si>
  <si>
    <t xml:space="preserve">BOUCHER</t>
  </si>
  <si>
    <t xml:space="preserve">CLAIRE NOELLE</t>
  </si>
  <si>
    <t xml:space="preserve">BOUCHER CLAIRE NOELLE</t>
  </si>
  <si>
    <t xml:space="preserve">40 RUE MIOLLIS</t>
  </si>
  <si>
    <t xml:space="preserve">RUE MIOLLIS</t>
  </si>
  <si>
    <t xml:space="preserve">01 47 34 11 49</t>
  </si>
  <si>
    <t xml:space="preserve">https://biocodex6--c.vf.force.com/0014L00000huMupQAE</t>
  </si>
  <si>
    <t xml:space="preserve">NORDMANN AMAR</t>
  </si>
  <si>
    <t xml:space="preserve">DANIELE MARION</t>
  </si>
  <si>
    <t xml:space="preserve">NORDMANN AMAR DANIELE MARION</t>
  </si>
  <si>
    <t xml:space="preserve">17 AVENUE VICTOR HUGO</t>
  </si>
  <si>
    <t xml:space="preserve">01 53 64 02 64</t>
  </si>
  <si>
    <t xml:space="preserve">https://biocodex6--c.vf.force.com/0014L00000KFtpUQAT</t>
  </si>
  <si>
    <t xml:space="preserve">PELISSIER</t>
  </si>
  <si>
    <t xml:space="preserve">CLARA</t>
  </si>
  <si>
    <t xml:space="preserve">PELISSIER CLARA</t>
  </si>
  <si>
    <t xml:space="preserve">72 RUE D AUTEUIL</t>
  </si>
  <si>
    <t xml:space="preserve">01 46 51 16 19</t>
  </si>
  <si>
    <t xml:space="preserve">https://biocodex6--c.vf.force.com/0014L00000KFv9mQAD</t>
  </si>
  <si>
    <t xml:space="preserve">PEREZ JOELLE</t>
  </si>
  <si>
    <t xml:space="preserve">2 PLACE DE PASSY</t>
  </si>
  <si>
    <t xml:space="preserve">PLACE DE PASSY</t>
  </si>
  <si>
    <t xml:space="preserve">https://biocodex6--c.vf.force.com/0014L00000KFvcFQAT</t>
  </si>
  <si>
    <t xml:space="preserve">JOURDAN</t>
  </si>
  <si>
    <t xml:space="preserve">DIANE</t>
  </si>
  <si>
    <t xml:space="preserve">JOURDAN DIANE</t>
  </si>
  <si>
    <t xml:space="preserve">3 RUE ROUSSELET</t>
  </si>
  <si>
    <t xml:space="preserve">01 57 02 29 81</t>
  </si>
  <si>
    <t xml:space="preserve">https://biocodex6--c.vf.force.com/0014L00000KFLtTQAX</t>
  </si>
  <si>
    <t xml:space="preserve">https://annuairesante.ameli.fr/professionnels-de-sante/recherche/fiche-detaillee-B7c1lTA4Njuy.html</t>
  </si>
  <si>
    <t xml:space="preserve">BROGNAUX DEVINOY</t>
  </si>
  <si>
    <t xml:space="preserve">BROGNAUX DEVINOY ANNE MARIE</t>
  </si>
  <si>
    <t xml:space="preserve">https://biocodex6--c.vf.force.com/0014L00000NDOouQAH</t>
  </si>
  <si>
    <t xml:space="preserve">LEGRIS</t>
  </si>
  <si>
    <t xml:space="preserve">LEGRIS MARC</t>
  </si>
  <si>
    <t xml:space="preserve">01 86 47 84 90 // 01 34 89 30 02</t>
  </si>
  <si>
    <t xml:space="preserve">https://biocodex6--c.vf.force.com/0014L00000KFna4QAD</t>
  </si>
  <si>
    <t xml:space="preserve">https://annuairesante.ameli.fr/professionnels-de-sante/recherche/fiche-detaillee-B7c1mjA5OTCw.html</t>
  </si>
  <si>
    <t xml:space="preserve">[Timestamp('2023-11-29 11:30:00'), Timestamp('2024-03-06 12:30:00')]</t>
  </si>
  <si>
    <t xml:space="preserve">FERRON FURGE</t>
  </si>
  <si>
    <t xml:space="preserve">FERRON FURGE CAMILLE</t>
  </si>
  <si>
    <t xml:space="preserve">https://biocodex6--c.vf.force.com/0014L00000KFaLpQAL</t>
  </si>
  <si>
    <t xml:space="preserve">NAIM HELENE</t>
  </si>
  <si>
    <t xml:space="preserve">53 RUE DECAMPS</t>
  </si>
  <si>
    <t xml:space="preserve">RUE DECAMPS</t>
  </si>
  <si>
    <t xml:space="preserve">01 47 64 49 42</t>
  </si>
  <si>
    <t xml:space="preserve">helenenaim@hotmail.fr</t>
  </si>
  <si>
    <t xml:space="preserve">https://biocodex6--c.vf.force.com/0014L00000KFtGbQAL</t>
  </si>
  <si>
    <t xml:space="preserve">https://annuairesante.ameli.fr/professionnels-de-sante/recherche/fiche-detaillee-B7c1kTQwNTOy.html</t>
  </si>
  <si>
    <t xml:space="preserve">HAFFEN</t>
  </si>
  <si>
    <t xml:space="preserve">HAFFEN MARC</t>
  </si>
  <si>
    <t xml:space="preserve">3 RUE DES TERNES</t>
  </si>
  <si>
    <t xml:space="preserve">RUE DES TERNES</t>
  </si>
  <si>
    <t xml:space="preserve">01 45 72 09 03</t>
  </si>
  <si>
    <t xml:space="preserve">https://biocodex6--c.vf.force.com/0014L00000KFi2SQAT</t>
  </si>
  <si>
    <t xml:space="preserve">https://annuairesante.ameli.fr/professionnels-de-sante/recherche/fiche-detaillee-B7c1kTE3OTW3.html</t>
  </si>
  <si>
    <t xml:space="preserve">LELASSEUX</t>
  </si>
  <si>
    <t xml:space="preserve">LELASSEUX CHRISTOPHE</t>
  </si>
  <si>
    <t xml:space="preserve">12 AVENUE KLEBER</t>
  </si>
  <si>
    <t xml:space="preserve">01 45 01 71 79</t>
  </si>
  <si>
    <t xml:space="preserve">https://biocodex6--c.vf.force.com/0014L00000KFngfQAD</t>
  </si>
  <si>
    <t xml:space="preserve">https://annuairesante.ameli.fr/professionnels-de-sante/recherche/fiche-detaillee-B7c1ljM5MzS7.html</t>
  </si>
  <si>
    <t xml:space="preserve">15:00-17:00(R)</t>
  </si>
  <si>
    <t xml:space="preserve">BALYELI</t>
  </si>
  <si>
    <t xml:space="preserve">FILIZ</t>
  </si>
  <si>
    <t xml:space="preserve">BALYELI FILIZ</t>
  </si>
  <si>
    <t xml:space="preserve">104 RUE MICHEL ANGE</t>
  </si>
  <si>
    <t xml:space="preserve">06 38 57 06 40</t>
  </si>
  <si>
    <t xml:space="preserve">https://biocodex6--c.vf.force.com/0014L00000KFOS6QAP</t>
  </si>
  <si>
    <t xml:space="preserve">https://annuairesante.ameli.fr/professionnels-de-sante/recherche/fiche-detaillee-B7c1kjQxMzOy.html</t>
  </si>
  <si>
    <t xml:space="preserve">14:00-20:45(R)</t>
  </si>
  <si>
    <t xml:space="preserve">MARCHEIX</t>
  </si>
  <si>
    <t xml:space="preserve">REMY</t>
  </si>
  <si>
    <t xml:space="preserve">MARCHEIX REMY</t>
  </si>
  <si>
    <t xml:space="preserve">21 RUE DU GENERAL BERTRAND</t>
  </si>
  <si>
    <t xml:space="preserve">RUE DU GENERAL BERTRAND</t>
  </si>
  <si>
    <t xml:space="preserve">01 53 86 05 70</t>
  </si>
  <si>
    <t xml:space="preserve">https://biocodex6--c.vf.force.com/0014L00000KFr2sQAD</t>
  </si>
  <si>
    <t xml:space="preserve">MOUSSALEM</t>
  </si>
  <si>
    <t xml:space="preserve">THERESE</t>
  </si>
  <si>
    <t xml:space="preserve">MOUSSALEM THERESE</t>
  </si>
  <si>
    <t xml:space="preserve">56 BOULEVARD DU MONTPARNASSE</t>
  </si>
  <si>
    <t xml:space="preserve">01 45 44 02 61</t>
  </si>
  <si>
    <t xml:space="preserve">https://biocodex6--c.vf.force.com/0014L00000KFtfKQAT</t>
  </si>
  <si>
    <t xml:space="preserve">https://annuairesante.ameli.fr/professionnels-de-sante/recherche/fiche-detaillee-B7c1lDsxMDe6.html</t>
  </si>
  <si>
    <t xml:space="preserve">BOURLET</t>
  </si>
  <si>
    <t xml:space="preserve">BOURLET PAULINE</t>
  </si>
  <si>
    <t xml:space="preserve">https://biocodex6--c.vf.force.com/0014L00000KFOWyQAP</t>
  </si>
  <si>
    <t xml:space="preserve">DE QUILLACQ</t>
  </si>
  <si>
    <t xml:space="preserve">DE QUILLACQ ALBANE</t>
  </si>
  <si>
    <t xml:space="preserve">https://biocodex6--c.vf.force.com/0014L00000KFWUAQA5</t>
  </si>
  <si>
    <t xml:space="preserve">https://annuairesante.ameli.fr/professionnels-de-sante/recherche/fiche-detaillee-B7c1mzUwNTC2.html</t>
  </si>
  <si>
    <t xml:space="preserve">DUMONT</t>
  </si>
  <si>
    <t xml:space="preserve">DUMONT GREGOIRE</t>
  </si>
  <si>
    <t xml:space="preserve">123 RUE DES DAMES</t>
  </si>
  <si>
    <t xml:space="preserve">07 82 92 72 26</t>
  </si>
  <si>
    <t xml:space="preserve">https://biocodex6--c.vf.force.com/0014L00000KFZTgQAP</t>
  </si>
  <si>
    <t xml:space="preserve">https://annuairesante.ameli.fr/professionnels-de-sante/recherche/fiche-detaillee-B7c1kjE4NzC6.html</t>
  </si>
  <si>
    <t xml:space="preserve">LYON</t>
  </si>
  <si>
    <t xml:space="preserve">LYON GERARD</t>
  </si>
  <si>
    <t xml:space="preserve">21 RUE FARADAY</t>
  </si>
  <si>
    <t xml:space="preserve">01 43 80 30 42</t>
  </si>
  <si>
    <t xml:space="preserve">https://biocodex6--c.vf.force.com/0014L00000KFp8OQAT</t>
  </si>
  <si>
    <t xml:space="preserve">COUDRON</t>
  </si>
  <si>
    <t xml:space="preserve">COUDRON LIONEL</t>
  </si>
  <si>
    <t xml:space="preserve">01 47 23 33 34</t>
  </si>
  <si>
    <t xml:space="preserve">https://biocodex6--c.vf.force.com/0014L00000KFXimQAH</t>
  </si>
  <si>
    <t xml:space="preserve">https://annuairesante.ameli.fr/professionnels-de-sante/recherche/fiche-detaillee-B7c1ljUwNze0.html</t>
  </si>
  <si>
    <t xml:space="preserve">JERUZALSKA</t>
  </si>
  <si>
    <t xml:space="preserve">SAMY</t>
  </si>
  <si>
    <t xml:space="preserve">JERUZALSKA SAMY</t>
  </si>
  <si>
    <t xml:space="preserve">45 RUE ST FERDINAND</t>
  </si>
  <si>
    <t xml:space="preserve">RUE ST FERDINAND</t>
  </si>
  <si>
    <t xml:space="preserve">01 45 72 55 15</t>
  </si>
  <si>
    <t xml:space="preserve">https://biocodex6--c.vf.force.com/0014L00000KFjxXQAT</t>
  </si>
  <si>
    <t xml:space="preserve">MUSAT</t>
  </si>
  <si>
    <t xml:space="preserve">ANGELA</t>
  </si>
  <si>
    <t xml:space="preserve">MUSAT ANGELA</t>
  </si>
  <si>
    <t xml:space="preserve">https://biocodex6--c.vf.force.com/0014L00000KFtGkQAL</t>
  </si>
  <si>
    <t xml:space="preserve">DAGOUAT</t>
  </si>
  <si>
    <t xml:space="preserve">DAGOUAT JEAN BAPTISTE</t>
  </si>
  <si>
    <t xml:space="preserve">https://biocodex6--c.vf.force.com/0014L00000KG9U4QAL</t>
  </si>
  <si>
    <t xml:space="preserve">https://annuairesante.ameli.fr/professionnels-de-sante/recherche/fiche-detaillee-CbA1kjE3OTG3.html</t>
  </si>
  <si>
    <t xml:space="preserve">LARSEN</t>
  </si>
  <si>
    <t xml:space="preserve">LARSEN VALERIE</t>
  </si>
  <si>
    <t xml:space="preserve">136 RUE DE VAUGIRARD</t>
  </si>
  <si>
    <t xml:space="preserve">01 44 93 02 68</t>
  </si>
  <si>
    <t xml:space="preserve">https://biocodex6--c.vf.force.com/0014L00000KFoTuQAL</t>
  </si>
  <si>
    <t xml:space="preserve">https://annuairesante.ameli.fr/professionnels-de-sante/recherche/fiche-detaillee-B7c1mzY2Mjey.html</t>
  </si>
  <si>
    <t xml:space="preserve">FRIEDERICH</t>
  </si>
  <si>
    <t xml:space="preserve">FRIEDERICH LUDOVIC</t>
  </si>
  <si>
    <t xml:space="preserve">https://biocodex6--c.vf.force.com/0014L00000KFbeBQAT</t>
  </si>
  <si>
    <t xml:space="preserve">https://annuairesante.ameli.fr/professionnels-de-sante/recherche/fiche-detaillee-B7c1mzYwNjS1.html</t>
  </si>
  <si>
    <t xml:space="preserve">NEMES</t>
  </si>
  <si>
    <t xml:space="preserve">NEMES GABRIEL</t>
  </si>
  <si>
    <t xml:space="preserve">https://biocodex6--c.vf.force.com/0014L00000KFtRyQAL</t>
  </si>
  <si>
    <t xml:space="preserve">https://annuairesante.ameli.fr/professionnels-de-sante/recherche/fiche-detaillee-B7c1ljc1MTaz.html</t>
  </si>
  <si>
    <t xml:space="preserve">SALAMA GERARD</t>
  </si>
  <si>
    <t xml:space="preserve">01 56 62 10 72</t>
  </si>
  <si>
    <t xml:space="preserve">https://biocodex6--c.vf.force.com/0014L00000KG0CMQA1</t>
  </si>
  <si>
    <t xml:space="preserve">https://annuairesante.ameli.fr/professionnels-de-sante/recherche/fiche-detaillee-B7c1kTI0MDCy.html</t>
  </si>
  <si>
    <t xml:space="preserve">MOGA</t>
  </si>
  <si>
    <t xml:space="preserve">MOGA ANNE</t>
  </si>
  <si>
    <t xml:space="preserve">https://biocodex6--c.vf.force.com/0014L00000KFsXKQA1</t>
  </si>
  <si>
    <t xml:space="preserve">POISSON</t>
  </si>
  <si>
    <t xml:space="preserve">POISSON MAXIME</t>
  </si>
  <si>
    <t xml:space="preserve">https://biocodex6--c.vf.force.com/0014L00000KG9JEQA1</t>
  </si>
  <si>
    <t xml:space="preserve">https://annuairesante.ameli.fr/professionnels-de-sante/recherche/fiche-detaillee-B7c1kjcxMTG7.html</t>
  </si>
  <si>
    <t xml:space="preserve">MARCHAL</t>
  </si>
  <si>
    <t xml:space="preserve">MARCHAL DOMINIQUE</t>
  </si>
  <si>
    <t xml:space="preserve">01 40 63 22 43</t>
  </si>
  <si>
    <t xml:space="preserve">https://biocodex6--c.vf.force.com/0014L00000KFpplQAD</t>
  </si>
  <si>
    <t xml:space="preserve">CORDIER</t>
  </si>
  <si>
    <t xml:space="preserve">CORDIER BRUNO</t>
  </si>
  <si>
    <t xml:space="preserve">7 PLACE DE FONTENOY</t>
  </si>
  <si>
    <t xml:space="preserve">PLACE DE FONTENOY</t>
  </si>
  <si>
    <t xml:space="preserve">https://biocodex6--c.vf.force.com/0014L00000KFXUSQA5</t>
  </si>
  <si>
    <t xml:space="preserve">GUIRAL</t>
  </si>
  <si>
    <t xml:space="preserve">GUIRAL NATHALIE</t>
  </si>
  <si>
    <t xml:space="preserve">126 RUE DE L UNIVERSITE</t>
  </si>
  <si>
    <t xml:space="preserve">01 40 63 58 26</t>
  </si>
  <si>
    <t xml:space="preserve">https://biocodex6--c.vf.force.com/0014L00000KFdClQAL</t>
  </si>
  <si>
    <t xml:space="preserve">PHUONG VI</t>
  </si>
  <si>
    <t xml:space="preserve">NGUYEN PHUONG VI</t>
  </si>
  <si>
    <t xml:space="preserve">12 PLACE ADOLPHE CHERIOUX</t>
  </si>
  <si>
    <t xml:space="preserve">01 48 28 39 74</t>
  </si>
  <si>
    <t xml:space="preserve">https://biocodex6--c.vf.force.com/0014L00000KFu6eQAD</t>
  </si>
  <si>
    <t xml:space="preserve">https://annuairesante.ameli.fr/professionnels-de-sante/recherche/fiche-detaillee-B7c1ljsxMjKw.html</t>
  </si>
  <si>
    <t xml:space="preserve">LOPEZ</t>
  </si>
  <si>
    <t xml:space="preserve">LOPEZ VERONIQUE</t>
  </si>
  <si>
    <t xml:space="preserve">285 RUE DE VAUGIRARD</t>
  </si>
  <si>
    <t xml:space="preserve">01 45 33 28 56</t>
  </si>
  <si>
    <t xml:space="preserve">https://biocodex6--c.vf.force.com/0014L00000KFp4JQAT</t>
  </si>
  <si>
    <t xml:space="preserve">https://annuairesante.ameli.fr/professionnels-de-sante/recherche/fiche-detaillee-B7c1lDQxMjaw.html</t>
  </si>
  <si>
    <t xml:space="preserve">SFAR</t>
  </si>
  <si>
    <t xml:space="preserve">CHIRAZ</t>
  </si>
  <si>
    <t xml:space="preserve">SFAR CHIRAZ</t>
  </si>
  <si>
    <t xml:space="preserve">11 RUE ANATOLE DE LA FORGE</t>
  </si>
  <si>
    <t xml:space="preserve">RUE ANATOLE DE LA FORGE</t>
  </si>
  <si>
    <t xml:space="preserve">09 87 15 68 05</t>
  </si>
  <si>
    <t xml:space="preserve">https://biocodex6--c.vf.force.com/0014L00000KFheYQAT</t>
  </si>
  <si>
    <t xml:space="preserve">JOSSE</t>
  </si>
  <si>
    <t xml:space="preserve">WILLIAMS</t>
  </si>
  <si>
    <t xml:space="preserve">JOSSE WILLIAMS</t>
  </si>
  <si>
    <t xml:space="preserve">14 AVENUE DUQUESNE</t>
  </si>
  <si>
    <t xml:space="preserve">01 40 56 40 24</t>
  </si>
  <si>
    <t xml:space="preserve">https://biocodex6--c.vf.force.com/0014L00000KFhUeQAL</t>
  </si>
  <si>
    <t xml:space="preserve">VIVIER DARRAGON</t>
  </si>
  <si>
    <t xml:space="preserve">VIVIER DARRAGON CHRISTINE</t>
  </si>
  <si>
    <t xml:space="preserve">https://biocodex6--c.vf.force.com/0014L00000KFY4kQAH</t>
  </si>
  <si>
    <t xml:space="preserve">SLATTERY</t>
  </si>
  <si>
    <t xml:space="preserve">FRANCIS</t>
  </si>
  <si>
    <t xml:space="preserve">SLATTERY FRANCIS</t>
  </si>
  <si>
    <t xml:space="preserve">01 47 42 02 34</t>
  </si>
  <si>
    <t xml:space="preserve">https://biocodex6--c.vf.force.com/0014L00000KG2HcQAL</t>
  </si>
  <si>
    <t xml:space="preserve">https://annuairesante.ameli.fr/professionnels-de-sante/recherche/fiche-detaillee-B7c1lTY2Mza0.html</t>
  </si>
  <si>
    <t xml:space="preserve">LARRE DOUILLARD</t>
  </si>
  <si>
    <t xml:space="preserve">LARRE DOUILLARD CATHERINE</t>
  </si>
  <si>
    <t xml:space="preserve">203 AVENUE CHARLES DE GAULLE</t>
  </si>
  <si>
    <t xml:space="preserve">01 47 45 01 45</t>
  </si>
  <si>
    <t xml:space="preserve">catdelta@gmail.com</t>
  </si>
  <si>
    <t xml:space="preserve">https://biocodex6--c.vf.force.com/0014L00000KFmD9QAL</t>
  </si>
  <si>
    <t xml:space="preserve">https://annuairesante.ameli.fr/professionnels-de-sante/recherche/fiche-detaillee-CbA1kjszODe2.html</t>
  </si>
  <si>
    <t xml:space="preserve">ASSOUS</t>
  </si>
  <si>
    <t xml:space="preserve">RAYMOND</t>
  </si>
  <si>
    <t xml:space="preserve">ASSOUS RAYMOND</t>
  </si>
  <si>
    <t xml:space="preserve">109 AVENUE CHARLES DE GAULLE</t>
  </si>
  <si>
    <t xml:space="preserve">01 47 47 66 02</t>
  </si>
  <si>
    <t xml:space="preserve">https://biocodex6--c.vf.force.com/0014L00000KFQoNQAX</t>
  </si>
  <si>
    <t xml:space="preserve">https://annuairesante.ameli.fr/professionnels-de-sante/recherche/fiche-detaillee-CbA1kjUzNjqw.html</t>
  </si>
  <si>
    <t xml:space="preserve">AUTIER</t>
  </si>
  <si>
    <t xml:space="preserve">AUTIER NATHALIE</t>
  </si>
  <si>
    <t xml:space="preserve">10 RUE BROWN SEQUARD</t>
  </si>
  <si>
    <t xml:space="preserve">RUE BROWN SEQUARD</t>
  </si>
  <si>
    <t xml:space="preserve">01 43 20 05 00</t>
  </si>
  <si>
    <t xml:space="preserve">https://biocodex6--c.vf.force.com/0014L00000KFvN2QAL</t>
  </si>
  <si>
    <t xml:space="preserve">GASTEAU</t>
  </si>
  <si>
    <t xml:space="preserve">GASTEAU FRANCOIS</t>
  </si>
  <si>
    <t xml:space="preserve">DOPP</t>
  </si>
  <si>
    <t xml:space="preserve">17 RUE GREUZE</t>
  </si>
  <si>
    <t xml:space="preserve">RUE GREUZE</t>
  </si>
  <si>
    <t xml:space="preserve">01 47 55 08 50</t>
  </si>
  <si>
    <t xml:space="preserve">https://biocodex6--c.vf.force.com/0014L00000KFfG3QAL</t>
  </si>
  <si>
    <t xml:space="preserve">https://annuairesante.ameli.fr/professionnels-de-sante/recherche/fiche-detaillee-B7c1ljcwMDe3.html</t>
  </si>
  <si>
    <t xml:space="preserve">MONSOH</t>
  </si>
  <si>
    <t xml:space="preserve">LINCOLN</t>
  </si>
  <si>
    <t xml:space="preserve">MONSOH LINCOLN</t>
  </si>
  <si>
    <t xml:space="preserve">https://biocodex6--c.vf.force.com/0014L00000KGKVCQA5</t>
  </si>
  <si>
    <t xml:space="preserve">CHEFTEL</t>
  </si>
  <si>
    <t xml:space="preserve">CHEFTEL ERIC</t>
  </si>
  <si>
    <t xml:space="preserve">1 VILLA BOISSIERE</t>
  </si>
  <si>
    <t xml:space="preserve">VILLA BOISSIERE</t>
  </si>
  <si>
    <t xml:space="preserve">09 54 40 63 27 // 06 86 32 36 08</t>
  </si>
  <si>
    <t xml:space="preserve">https://biocodex6--c.vf.force.com/0014L00000KFWNRQA5</t>
  </si>
  <si>
    <t xml:space="preserve">https://annuairesante.ameli.fr/professionnels-de-sante/recherche/fiche-detaillee-B7c1lDoyMTSy.html</t>
  </si>
  <si>
    <t xml:space="preserve">ZIELINSKI</t>
  </si>
  <si>
    <t xml:space="preserve">BEATRICE</t>
  </si>
  <si>
    <t xml:space="preserve">ZIELINSKI BEATRICE</t>
  </si>
  <si>
    <t xml:space="preserve">97 AVENUE DE LA BOURDONNAIS</t>
  </si>
  <si>
    <t xml:space="preserve">01 45 55 80 80</t>
  </si>
  <si>
    <t xml:space="preserve">https://biocodex6--c.vf.force.com/0014L00000KG6BaQAL</t>
  </si>
  <si>
    <t xml:space="preserve">https://annuairesante.ameli.fr/professionnels-de-sante/recherche/fiche-detaillee-B7c1kTA1MjC7.html</t>
  </si>
  <si>
    <t xml:space="preserve">BENZAKEN</t>
  </si>
  <si>
    <t xml:space="preserve">BENZAKEN ANNIE</t>
  </si>
  <si>
    <t xml:space="preserve">90 AVENUE PAUL DOUMER</t>
  </si>
  <si>
    <t xml:space="preserve">01 40 50 96 62</t>
  </si>
  <si>
    <t xml:space="preserve">https://biocodex6--c.vf.force.com/0014L00000KFSj1QAH</t>
  </si>
  <si>
    <t xml:space="preserve">https://annuairesante.ameli.fr/professionnels-de-sante/recherche/fiche-detaillee-B7c1lzMzNzS3.html</t>
  </si>
  <si>
    <t xml:space="preserve">LUNEAU</t>
  </si>
  <si>
    <t xml:space="preserve">LUNEAU SYLVIA</t>
  </si>
  <si>
    <t xml:space="preserve">https://biocodex6--c.vf.force.com/0014L00000KFp3pQAD</t>
  </si>
  <si>
    <t xml:space="preserve">https://annuairesante.ameli.fr/professionnels-de-sante/recherche/fiche-detaillee-B7c1kjswOTKz.html</t>
  </si>
  <si>
    <t xml:space="preserve">PARLIER</t>
  </si>
  <si>
    <t xml:space="preserve">PARLIER HENRI</t>
  </si>
  <si>
    <t xml:space="preserve">https://biocodex6--c.vf.force.com/0014L00000KFugVQAT</t>
  </si>
  <si>
    <t xml:space="preserve">WILLIOT</t>
  </si>
  <si>
    <t xml:space="preserve">WILLIOT PIERRE</t>
  </si>
  <si>
    <t xml:space="preserve">51 AVENUE RAYMOND POINCARE</t>
  </si>
  <si>
    <t xml:space="preserve">01 45 53 95 93</t>
  </si>
  <si>
    <t xml:space="preserve">https://biocodex6--c.vf.force.com/0014L00000KG5ugQAD</t>
  </si>
  <si>
    <t xml:space="preserve">https://annuairesante.ameli.fr/professionnels-de-sante/recherche/fiche-detaillee-B7c1kTE1MDq1.html</t>
  </si>
  <si>
    <t xml:space="preserve">CHAGNAUD</t>
  </si>
  <si>
    <t xml:space="preserve">CHAGNAUD SOPHIE</t>
  </si>
  <si>
    <t xml:space="preserve">4 AVENUE ST HONORE D EYLAU</t>
  </si>
  <si>
    <t xml:space="preserve">AVENUE ST HONORE D EYLAU</t>
  </si>
  <si>
    <t xml:space="preserve">01 56 88 17 11</t>
  </si>
  <si>
    <t xml:space="preserve">https://biocodex6--c.vf.force.com/0014L00000KFf28QAD</t>
  </si>
  <si>
    <t xml:space="preserve">https://annuairesante.ameli.fr/professionnels-de-sante/recherche/fiche-detaillee-B7c1mjA2Mzu3.html</t>
  </si>
  <si>
    <t xml:space="preserve">SACKSICK</t>
  </si>
  <si>
    <t xml:space="preserve">SACKSICK HUBERT</t>
  </si>
  <si>
    <t xml:space="preserve">OSTEO
ACU</t>
  </si>
  <si>
    <t xml:space="preserve">67 AVENUE VICTOR HUGO</t>
  </si>
  <si>
    <t xml:space="preserve">01 45 00 64 88</t>
  </si>
  <si>
    <t xml:space="preserve">https://biocodex6--c.vf.force.com/0014L00000KG04GQAT</t>
  </si>
  <si>
    <t xml:space="preserve">https://annuairesante.ameli.fr/professionnels-de-sante/recherche/fiche-detaillee-B7c1kDQ3MDGw.html</t>
  </si>
  <si>
    <t xml:space="preserve">ARSAN</t>
  </si>
  <si>
    <t xml:space="preserve">ARSAN JOSEPH</t>
  </si>
  <si>
    <t xml:space="preserve">21 AVENUE D IENA</t>
  </si>
  <si>
    <t xml:space="preserve">01 53 23 80 23</t>
  </si>
  <si>
    <t xml:space="preserve">https://biocodex6--c.vf.force.com/0014L00000KFS5cQAH</t>
  </si>
  <si>
    <t xml:space="preserve">KARDOUSS</t>
  </si>
  <si>
    <t xml:space="preserve">KARDOUSS JOSEPH</t>
  </si>
  <si>
    <t xml:space="preserve">6 RUE LA PEROUSE</t>
  </si>
  <si>
    <t xml:space="preserve">RUE LA PEROUSE</t>
  </si>
  <si>
    <t xml:space="preserve">01 53 67 35 35</t>
  </si>
  <si>
    <t xml:space="preserve">https://biocodex6--c.vf.force.com/0014L00000KFipLQAT</t>
  </si>
  <si>
    <t xml:space="preserve">DE WITASSE THEZY</t>
  </si>
  <si>
    <t xml:space="preserve">DE WITASSE THEZY CLAIRE</t>
  </si>
  <si>
    <t xml:space="preserve">https://biocodex6--c.vf.force.com/0014L00000KFXfUQAX</t>
  </si>
  <si>
    <t xml:space="preserve">MEYERS</t>
  </si>
  <si>
    <t xml:space="preserve">ANNE VALERIE</t>
  </si>
  <si>
    <t xml:space="preserve">MEYERS ANNE VALERIE</t>
  </si>
  <si>
    <t xml:space="preserve">10 RUE ROYALE</t>
  </si>
  <si>
    <t xml:space="preserve">01 42 66 47 82</t>
  </si>
  <si>
    <t xml:space="preserve">https://biocodex6--c.vf.force.com/0014L00000KFqHQQA1</t>
  </si>
  <si>
    <t xml:space="preserve">https://annuairesante.ameli.fr/professionnels-de-sante/recherche/fiche-detaillee-B7c1lzUwNDS2.html</t>
  </si>
  <si>
    <t xml:space="preserve">IRIGOIN GUICHANDUT</t>
  </si>
  <si>
    <t xml:space="preserve">IRIGOIN GUICHANDUT MARC</t>
  </si>
  <si>
    <t xml:space="preserve">9 RUE LEON VAUDOYER</t>
  </si>
  <si>
    <t xml:space="preserve">RUE LEON VAUDOYER</t>
  </si>
  <si>
    <t xml:space="preserve">01 41 10 27 17 // 01 47 05 86 48</t>
  </si>
  <si>
    <t xml:space="preserve">https://biocodex6--c.vf.force.com/0014L00000KFgEuQAL</t>
  </si>
  <si>
    <t xml:space="preserve">https://annuairesante.ameli.fr/professionnels-de-sante/recherche/fiche-detaillee-B7c1lzcxOTK0.html</t>
  </si>
  <si>
    <t xml:space="preserve">AN</t>
  </si>
  <si>
    <t xml:space="preserve">KIM</t>
  </si>
  <si>
    <t xml:space="preserve">AN KIM</t>
  </si>
  <si>
    <t xml:space="preserve">https://biocodex6--c.vf.force.com/0014L00000KFQOtQAP</t>
  </si>
  <si>
    <t xml:space="preserve">ROUZAUD</t>
  </si>
  <si>
    <t xml:space="preserve">ROUZAUD CLAIRE</t>
  </si>
  <si>
    <t xml:space="preserve">https://biocodex6--c.vf.force.com/0014L00000KFOQsQAP</t>
  </si>
  <si>
    <t xml:space="preserve">AMIOT</t>
  </si>
  <si>
    <t xml:space="preserve">AURELIEN</t>
  </si>
  <si>
    <t xml:space="preserve">AMIOT AURELIEN</t>
  </si>
  <si>
    <t xml:space="preserve">205 RUE DE JAVEL</t>
  </si>
  <si>
    <t xml:space="preserve">01 53 68 43 00</t>
  </si>
  <si>
    <t xml:space="preserve">https://biocodex6--c.vf.force.com/0014L00000KFRmsQAH</t>
  </si>
  <si>
    <t xml:space="preserve">FACON CAMBRAI</t>
  </si>
  <si>
    <t xml:space="preserve">FACON CAMBRAI LAURENCE</t>
  </si>
  <si>
    <t xml:space="preserve">https://biocodex6--c.vf.force.com/0014L00000KFacjQAD</t>
  </si>
  <si>
    <t xml:space="preserve">RIBAUT</t>
  </si>
  <si>
    <t xml:space="preserve">RIBAUT NATHALIE</t>
  </si>
  <si>
    <t xml:space="preserve">https://biocodex6--c.vf.force.com/0014L00000KFzEIQA1</t>
  </si>
  <si>
    <t xml:space="preserve">HADRAMI</t>
  </si>
  <si>
    <t xml:space="preserve">JAMAL</t>
  </si>
  <si>
    <t xml:space="preserve">HADRAMI JAMAL</t>
  </si>
  <si>
    <t xml:space="preserve">01 40 88 61 87</t>
  </si>
  <si>
    <t xml:space="preserve">https://biocodex6--c.vf.force.com/0014L00000KFi2IQAT</t>
  </si>
  <si>
    <t xml:space="preserve">DUTECH</t>
  </si>
  <si>
    <t xml:space="preserve">MIREILLE</t>
  </si>
  <si>
    <t xml:space="preserve">DUTECH MIREILLE</t>
  </si>
  <si>
    <t xml:space="preserve">https://biocodex6--c.vf.force.com/0014L00000KFZoXQAX</t>
  </si>
  <si>
    <t xml:space="preserve">CHAPON</t>
  </si>
  <si>
    <t xml:space="preserve">CHAPON CHRISTOPHE</t>
  </si>
  <si>
    <t xml:space="preserve">01 47 47 70 15 // 01 46 41 25 00</t>
  </si>
  <si>
    <t xml:space="preserve">https://biocodex6--c.vf.force.com/0014L00000KFfJ0QAL</t>
  </si>
  <si>
    <t xml:space="preserve">https://annuairesante.ameli.fr/professionnels-de-sante/recherche/fiche-detaillee-CbA1lTI0NzOz.html</t>
  </si>
  <si>
    <t xml:space="preserve">MIMURA</t>
  </si>
  <si>
    <t xml:space="preserve">YOSHIHIRO</t>
  </si>
  <si>
    <t xml:space="preserve">MIMURA YOSHIHIRO</t>
  </si>
  <si>
    <t xml:space="preserve">01 46 41 25 15</t>
  </si>
  <si>
    <t xml:space="preserve">https://biocodex6--c.vf.force.com/0014L00000KGFP8QAP</t>
  </si>
  <si>
    <t xml:space="preserve">PAPON</t>
  </si>
  <si>
    <t xml:space="preserve">PAPON BENOIT</t>
  </si>
  <si>
    <t xml:space="preserve">01 47 47 70 15</t>
  </si>
  <si>
    <t xml:space="preserve">https://biocodex6--c.vf.force.com/0014L00000KFubiQAD</t>
  </si>
  <si>
    <t xml:space="preserve">SHIGGINS</t>
  </si>
  <si>
    <t xml:space="preserve">SHIGGINS RICHARD</t>
  </si>
  <si>
    <t xml:space="preserve">https://biocodex6--c.vf.force.com/0014L00000KFfboQAD</t>
  </si>
  <si>
    <t xml:space="preserve">HONG MAI</t>
  </si>
  <si>
    <t xml:space="preserve">NGUYEN HONG MAI</t>
  </si>
  <si>
    <t xml:space="preserve">95 RUE DE LA FAISANDERIE</t>
  </si>
  <si>
    <t xml:space="preserve">RUE DE LA FAISANDERIE</t>
  </si>
  <si>
    <t xml:space="preserve">01 45 04 87 55</t>
  </si>
  <si>
    <t xml:space="preserve">https://biocodex6--c.vf.force.com/0014L00000KFpJbQAL</t>
  </si>
  <si>
    <t xml:space="preserve">https://annuairesante.ameli.fr/professionnels-de-sante/recherche/fiche-detaillee-B7c1lzE2ODq1.html</t>
  </si>
  <si>
    <t xml:space="preserve">SIRBOUX</t>
  </si>
  <si>
    <t xml:space="preserve">SIRBOUX THOMAS</t>
  </si>
  <si>
    <t xml:space="preserve">https://biocodex6--c.vf.force.com/0014L00000KG29PQAT</t>
  </si>
  <si>
    <t xml:space="preserve">KUTNER</t>
  </si>
  <si>
    <t xml:space="preserve">KUTNER JEAN PIERRE</t>
  </si>
  <si>
    <t xml:space="preserve">01 48 97 50 05 // 01 53 93 92 50</t>
  </si>
  <si>
    <t xml:space="preserve">https://biocodex6--c.vf.force.com/0014L00000KFl8BQAT</t>
  </si>
  <si>
    <t xml:space="preserve">https://annuairesante.ameli.fr/professionnels-de-sante/recherche/fiche-detaillee-B7c1lTI3MjS6.html</t>
  </si>
  <si>
    <t xml:space="preserve">MERESSE JANSSEN</t>
  </si>
  <si>
    <t xml:space="preserve">MERESSE JANSSEN ISABELLE</t>
  </si>
  <si>
    <t xml:space="preserve">https://biocodex6--c.vf.force.com/0014L00000KFq0JQAT</t>
  </si>
  <si>
    <t xml:space="preserve">KHELIFI</t>
  </si>
  <si>
    <t xml:space="preserve">KHELIFI GREGORY</t>
  </si>
  <si>
    <t xml:space="preserve">https://biocodex6--c.vf.force.com/0014L00000KFhwoQAD</t>
  </si>
  <si>
    <t xml:space="preserve">BAHI BUISSON</t>
  </si>
  <si>
    <t xml:space="preserve">BAHI BUISSON NADIA</t>
  </si>
  <si>
    <t xml:space="preserve">https://biocodex6--c.vf.force.com/0014L00000KFTjzQAH</t>
  </si>
  <si>
    <t xml:space="preserve">CHIRON</t>
  </si>
  <si>
    <t xml:space="preserve">CHIRON CATHERINE</t>
  </si>
  <si>
    <t xml:space="preserve">https://biocodex6--c.vf.force.com/0014L00000KFWWZQA5</t>
  </si>
  <si>
    <t xml:space="preserve">PUGET</t>
  </si>
  <si>
    <t xml:space="preserve">PUGET STEPHANIE</t>
  </si>
  <si>
    <t xml:space="preserve">https://biocodex6--c.vf.force.com/0014L00000KFxgBQAT</t>
  </si>
  <si>
    <t xml:space="preserve">DE PANTHOU LECOCQ</t>
  </si>
  <si>
    <t xml:space="preserve">DE PANTHOU LECOCQ CHARLOTTE</t>
  </si>
  <si>
    <t xml:space="preserve">https://biocodex6--c.vf.force.com/0014L00000KFmStQAL</t>
  </si>
  <si>
    <t xml:space="preserve">VIGNOLO</t>
  </si>
  <si>
    <t xml:space="preserve">VIGNOLO PATRICIA</t>
  </si>
  <si>
    <t xml:space="preserve">01 40 88 62 40</t>
  </si>
  <si>
    <t xml:space="preserve">https://biocodex6--c.vf.force.com/0014L00000KFZyxQAH</t>
  </si>
  <si>
    <t xml:space="preserve">CONNAULT</t>
  </si>
  <si>
    <t xml:space="preserve">CONNAULT THIERRY</t>
  </si>
  <si>
    <t xml:space="preserve">https://biocodex6--c.vf.force.com/0014L00000KFXMzQAP</t>
  </si>
  <si>
    <t xml:space="preserve">https://annuairesante.ameli.fr/professionnels-de-sante/recherche/fiche-detaillee-B7c1lDsxODq2.html</t>
  </si>
  <si>
    <t xml:space="preserve">GALLOIS</t>
  </si>
  <si>
    <t xml:space="preserve">GALLOIS CLAIRE</t>
  </si>
  <si>
    <t xml:space="preserve">https://biocodex6--c.vf.force.com/0014L00000KG8ubQAD</t>
  </si>
  <si>
    <t xml:space="preserve">KADDOUR BRAHIM</t>
  </si>
  <si>
    <t xml:space="preserve">ABDELKHALED</t>
  </si>
  <si>
    <t xml:space="preserve">KADDOUR BRAHIM ABDELKHALED</t>
  </si>
  <si>
    <t xml:space="preserve">STO</t>
  </si>
  <si>
    <t xml:space="preserve">01 44 49 59 80</t>
  </si>
  <si>
    <t xml:space="preserve">https://biocodex6--c.vf.force.com/0014L00000KFiNGQA1</t>
  </si>
  <si>
    <t xml:space="preserve">ATTAL BEHAR</t>
  </si>
  <si>
    <t xml:space="preserve">ATTAL BEHAR JULIE</t>
  </si>
  <si>
    <t xml:space="preserve">20 AVENUE RAPP</t>
  </si>
  <si>
    <t xml:space="preserve">01 44 18 00 44</t>
  </si>
  <si>
    <t xml:space="preserve">https://biocodex6--c.vf.force.com/0014L00000KFSGQQA5</t>
  </si>
  <si>
    <t xml:space="preserve">https://annuairesante.ameli.fr/professionnels-de-sante/recherche/fiche-detaillee-B7c1lTE4NTC3.html</t>
  </si>
  <si>
    <t xml:space="preserve">BENOIT SAUVAN</t>
  </si>
  <si>
    <t xml:space="preserve">BENOIT SAUVAN MARIE CHRISTINE</t>
  </si>
  <si>
    <t xml:space="preserve">53 RUE DU GENERAL DELESTRAINT</t>
  </si>
  <si>
    <t xml:space="preserve">RUE DU GENERAL DELESTRAINT</t>
  </si>
  <si>
    <t xml:space="preserve">01 46 51 05 64</t>
  </si>
  <si>
    <t xml:space="preserve">https://biocodex6--c.vf.force.com/0014L00000KFSm0QAH</t>
  </si>
  <si>
    <t xml:space="preserve">https://annuairesante.ameli.fr/professionnels-de-sante/recherche/fiche-detaillee-B7c1ljcxMjWz.html</t>
  </si>
  <si>
    <t xml:space="preserve">RAFII TABRIZI</t>
  </si>
  <si>
    <t xml:space="preserve">ARASH JEREMIE</t>
  </si>
  <si>
    <t xml:space="preserve">RAFII TABRIZI ARASH JEREMIE</t>
  </si>
  <si>
    <t xml:space="preserve">01 45 63 00 00</t>
  </si>
  <si>
    <t xml:space="preserve">https://biocodex6--c.vf.force.com/0014L00000KFyr3QAD</t>
  </si>
  <si>
    <t xml:space="preserve">BERTOZZI</t>
  </si>
  <si>
    <t xml:space="preserve">BERTOZZI NICOLAS</t>
  </si>
  <si>
    <t xml:space="preserve">https://biocodex6--c.vf.force.com/0014L00000KFT12QAH</t>
  </si>
  <si>
    <t xml:space="preserve">ENCLOS</t>
  </si>
  <si>
    <t xml:space="preserve">ENCLOS SOPHIE</t>
  </si>
  <si>
    <t xml:space="preserve">https://biocodex6--c.vf.force.com/0014L00000KFLBIQA5</t>
  </si>
  <si>
    <t xml:space="preserve">GRAPPE</t>
  </si>
  <si>
    <t xml:space="preserve">PRISCILLE</t>
  </si>
  <si>
    <t xml:space="preserve">GRAPPE PRISCILLE</t>
  </si>
  <si>
    <t xml:space="preserve">https://biocodex6--c.vf.force.com/0014L00000KFNouQAH</t>
  </si>
  <si>
    <t xml:space="preserve">CHATAIGNAULT</t>
  </si>
  <si>
    <t xml:space="preserve">CHATAIGNAULT PHILIPPE</t>
  </si>
  <si>
    <t xml:space="preserve">45 RUE KLEBER</t>
  </si>
  <si>
    <t xml:space="preserve">01 82 24 84 19</t>
  </si>
  <si>
    <t xml:space="preserve">https://biocodex6--c.vf.force.com/0014L00000KFWHWQA5</t>
  </si>
  <si>
    <t xml:space="preserve">GRENIER MIROUX</t>
  </si>
  <si>
    <t xml:space="preserve">MARIE PASCALE</t>
  </si>
  <si>
    <t xml:space="preserve">GRENIER MIROUX MARIE PASCALE</t>
  </si>
  <si>
    <t xml:space="preserve">01 40 48 14 44</t>
  </si>
  <si>
    <t xml:space="preserve">https://biocodex6--c.vf.force.com/0014L00000KFgyWQAT</t>
  </si>
  <si>
    <t xml:space="preserve">PATTEAU</t>
  </si>
  <si>
    <t xml:space="preserve">PATTEAU GERALDINE</t>
  </si>
  <si>
    <t xml:space="preserve">01 45 55 29 00</t>
  </si>
  <si>
    <t xml:space="preserve">https://biocodex6--c.vf.force.com/0014L00000KFwb4QAD</t>
  </si>
  <si>
    <t xml:space="preserve">BATON AUBOUY</t>
  </si>
  <si>
    <t xml:space="preserve">BATON AUBOUY CHRISTINE</t>
  </si>
  <si>
    <t xml:space="preserve">01 44 49 43 15</t>
  </si>
  <si>
    <t xml:space="preserve">https://biocodex6--c.vf.force.com/0014L00000KFRvkQAH</t>
  </si>
  <si>
    <t xml:space="preserve">BOUKRICHE</t>
  </si>
  <si>
    <t xml:space="preserve">ABDELMALEK HABIB</t>
  </si>
  <si>
    <t xml:space="preserve">BOUKRICHE ABDELMALEK HABIB</t>
  </si>
  <si>
    <t xml:space="preserve">https://biocodex6--c.vf.force.com/0014L00000KFVr6QAH</t>
  </si>
  <si>
    <t xml:space="preserve">JABRE</t>
  </si>
  <si>
    <t xml:space="preserve">JABRE PATRICIA</t>
  </si>
  <si>
    <t xml:space="preserve">https://biocodex6--c.vf.force.com/0014L00000KFgh2QAD</t>
  </si>
  <si>
    <t xml:space="preserve">JAIS JEAN PHILIPPE</t>
  </si>
  <si>
    <t xml:space="preserve">01 44 49 46 12</t>
  </si>
  <si>
    <t xml:space="preserve">https://biocodex6--c.vf.force.com/0014L00000KFgIrQAL</t>
  </si>
  <si>
    <t xml:space="preserve">PHILIPPE PASCAL</t>
  </si>
  <si>
    <t xml:space="preserve">https://biocodex6--c.vf.force.com/0014L00000KFaxgQAD</t>
  </si>
  <si>
    <t xml:space="preserve">MICHALOUX</t>
  </si>
  <si>
    <t xml:space="preserve">MICHALOUX MAUD</t>
  </si>
  <si>
    <t xml:space="preserve">https://biocodex6--c.vf.force.com/0014L00000KFsBYQA1</t>
  </si>
  <si>
    <t xml:space="preserve">POUJOL</t>
  </si>
  <si>
    <t xml:space="preserve">POUJOL PHILIPPE</t>
  </si>
  <si>
    <t xml:space="preserve">209 RUE DE VAUGIRARD</t>
  </si>
  <si>
    <t xml:space="preserve">https://biocodex6--c.vf.force.com/0014L00000KFwmtQAD</t>
  </si>
  <si>
    <t xml:space="preserve">WILLEM</t>
  </si>
  <si>
    <t xml:space="preserve">WILLEM JEAN PIERRE</t>
  </si>
  <si>
    <t xml:space="preserve">9 RUE DU GENERAL BEURET</t>
  </si>
  <si>
    <t xml:space="preserve">01 42 50 10 58</t>
  </si>
  <si>
    <t xml:space="preserve">https://biocodex6--c.vf.force.com/0014L00000KG6SFQA1</t>
  </si>
  <si>
    <t xml:space="preserve">VERCKEN</t>
  </si>
  <si>
    <t xml:space="preserve">VERCKEN JEAN BAPTISTE</t>
  </si>
  <si>
    <t xml:space="preserve">https://biocodex6--c.vf.force.com/0014L00000KG4eJQAT</t>
  </si>
  <si>
    <t xml:space="preserve">DE LUZE</t>
  </si>
  <si>
    <t xml:space="preserve">THIBAUT</t>
  </si>
  <si>
    <t xml:space="preserve">DE LUZE THIBAUT</t>
  </si>
  <si>
    <t xml:space="preserve">https://biocodex6--c.vf.force.com/0014L00000KFZAQQA5</t>
  </si>
  <si>
    <t xml:space="preserve">HUTIN</t>
  </si>
  <si>
    <t xml:space="preserve">HUTIN ALICE</t>
  </si>
  <si>
    <t xml:space="preserve">https://biocodex6--c.vf.force.com/0014L00000KG55QQAT</t>
  </si>
  <si>
    <t xml:space="preserve">SOMPAIRAC</t>
  </si>
  <si>
    <t xml:space="preserve">SOMPAIRAC OLIVIER</t>
  </si>
  <si>
    <t xml:space="preserve">22 RUE DES SABLONS</t>
  </si>
  <si>
    <t xml:space="preserve">01 53 70 90 00</t>
  </si>
  <si>
    <t xml:space="preserve">https://biocodex6--c.vf.force.com/0014L00000KG1szQAD</t>
  </si>
  <si>
    <t xml:space="preserve">https://annuairesante.ameli.fr/professionnels-de-sante/recherche/fiche-detaillee-B7c1ljQ0OTO3.html</t>
  </si>
  <si>
    <t xml:space="preserve">09:00-11:30(D)
11:30-12:30(R)
13:30-14:00(R)</t>
  </si>
  <si>
    <t xml:space="preserve">FLAMARION</t>
  </si>
  <si>
    <t xml:space="preserve">EDOUARD</t>
  </si>
  <si>
    <t xml:space="preserve">FLAMARION EDOUARD</t>
  </si>
  <si>
    <t xml:space="preserve">01 56 09 33 32</t>
  </si>
  <si>
    <t xml:space="preserve">https://biocodex6--c.vf.force.com/0014L00000KG9FbQAL</t>
  </si>
  <si>
    <t xml:space="preserve">PINELLI</t>
  </si>
  <si>
    <t xml:space="preserve">PINELLI GUILLAUME</t>
  </si>
  <si>
    <t xml:space="preserve">https://biocodex6--c.vf.force.com/0014L00000KFwuLQAT</t>
  </si>
  <si>
    <t xml:space="preserve">BADER</t>
  </si>
  <si>
    <t xml:space="preserve">BADER GEORGES</t>
  </si>
  <si>
    <t xml:space="preserve">01 46 39 89 29</t>
  </si>
  <si>
    <t xml:space="preserve">https://biocodex6--c.vf.force.com/0014L00000KFThLQAX</t>
  </si>
  <si>
    <t xml:space="preserve">https://annuairesante.ameli.fr/professionnels-de-sante/recherche/fiche-detaillee-CbA1lTAxOTKy.html</t>
  </si>
  <si>
    <t xml:space="preserve">[Timestamp('2023-09-18 14:00:00'), Timestamp('2024-01-29 16:00:00')]</t>
  </si>
  <si>
    <t xml:space="preserve">CHARPENTIER DE PUGET</t>
  </si>
  <si>
    <t xml:space="preserve">CHARPENTIER DE PUGET MARINE</t>
  </si>
  <si>
    <t xml:space="preserve">01 84 79 25 35</t>
  </si>
  <si>
    <t xml:space="preserve">docteurdepuget@gmail.com</t>
  </si>
  <si>
    <t xml:space="preserve">https://biocodex6--c.vf.force.com/0014L00000KG9YJQA1</t>
  </si>
  <si>
    <t xml:space="preserve">https://annuairesante.ameli.fr/professionnels-de-sante/recherche/fiche-detaillee-B7c1kjU0MzS1.html</t>
  </si>
  <si>
    <t xml:space="preserve">[Timestamp('2023-08-29 14:00:00'), Timestamp('2023-12-19 13:00:00')]</t>
  </si>
  <si>
    <t xml:space="preserve">GREFFET</t>
  </si>
  <si>
    <t xml:space="preserve">GREFFET AGNES</t>
  </si>
  <si>
    <t xml:space="preserve">01 44 49 40 85</t>
  </si>
  <si>
    <t xml:space="preserve">https://biocodex6--c.vf.force.com/0014L00000KFdqQQAT</t>
  </si>
  <si>
    <t xml:space="preserve">SCEMAMA ITTAH</t>
  </si>
  <si>
    <t xml:space="preserve">SCEMAMA ITTAH FLORENCE</t>
  </si>
  <si>
    <t xml:space="preserve">83 BOULEVARD DE COURCELLES</t>
  </si>
  <si>
    <t xml:space="preserve">01 47 63 86 75</t>
  </si>
  <si>
    <t xml:space="preserve">https://biocodex6--c.vf.force.com/0014L00000YvMVyQAN</t>
  </si>
  <si>
    <t xml:space="preserve">https://annuairesante.ameli.fr/professionnels-de-sante/recherche/fiche-detaillee-B7c1kTo5Mje1.html</t>
  </si>
  <si>
    <t xml:space="preserve">KAHN</t>
  </si>
  <si>
    <t xml:space="preserve">KAHN VANESSA</t>
  </si>
  <si>
    <t xml:space="preserve">01 42 63 72 46 // 01 40 72 33 33</t>
  </si>
  <si>
    <t xml:space="preserve">https://biocodex6--c.vf.force.com/0014L00000KFbrpQAD</t>
  </si>
  <si>
    <t xml:space="preserve">https://annuairesante.ameli.fr/professionnels-de-sante/recherche/fiche-detaillee-B7c1lTM2NTCz.html</t>
  </si>
  <si>
    <t xml:space="preserve">CARRET REBILLAT</t>
  </si>
  <si>
    <t xml:space="preserve">CARRET REBILLAT ANNE SOPHIE</t>
  </si>
  <si>
    <t xml:space="preserve">01 56 58 63 00</t>
  </si>
  <si>
    <t xml:space="preserve">https://biocodex6--c.vf.force.com/0014L00000KFirxQAD</t>
  </si>
  <si>
    <t xml:space="preserve">SEROUSSI</t>
  </si>
  <si>
    <t xml:space="preserve">SEROUSSI DAN</t>
  </si>
  <si>
    <t xml:space="preserve">01 53 75 06 55</t>
  </si>
  <si>
    <t xml:space="preserve">https://biocodex6--c.vf.force.com/0014L00000KGBwzQAH</t>
  </si>
  <si>
    <t xml:space="preserve">ROCHE</t>
  </si>
  <si>
    <t xml:space="preserve">SERENA</t>
  </si>
  <si>
    <t xml:space="preserve">ROCHE SERENA</t>
  </si>
  <si>
    <t xml:space="preserve">12 RUE DE SAIGON</t>
  </si>
  <si>
    <t xml:space="preserve">RUE DE SAIGON</t>
  </si>
  <si>
    <t xml:space="preserve">01 45 32 67 51</t>
  </si>
  <si>
    <t xml:space="preserve">https://biocodex6--c.vf.force.com/0014L00000KFzjsQAD</t>
  </si>
  <si>
    <t xml:space="preserve">https://annuairesante.ameli.fr/professionnels-de-sante/recherche/fiche-detaillee-B7c1lTMyNjq0.html</t>
  </si>
  <si>
    <t xml:space="preserve">BITOUN</t>
  </si>
  <si>
    <t xml:space="preserve">BITOUN CAROLINE</t>
  </si>
  <si>
    <t xml:space="preserve">1 RUE DE CHAZELLES</t>
  </si>
  <si>
    <t xml:space="preserve">01 53 10 10 01</t>
  </si>
  <si>
    <t xml:space="preserve">https://biocodex6--c.vf.force.com/0014L00000KFX2jQAH</t>
  </si>
  <si>
    <t xml:space="preserve">https://annuairesante.ameli.fr/professionnels-de-sante/recherche/fiche-detaillee-B7c1lDEyNTG6.html</t>
  </si>
  <si>
    <t xml:space="preserve">RAHMI</t>
  </si>
  <si>
    <t xml:space="preserve">RAHMI GABRIEL</t>
  </si>
  <si>
    <t xml:space="preserve">01 56 09 35 61 // 01 56 09 57 67</t>
  </si>
  <si>
    <t xml:space="preserve">https://biocodex6--c.vf.force.com/0014L00000KFz0BQAT</t>
  </si>
  <si>
    <t xml:space="preserve">https://annuairesante.ameli.fr/professionnels-de-sante/recherche/fiche-detaillee-B7c1mzY4MjWw.html</t>
  </si>
  <si>
    <t xml:space="preserve">TAIEB JULIEN</t>
  </si>
  <si>
    <t xml:space="preserve">https://biocodex6--c.vf.force.com/0014L00000KG3DVQA1</t>
  </si>
  <si>
    <t xml:space="preserve">LESCS</t>
  </si>
  <si>
    <t xml:space="preserve">LESCS JACQUES</t>
  </si>
  <si>
    <t xml:space="preserve">https://biocodex6--c.vf.force.com/0014L00000KFo9sQAD</t>
  </si>
  <si>
    <t xml:space="preserve">PIETRIGA</t>
  </si>
  <si>
    <t xml:space="preserve">JEAN JACQUES</t>
  </si>
  <si>
    <t xml:space="preserve">PIETRIGA JEAN JACQUES</t>
  </si>
  <si>
    <t xml:space="preserve">https://biocodex6--c.vf.force.com/0014L00000KFw2IQAT</t>
  </si>
  <si>
    <t xml:space="preserve">AZRIA</t>
  </si>
  <si>
    <t xml:space="preserve">PHILIPPE BENJAMIN</t>
  </si>
  <si>
    <t xml:space="preserve">AZRIA PHILIPPE BENJAMIN</t>
  </si>
  <si>
    <t xml:space="preserve">https://biocodex6--c.vf.force.com/0014L00000KFSRrQAP</t>
  </si>
  <si>
    <t xml:space="preserve">AZOULAY ZYSS</t>
  </si>
  <si>
    <t xml:space="preserve">AZOULAY ZYSS JULIE</t>
  </si>
  <si>
    <t xml:space="preserve">https://biocodex6--c.vf.force.com/0014L00000KG71LQAT</t>
  </si>
  <si>
    <t xml:space="preserve">BOHBOT</t>
  </si>
  <si>
    <t xml:space="preserve">BOHBOT STEPHANE</t>
  </si>
  <si>
    <t xml:space="preserve">46 AVENUE MOZART</t>
  </si>
  <si>
    <t xml:space="preserve">01 42 88 06 26</t>
  </si>
  <si>
    <t xml:space="preserve">https://biocodex6--c.vf.force.com/0014L00000KFUZNQA5</t>
  </si>
  <si>
    <t xml:space="preserve">https://annuairesante.ameli.fr/professionnels-de-sante/recherche/fiche-detaillee-B7c1mzY4MjS2.html</t>
  </si>
  <si>
    <t xml:space="preserve">12:00-13:00(D)
09:00-12:00(R)</t>
  </si>
  <si>
    <t xml:space="preserve">PENA</t>
  </si>
  <si>
    <t xml:space="preserve">PENA SIBYLLE</t>
  </si>
  <si>
    <t xml:space="preserve">https://biocodex6--c.vf.force.com/0014L00000KFvZGQA1</t>
  </si>
  <si>
    <t xml:space="preserve">[Timestamp('2023-10-13 15:00:00'), Timestamp('2023-12-01 15:30:00'), Timestamp('2024-02-21 11:00:00'), Timestamp('2024-06-17 19:00:00')]</t>
  </si>
  <si>
    <t xml:space="preserve">BERGONT</t>
  </si>
  <si>
    <t xml:space="preserve">BERGONT FRANCOISE</t>
  </si>
  <si>
    <t xml:space="preserve">49 AVENUE DE WAGRAM</t>
  </si>
  <si>
    <t xml:space="preserve">01 43 80 69 40 // 06 11 33 86 20</t>
  </si>
  <si>
    <t xml:space="preserve">https://biocodex6--c.vf.force.com/0014L00000KFSmWQAX</t>
  </si>
  <si>
    <t xml:space="preserve">https://annuairesante.ameli.fr/professionnels-de-sante/recherche/fiche-detaillee-B7c1ljMxNzCz.html</t>
  </si>
  <si>
    <t xml:space="preserve">ESTEGASSY</t>
  </si>
  <si>
    <t xml:space="preserve">OURY</t>
  </si>
  <si>
    <t xml:space="preserve">ESTEGASSY OURY</t>
  </si>
  <si>
    <t xml:space="preserve">88 AVENUE CHARLES DE GAULLE</t>
  </si>
  <si>
    <t xml:space="preserve">01 46 37 79 59</t>
  </si>
  <si>
    <t xml:space="preserve">https://biocodex6--c.vf.force.com/0014L00000KFQV8QAP</t>
  </si>
  <si>
    <t xml:space="preserve">https://annuairesante.ameli.fr/professionnels-de-sante/recherche/fiche-detaillee-CbA1kDMzNTKw.html</t>
  </si>
  <si>
    <t xml:space="preserve">BOUVIER</t>
  </si>
  <si>
    <t xml:space="preserve">BOUVIER ANTOINE</t>
  </si>
  <si>
    <t xml:space="preserve">https://biocodex6--c.vf.force.com/0014L00000KFW9dQAH</t>
  </si>
  <si>
    <t xml:space="preserve">ESFANDIARI</t>
  </si>
  <si>
    <t xml:space="preserve">ESFANDIARI ALEXANDRA</t>
  </si>
  <si>
    <t xml:space="preserve">https://biocodex6--c.vf.force.com/0014L00000KFQRnQAP</t>
  </si>
  <si>
    <t xml:space="preserve">TORCHIN</t>
  </si>
  <si>
    <t xml:space="preserve">TORCHIN DANIELLE</t>
  </si>
  <si>
    <t xml:space="preserve">18 RUE DU GENERAL BEURET</t>
  </si>
  <si>
    <t xml:space="preserve">01 45 32 57 51</t>
  </si>
  <si>
    <t xml:space="preserve">https://biocodex6--c.vf.force.com/0014L00000KG3QQQA1</t>
  </si>
  <si>
    <t xml:space="preserve">https://annuairesante.ameli.fr/professionnels-de-sante/recherche/fiche-detaillee-B7c1kTszMTey.html</t>
  </si>
  <si>
    <t xml:space="preserve">BERRADA</t>
  </si>
  <si>
    <t xml:space="preserve">HANANE</t>
  </si>
  <si>
    <t xml:space="preserve">BERRADA HANANE</t>
  </si>
  <si>
    <t xml:space="preserve">https://biocodex6--c.vf.force.com/0014L00000KGDEbQAP</t>
  </si>
  <si>
    <t xml:space="preserve">GELINET</t>
  </si>
  <si>
    <t xml:space="preserve">GELINET JEAN MARC</t>
  </si>
  <si>
    <t xml:space="preserve">01 40 08 88 00 // 01 47 63 37 94</t>
  </si>
  <si>
    <t xml:space="preserve">https://biocodex6--c.vf.force.com/0014L00000KFfWzQAL</t>
  </si>
  <si>
    <t xml:space="preserve">https://annuairesante.ameli.fr/professionnels-de-sante/recherche/fiche-detaillee-B7c1kTc0NTSz.html</t>
  </si>
  <si>
    <t xml:space="preserve">16:30-19:30(R)</t>
  </si>
  <si>
    <t xml:space="preserve">PAUPHILET</t>
  </si>
  <si>
    <t xml:space="preserve">CYRILLE</t>
  </si>
  <si>
    <t xml:space="preserve">PAUPHILET CYRILLE</t>
  </si>
  <si>
    <t xml:space="preserve">28 AVENUE DU PRESIDENT WILSON</t>
  </si>
  <si>
    <t xml:space="preserve">01 78 90 00 40</t>
  </si>
  <si>
    <t xml:space="preserve">https://biocodex6--c.vf.force.com/0014L00000KFv4IQAT</t>
  </si>
  <si>
    <t xml:space="preserve">https://annuairesante.ameli.fr/professionnels-de-sante/recherche/fiche-detaillee-B7c1lzA4MDe6.html</t>
  </si>
  <si>
    <t xml:space="preserve">[Timestamp('2024-01-03 17:00:00'), Timestamp('2024-05-30 10:00:00')]</t>
  </si>
  <si>
    <t xml:space="preserve">PELTZ AIM</t>
  </si>
  <si>
    <t xml:space="preserve">JENNYFER</t>
  </si>
  <si>
    <t xml:space="preserve">PELTZ AIM JENNYFER</t>
  </si>
  <si>
    <t xml:space="preserve">https://biocodex6--c.vf.force.com/0014L00000KFvViQAL</t>
  </si>
  <si>
    <t xml:space="preserve">https://annuairesante.ameli.fr/professionnels-de-sante/recherche/fiche-detaillee-B7c1lTE5MTWy.html</t>
  </si>
  <si>
    <t xml:space="preserve">TERRASSE</t>
  </si>
  <si>
    <t xml:space="preserve">LINDA</t>
  </si>
  <si>
    <t xml:space="preserve">TERRASSE LINDA</t>
  </si>
  <si>
    <t xml:space="preserve">TAB</t>
  </si>
  <si>
    <t xml:space="preserve">19 RUE BARGUE</t>
  </si>
  <si>
    <t xml:space="preserve">RUE BARGUE</t>
  </si>
  <si>
    <t xml:space="preserve">01 43 06 38 56</t>
  </si>
  <si>
    <t xml:space="preserve">https://biocodex6--c.vf.force.com/0014L00000KG3KEQA1</t>
  </si>
  <si>
    <t xml:space="preserve">https://annuairesante.ameli.fr/professionnels-de-sante/recherche/fiche-detaillee-B7c1lDcwOTux.html</t>
  </si>
  <si>
    <t xml:space="preserve">GERMAIN CHRISTINE</t>
  </si>
  <si>
    <t xml:space="preserve">5 RUE FRANCOIS BONVIN</t>
  </si>
  <si>
    <t xml:space="preserve">RUE FRANCOIS BONVIN</t>
  </si>
  <si>
    <t xml:space="preserve">01 49 11 46 58</t>
  </si>
  <si>
    <t xml:space="preserve">https://biocodex6--c.vf.force.com/0014L00000KFfknQAD</t>
  </si>
  <si>
    <t xml:space="preserve">BAMBERGER</t>
  </si>
  <si>
    <t xml:space="preserve">BAMBERGER MARION</t>
  </si>
  <si>
    <t xml:space="preserve">69 AVENUE RAYMOND POINCARE</t>
  </si>
  <si>
    <t xml:space="preserve">01 45 53 95 87</t>
  </si>
  <si>
    <t xml:space="preserve">https://biocodex6--c.vf.force.com/0014L00000KGA4KQAX</t>
  </si>
  <si>
    <t xml:space="preserve">https://annuairesante.ameli.fr/professionnels-de-sante/recherche/fiche-detaillee-B7c1kjMzNjW3.html</t>
  </si>
  <si>
    <t xml:space="preserve">SAAL BOURENANE</t>
  </si>
  <si>
    <t xml:space="preserve">FELLA</t>
  </si>
  <si>
    <t xml:space="preserve">SAAL BOURENANE FELLA</t>
  </si>
  <si>
    <t xml:space="preserve">01 55 74 27 00</t>
  </si>
  <si>
    <t xml:space="preserve">https://biocodex6--c.vf.force.com/0014L00000KG1N0QAL</t>
  </si>
  <si>
    <t xml:space="preserve">FAURE</t>
  </si>
  <si>
    <t xml:space="preserve">FAURE LAURENCE</t>
  </si>
  <si>
    <t xml:space="preserve">https://biocodex6--c.vf.force.com/0014L00000KFNXwQAP</t>
  </si>
  <si>
    <t xml:space="preserve">https://annuairesante.ameli.fr/professionnels-de-sante/recherche/fiche-detaillee-B7c1lzY3MTez.html</t>
  </si>
  <si>
    <t xml:space="preserve">BLIN</t>
  </si>
  <si>
    <t xml:space="preserve">BLIN JEROME</t>
  </si>
  <si>
    <t xml:space="preserve">16 RUE DE TEHERAN</t>
  </si>
  <si>
    <t xml:space="preserve">RUE DE TEHERAN</t>
  </si>
  <si>
    <t xml:space="preserve">01 58 18 38 28</t>
  </si>
  <si>
    <t xml:space="preserve">https://biocodex6--c.vf.force.com/0014L00000KFUX4QAP</t>
  </si>
  <si>
    <t xml:space="preserve">https://annuairesante.ameli.fr/professionnels-de-sante/recherche/fiche-detaillee-B7c1lDs0NDW7.html</t>
  </si>
  <si>
    <t xml:space="preserve">JUMAH</t>
  </si>
  <si>
    <t xml:space="preserve">ALEXANDRE OMAR</t>
  </si>
  <si>
    <t xml:space="preserve">JUMAH ALEXANDRE OMAR</t>
  </si>
  <si>
    <t xml:space="preserve">18 RUE MARBEUF</t>
  </si>
  <si>
    <t xml:space="preserve">RUE MARBEUF</t>
  </si>
  <si>
    <t xml:space="preserve">01 47 23 42 22</t>
  </si>
  <si>
    <t xml:space="preserve">https://biocodex6--c.vf.force.com/0014L00000KFkPbQAL</t>
  </si>
  <si>
    <t xml:space="preserve">ZURCHER</t>
  </si>
  <si>
    <t xml:space="preserve">NOELLE</t>
  </si>
  <si>
    <t xml:space="preserve">ZURCHER NOELLE</t>
  </si>
  <si>
    <t xml:space="preserve">https://biocodex6--c.vf.force.com/0014L00000KG6GBQA1</t>
  </si>
  <si>
    <t xml:space="preserve">BACHE</t>
  </si>
  <si>
    <t xml:space="preserve">BACHE JULIA</t>
  </si>
  <si>
    <t xml:space="preserve">5 RUE LEON COGNIET</t>
  </si>
  <si>
    <t xml:space="preserve">01 47 63 42 07</t>
  </si>
  <si>
    <t xml:space="preserve">https://biocodex6--c.vf.force.com/0014L00000KFTj3QAH</t>
  </si>
  <si>
    <t xml:space="preserve">https://annuairesante.ameli.fr/professionnels-de-sante/recherche/fiche-detaillee-B7c1lDU4OTa3.html</t>
  </si>
  <si>
    <t xml:space="preserve">BEGEL DEVAUX</t>
  </si>
  <si>
    <t xml:space="preserve">BEGEL DEVAUX STEPHANIE</t>
  </si>
  <si>
    <t xml:space="preserve">140 AVENUE VICTOR HUGO</t>
  </si>
  <si>
    <t xml:space="preserve">09 75 27 44 63</t>
  </si>
  <si>
    <t xml:space="preserve">https://biocodex6--c.vf.force.com/0014L00000KFSYxQAP</t>
  </si>
  <si>
    <t xml:space="preserve">https://annuairesante.ameli.fr/professionnels-de-sante/recherche/fiche-detaillee-B7c1kjc1NTKx.html</t>
  </si>
  <si>
    <t xml:space="preserve">AYACHE ALEXANDRA</t>
  </si>
  <si>
    <t xml:space="preserve">MARIANNE</t>
  </si>
  <si>
    <t xml:space="preserve">COLIN MARIANNE</t>
  </si>
  <si>
    <t xml:space="preserve">01 56 09 56 51</t>
  </si>
  <si>
    <t xml:space="preserve">https://biocodex6--c.vf.force.com/0014L00000KFX9uQAH</t>
  </si>
  <si>
    <t xml:space="preserve">VILLEMUR</t>
  </si>
  <si>
    <t xml:space="preserve">VILLEMUR VERONIQUE</t>
  </si>
  <si>
    <t xml:space="preserve">9 PLACE VIOLET</t>
  </si>
  <si>
    <t xml:space="preserve">PLACE VIOLET</t>
  </si>
  <si>
    <t xml:space="preserve">01 40 57 47 10</t>
  </si>
  <si>
    <t xml:space="preserve">https://biocodex6--c.vf.force.com/0014L00000KG6EKQA1</t>
  </si>
  <si>
    <t xml:space="preserve">AKOKA</t>
  </si>
  <si>
    <t xml:space="preserve">AKOKA CATHERINE</t>
  </si>
  <si>
    <t xml:space="preserve">53 BOULEVARD DE COURCELLES</t>
  </si>
  <si>
    <t xml:space="preserve">01 47 42 36 42</t>
  </si>
  <si>
    <t xml:space="preserve">https://biocodex6--c.vf.force.com/0014L00000KFQ4FQAX</t>
  </si>
  <si>
    <t xml:space="preserve">ROUSSEAUX</t>
  </si>
  <si>
    <t xml:space="preserve">ROUSSEAUX VANESSA</t>
  </si>
  <si>
    <t xml:space="preserve">01 45 05 22 22</t>
  </si>
  <si>
    <t xml:space="preserve">https://biocodex6--c.vf.force.com/0014L00000KG0eAQAT</t>
  </si>
  <si>
    <t xml:space="preserve">https://annuairesante.ameli.fr/professionnels-de-sante/recherche/fiche-detaillee-B7c1mzoxNTGx.html</t>
  </si>
  <si>
    <t xml:space="preserve">DUBOIS</t>
  </si>
  <si>
    <t xml:space="preserve">DUBOIS JEAN CLAUDE</t>
  </si>
  <si>
    <t xml:space="preserve">https://biocodex6--c.vf.force.com/0014L00000KFbUgQAL</t>
  </si>
  <si>
    <t xml:space="preserve">ZAGHDOUN</t>
  </si>
  <si>
    <t xml:space="preserve">ZAGHDOUN DAVID</t>
  </si>
  <si>
    <t xml:space="preserve">https://biocodex6--c.vf.force.com/0014L00000KG6w9QAD</t>
  </si>
  <si>
    <t xml:space="preserve">https://annuairesante.ameli.fr/professionnels-de-sante/recherche/fiche-detaillee-B7c1kjE4ODO7.html</t>
  </si>
  <si>
    <t xml:space="preserve">PERROD</t>
  </si>
  <si>
    <t xml:space="preserve">PERROD GUILLAUME</t>
  </si>
  <si>
    <t xml:space="preserve">https://biocodex6--c.vf.force.com/0014L00000KFNmuQAH</t>
  </si>
  <si>
    <t xml:space="preserve">ZARCA</t>
  </si>
  <si>
    <t xml:space="preserve">ZARCA DANIEL</t>
  </si>
  <si>
    <t xml:space="preserve">https://biocodex6--c.vf.force.com/0014L00000KG67hQAD</t>
  </si>
  <si>
    <t xml:space="preserve">DONATI</t>
  </si>
  <si>
    <t xml:space="preserve">DONATI JEAN PHILIPPE</t>
  </si>
  <si>
    <t xml:space="preserve">8 RUE THEODULE RIBOT</t>
  </si>
  <si>
    <t xml:space="preserve">01 24 17 51 14</t>
  </si>
  <si>
    <t xml:space="preserve">https://biocodex6--c.vf.force.com/0014L00000KGIsGQAX</t>
  </si>
  <si>
    <t xml:space="preserve">https://annuairesante.ameli.fr/professionnels-de-sante/recherche/fiche-detaillee-B7c1kjczMzC3.html</t>
  </si>
  <si>
    <t xml:space="preserve">FOURRIER ELISABETH</t>
  </si>
  <si>
    <t xml:space="preserve">01 56 09 30 32</t>
  </si>
  <si>
    <t xml:space="preserve">scmkg@gmail.com</t>
  </si>
  <si>
    <t xml:space="preserve">https://biocodex6--c.vf.force.com/0014L00000KFeI9QAL</t>
  </si>
  <si>
    <t xml:space="preserve">HENRY</t>
  </si>
  <si>
    <t xml:space="preserve">HENRY MANON</t>
  </si>
  <si>
    <t xml:space="preserve">95 AVENUE DE LA BOURDONNAIS</t>
  </si>
  <si>
    <t xml:space="preserve">manon.henry78@gmail.com</t>
  </si>
  <si>
    <t xml:space="preserve">https://biocodex6--c.vf.force.com/0014L00000KGBJSQA5</t>
  </si>
  <si>
    <t xml:space="preserve">https://annuairesante.ameli.fr/professionnels-de-sante/recherche/fiche-detaillee-B7c1kjs2NTG0.html</t>
  </si>
  <si>
    <t xml:space="preserve">[Timestamp('2024-02-05 14:00:00'), Timestamp('2024-05-17 11:00:00')]</t>
  </si>
  <si>
    <t xml:space="preserve">HERBEPIN</t>
  </si>
  <si>
    <t xml:space="preserve">HERBEPIN AUDREY</t>
  </si>
  <si>
    <t xml:space="preserve">https://biocodex6--c.vf.force.com/0014L00000KFLAXQA5</t>
  </si>
  <si>
    <t xml:space="preserve">SADIA FEDIDA</t>
  </si>
  <si>
    <t xml:space="preserve">SADIA FEDIDA DEBORAH</t>
  </si>
  <si>
    <t xml:space="preserve">https://biocodex6--c.vf.force.com/0014L00000KG1SeQAL</t>
  </si>
  <si>
    <t xml:space="preserve">LAHLOU</t>
  </si>
  <si>
    <t xml:space="preserve">WIDAD</t>
  </si>
  <si>
    <t xml:space="preserve">LAHLOU WIDAD</t>
  </si>
  <si>
    <t xml:space="preserve">https://biocodex6--c.vf.force.com/0014L00000KGBPNQA5</t>
  </si>
  <si>
    <t xml:space="preserve">BENHAMOU</t>
  </si>
  <si>
    <t xml:space="preserve">BENHAMOU YVES</t>
  </si>
  <si>
    <t xml:space="preserve">https://biocodex6--c.vf.force.com/0014L00000KFSY0QAP</t>
  </si>
  <si>
    <t xml:space="preserve">https://annuairesante.ameli.fr/professionnels-de-sante/recherche/fiche-detaillee-B7c1lzE5Nzu2.html</t>
  </si>
  <si>
    <t xml:space="preserve">GAUDIN</t>
  </si>
  <si>
    <t xml:space="preserve">ANNE CLAIRE</t>
  </si>
  <si>
    <t xml:space="preserve">GAUDIN ANNE CLAIRE</t>
  </si>
  <si>
    <t xml:space="preserve">https://biocodex6--c.vf.force.com/0014L00000KGDueQAH</t>
  </si>
  <si>
    <t xml:space="preserve">ROSEAU</t>
  </si>
  <si>
    <t xml:space="preserve">ROSEAU GILLES</t>
  </si>
  <si>
    <t xml:space="preserve">01 45 74 79 80 // 01 47 42 12 49</t>
  </si>
  <si>
    <t xml:space="preserve">https://biocodex6--c.vf.force.com/0014L00000KFzKjQAL</t>
  </si>
  <si>
    <t xml:space="preserve">https://annuairesante.ameli.fr/professionnels-de-sante/recherche/fiche-detaillee-B7c1ljQ4Nzq2.html</t>
  </si>
  <si>
    <t xml:space="preserve">BAPTISTE</t>
  </si>
  <si>
    <t xml:space="preserve">FOURNIER BAPTISTE</t>
  </si>
  <si>
    <t xml:space="preserve">15 RUE DE MARIGNAN</t>
  </si>
  <si>
    <t xml:space="preserve">RUE DE MARIGNAN</t>
  </si>
  <si>
    <t xml:space="preserve">01 45 61 05 25</t>
  </si>
  <si>
    <t xml:space="preserve">https://biocodex6--c.vf.force.com/0014L00000KGESFQA5</t>
  </si>
  <si>
    <t xml:space="preserve">https://annuairesante.ameli.fr/professionnels-de-sante/recherche/fiche-detaillee-B7c1kjoxNzSx.html</t>
  </si>
  <si>
    <t xml:space="preserve">ZAKI</t>
  </si>
  <si>
    <t xml:space="preserve">RACHID</t>
  </si>
  <si>
    <t xml:space="preserve">ZAKI RACHID</t>
  </si>
  <si>
    <t xml:space="preserve">1 RUE GOETHE</t>
  </si>
  <si>
    <t xml:space="preserve">RUE GOETHE</t>
  </si>
  <si>
    <t xml:space="preserve">01 45 53 13 27</t>
  </si>
  <si>
    <t xml:space="preserve">https://biocodex6--c.vf.force.com/0014L00000KG65fQAD</t>
  </si>
  <si>
    <t xml:space="preserve">https://annuairesante.ameli.fr/professionnels-de-sante/recherche/fiche-detaillee-B7c1lzQzNzG1.html</t>
  </si>
  <si>
    <t xml:space="preserve">DURRLEMAN</t>
  </si>
  <si>
    <t xml:space="preserve">DURRLEMAN CHLOE</t>
  </si>
  <si>
    <t xml:space="preserve">https://biocodex6--c.vf.force.com/0014L00000KG9ZOQA1</t>
  </si>
  <si>
    <t xml:space="preserve">GITIAUX</t>
  </si>
  <si>
    <t xml:space="preserve">CYRIL</t>
  </si>
  <si>
    <t xml:space="preserve">GITIAUX CYRIL</t>
  </si>
  <si>
    <t xml:space="preserve">https://biocodex6--c.vf.force.com/0014L00000KFhFUQA1</t>
  </si>
  <si>
    <t xml:space="preserve">VOLF FERDMAN</t>
  </si>
  <si>
    <t xml:space="preserve">VOLF FERDMAN NADIA</t>
  </si>
  <si>
    <t xml:space="preserve">9 RUE QUENTIN BAUCHART</t>
  </si>
  <si>
    <t xml:space="preserve">RUE QUENTIN BAUCHART</t>
  </si>
  <si>
    <t xml:space="preserve">https://biocodex6--c.vf.force.com/0014L00000KG6TYQA1</t>
  </si>
  <si>
    <t xml:space="preserve">https://annuairesante.ameli.fr/professionnels-de-sante/recherche/fiche-detaillee-B7c1lTA4OTO2.html</t>
  </si>
  <si>
    <t xml:space="preserve">KANTE</t>
  </si>
  <si>
    <t xml:space="preserve">FATOUMATA</t>
  </si>
  <si>
    <t xml:space="preserve">KANTE FATOUMATA</t>
  </si>
  <si>
    <t xml:space="preserve">https://biocodex6--c.vf.force.com/0014L00000KGDphQAH</t>
  </si>
  <si>
    <t xml:space="preserve">ALEV</t>
  </si>
  <si>
    <t xml:space="preserve">KAHN ALEV</t>
  </si>
  <si>
    <t xml:space="preserve">https://biocodex6--c.vf.force.com/0014L00000KFkUEQA1</t>
  </si>
  <si>
    <t xml:space="preserve">MAHE</t>
  </si>
  <si>
    <t xml:space="preserve">ANNABELLE</t>
  </si>
  <si>
    <t xml:space="preserve">MAHE ANNABELLE</t>
  </si>
  <si>
    <t xml:space="preserve">https://biocodex6--c.vf.force.com/0014L00000KG9FUQA1</t>
  </si>
  <si>
    <t xml:space="preserve">ZAPISESCU</t>
  </si>
  <si>
    <t xml:space="preserve">ZAPISESCU NADIA</t>
  </si>
  <si>
    <t xml:space="preserve">01 56 68 70 30</t>
  </si>
  <si>
    <t xml:space="preserve">https://biocodex6--c.vf.force.com/0014L00000KG6yBQAT</t>
  </si>
  <si>
    <t xml:space="preserve">COUDERT</t>
  </si>
  <si>
    <t xml:space="preserve">COUDERT ANNIE</t>
  </si>
  <si>
    <t xml:space="preserve">80 AVENUE KLEBER</t>
  </si>
  <si>
    <t xml:space="preserve">01 45 05 94 14</t>
  </si>
  <si>
    <t xml:space="preserve">https://biocodex6--c.vf.force.com/0014L00000KFXibQAH</t>
  </si>
  <si>
    <t xml:space="preserve">https://annuairesante.ameli.fr/professionnels-de-sante/recherche/fiche-detaillee-B7c1ljYyMTq3.html</t>
  </si>
  <si>
    <t xml:space="preserve">MALET</t>
  </si>
  <si>
    <t xml:space="preserve">VALENTINE</t>
  </si>
  <si>
    <t xml:space="preserve">MALET VALENTINE</t>
  </si>
  <si>
    <t xml:space="preserve">https://biocodex6--c.vf.force.com/0014L00000KGBwmQAH</t>
  </si>
  <si>
    <t xml:space="preserve">FEMY</t>
  </si>
  <si>
    <t xml:space="preserve">FLORENT</t>
  </si>
  <si>
    <t xml:space="preserve">FEMY FLORENT</t>
  </si>
  <si>
    <t xml:space="preserve">SAMUEL</t>
  </si>
  <si>
    <t xml:space="preserve">GUEDJ SAMUEL</t>
  </si>
  <si>
    <t xml:space="preserve">https://biocodex6--c.vf.force.com/0014L00000KGBJ4QAP</t>
  </si>
  <si>
    <t xml:space="preserve">MOREAU AELION</t>
  </si>
  <si>
    <t xml:space="preserve">MOREAU AELION PAULINE</t>
  </si>
  <si>
    <t xml:space="preserve">https://biocodex6--c.vf.force.com/0014L00000KFQ8bQAH</t>
  </si>
  <si>
    <t xml:space="preserve">FEYEREISEN</t>
  </si>
  <si>
    <t xml:space="preserve">FEYEREISEN ESTELLE</t>
  </si>
  <si>
    <t xml:space="preserve">45 AVENUE DE WAGRAM</t>
  </si>
  <si>
    <t xml:space="preserve">01 45 72 18 88</t>
  </si>
  <si>
    <t xml:space="preserve">cabinetwagram151@gmail.com</t>
  </si>
  <si>
    <t xml:space="preserve">https://biocodex6--c.vf.force.com/0014L00000KFaUDQA1</t>
  </si>
  <si>
    <t xml:space="preserve">https://annuairesante.ameli.fr/professionnels-de-sante/recherche/fiche-detaillee-B7c1mzsxMzG2.html</t>
  </si>
  <si>
    <t xml:space="preserve">BUZAGLO BRAUN</t>
  </si>
  <si>
    <t xml:space="preserve">GAELLE</t>
  </si>
  <si>
    <t xml:space="preserve">BUZAGLO BRAUN GAELLE</t>
  </si>
  <si>
    <t xml:space="preserve">55 RUE LOUISE MICHEL</t>
  </si>
  <si>
    <t xml:space="preserve">RUE LOUISE MICHEL</t>
  </si>
  <si>
    <t xml:space="preserve">01 47 57 80 38</t>
  </si>
  <si>
    <t xml:space="preserve">https://biocodex6--c.vf.force.com/0014L00000KFVU2QAP</t>
  </si>
  <si>
    <t xml:space="preserve">https://annuairesante.ameli.fr/professionnels-de-sante/recherche/fiche-detaillee-CbA1kDI5ODGz.html</t>
  </si>
  <si>
    <t xml:space="preserve">DE WITASSE THEZY ALBANE</t>
  </si>
  <si>
    <t xml:space="preserve">01 44 96 31 76</t>
  </si>
  <si>
    <t xml:space="preserve">https://biocodex6--c.vf.force.com/0014L00000KFPBjQAP</t>
  </si>
  <si>
    <t xml:space="preserve">[Timestamp('2023-08-28 16:30:00'), Timestamp('2023-12-22 11:30:00')]</t>
  </si>
  <si>
    <t xml:space="preserve">BATTAGLIA</t>
  </si>
  <si>
    <t xml:space="preserve">BATTAGLIA CHRISTIANE</t>
  </si>
  <si>
    <t xml:space="preserve">01 56 09 37 71</t>
  </si>
  <si>
    <t xml:space="preserve">https://biocodex6--c.vf.force.com/0014L00000KFRwMQAX</t>
  </si>
  <si>
    <t xml:space="preserve">FONS</t>
  </si>
  <si>
    <t xml:space="preserve">FONS GUILLAUME</t>
  </si>
  <si>
    <t xml:space="preserve">https://biocodex6--c.vf.force.com/0014L00000KG9OJQA1</t>
  </si>
  <si>
    <t xml:space="preserve">LE GUEN</t>
  </si>
  <si>
    <t xml:space="preserve">LE GUEN JULIEN</t>
  </si>
  <si>
    <t xml:space="preserve">01 56 09 33 13</t>
  </si>
  <si>
    <t xml:space="preserve">https://biocodex6--c.vf.force.com/0014L00000KFmCMQA1</t>
  </si>
  <si>
    <t xml:space="preserve">MASMOUDI</t>
  </si>
  <si>
    <t xml:space="preserve">RAFIK</t>
  </si>
  <si>
    <t xml:space="preserve">MASMOUDI RAFIK</t>
  </si>
  <si>
    <t xml:space="preserve">https://biocodex6--c.vf.force.com/0014L00000KFreUQAT</t>
  </si>
  <si>
    <t xml:space="preserve">POSTEL VINAY</t>
  </si>
  <si>
    <t xml:space="preserve">POSTEL VINAY NICOLAS</t>
  </si>
  <si>
    <t xml:space="preserve">https://biocodex6--c.vf.force.com/0014L00000KFwhnQAD</t>
  </si>
  <si>
    <t xml:space="preserve">ROUX</t>
  </si>
  <si>
    <t xml:space="preserve">ROUX MARIE</t>
  </si>
  <si>
    <t xml:space="preserve">https://biocodex6--c.vf.force.com/0014L00000KFLIZQA5</t>
  </si>
  <si>
    <t xml:space="preserve">BELIVIER</t>
  </si>
  <si>
    <t xml:space="preserve">BELIVIER MICHEL</t>
  </si>
  <si>
    <t xml:space="preserve">https://biocodex6--c.vf.force.com/0014L00000KFSLGQA5</t>
  </si>
  <si>
    <t xml:space="preserve">TRAVERS STEPHANE</t>
  </si>
  <si>
    <t xml:space="preserve">https://biocodex6--c.vf.force.com/0014L00000KG4M5QAL</t>
  </si>
  <si>
    <t xml:space="preserve">MONTEL</t>
  </si>
  <si>
    <t xml:space="preserve">MONTEL AGNES</t>
  </si>
  <si>
    <t xml:space="preserve">https://biocodex6--c.vf.force.com/0014L00000KFtQTQA1</t>
  </si>
  <si>
    <t xml:space="preserve">FRETIN</t>
  </si>
  <si>
    <t xml:space="preserve">FRETIN LAURE</t>
  </si>
  <si>
    <t xml:space="preserve">https://biocodex6--c.vf.force.com/0014L00000KFOJ3QAP</t>
  </si>
  <si>
    <t xml:space="preserve">BANCIU</t>
  </si>
  <si>
    <t xml:space="preserve">MARIUS</t>
  </si>
  <si>
    <t xml:space="preserve">BANCIU MARIUS</t>
  </si>
  <si>
    <t xml:space="preserve">01 47 59 55 08</t>
  </si>
  <si>
    <t xml:space="preserve">https://biocodex6--c.vf.force.com/0014L00000KGKhCQAX</t>
  </si>
  <si>
    <t xml:space="preserve">FOUCART CARON</t>
  </si>
  <si>
    <t xml:space="preserve">SASKIA</t>
  </si>
  <si>
    <t xml:space="preserve">FOUCART CARON SASKIA</t>
  </si>
  <si>
    <t xml:space="preserve">01 47 59 55 06</t>
  </si>
  <si>
    <t xml:space="preserve">https://biocodex6--c.vf.force.com/0014L00000KFbv1QAD</t>
  </si>
  <si>
    <t xml:space="preserve">JOCKEY</t>
  </si>
  <si>
    <t xml:space="preserve">JOCKEY CHRISTINE</t>
  </si>
  <si>
    <t xml:space="preserve">https://biocodex6--c.vf.force.com/0014L00000KFjzxQAD</t>
  </si>
  <si>
    <t xml:space="preserve">LEDER</t>
  </si>
  <si>
    <t xml:space="preserve">LEDER CORINNE</t>
  </si>
  <si>
    <t xml:space="preserve">https://biocodex6--c.vf.force.com/0014L00000KFnLYQA1</t>
  </si>
  <si>
    <t xml:space="preserve">https://annuairesante.ameli.fr/professionnels-de-sante/recherche/fiche-detaillee-CbA1kjEzNzq3.html</t>
  </si>
  <si>
    <t xml:space="preserve">PERREAU</t>
  </si>
  <si>
    <t xml:space="preserve">PERREAU CAROLINE</t>
  </si>
  <si>
    <t xml:space="preserve">01 47 59 59 93</t>
  </si>
  <si>
    <t xml:space="preserve">https://biocodex6--c.vf.force.com/0014L00000KFvioQAD</t>
  </si>
  <si>
    <t xml:space="preserve">TOUAM</t>
  </si>
  <si>
    <t xml:space="preserve">MAYA</t>
  </si>
  <si>
    <t xml:space="preserve">TOUAM MAYA</t>
  </si>
  <si>
    <t xml:space="preserve">https://biocodex6--c.vf.force.com/0014L00000KG4eFQAT</t>
  </si>
  <si>
    <t xml:space="preserve">MADELENAT</t>
  </si>
  <si>
    <t xml:space="preserve">MADELENAT PATRICK</t>
  </si>
  <si>
    <t xml:space="preserve">5 AVENUE EMILE DESCHANEL</t>
  </si>
  <si>
    <t xml:space="preserve">AVENUE EMILE DESCHANEL</t>
  </si>
  <si>
    <t xml:space="preserve">01 42 63 72 46</t>
  </si>
  <si>
    <t xml:space="preserve">https://biocodex6--c.vf.force.com/0014L00000KFpBDQA1</t>
  </si>
  <si>
    <t xml:space="preserve">https://annuairesante.ameli.fr/professionnels-de-sante/recherche/fiche-detaillee-B7c1kTM5NDC7.html</t>
  </si>
  <si>
    <t xml:space="preserve">FLORET</t>
  </si>
  <si>
    <t xml:space="preserve">JUSTINE</t>
  </si>
  <si>
    <t xml:space="preserve">FLORET JUSTINE</t>
  </si>
  <si>
    <t xml:space="preserve">https://biocodex6--c.vf.force.com/0014L00000KFLwYQAX</t>
  </si>
  <si>
    <t xml:space="preserve">https://annuairesante.ameli.fr/professionnels-de-sante/recherche/fiche-detaillee-CbA1lTM1OTq0.html</t>
  </si>
  <si>
    <t xml:space="preserve">ACHA</t>
  </si>
  <si>
    <t xml:space="preserve">ACHA LAILA</t>
  </si>
  <si>
    <t xml:space="preserve">DE</t>
  </si>
  <si>
    <t xml:space="preserve">56 AVENUE VICTOR HUGO</t>
  </si>
  <si>
    <t xml:space="preserve">06 95 13 31 00</t>
  </si>
  <si>
    <t xml:space="preserve">https://biocodex6--c.vf.force.com/0014L00000KGLxDQAX</t>
  </si>
  <si>
    <t xml:space="preserve">https://annuairesante.ameli.fr/professionnels-de-sante/recherche/fiche-detaillee-B7c1kjcwODCw.html</t>
  </si>
  <si>
    <t xml:space="preserve">MELLOUL</t>
  </si>
  <si>
    <t xml:space="preserve">GOLANE CHARLES</t>
  </si>
  <si>
    <t xml:space="preserve">MELLOUL GOLANE CHARLES</t>
  </si>
  <si>
    <t xml:space="preserve">https://biocodex6--c.vf.force.com/0014L00000KFpqoQAD</t>
  </si>
  <si>
    <t xml:space="preserve">SEJEAN ORTOLE</t>
  </si>
  <si>
    <t xml:space="preserve">MARIE ANTOINETTE</t>
  </si>
  <si>
    <t xml:space="preserve">SEJEAN ORTOLE MARIE ANTOINETTE</t>
  </si>
  <si>
    <t xml:space="preserve">18 RUE DES BELLES FEUILLES</t>
  </si>
  <si>
    <t xml:space="preserve">https://biocodex6--c.vf.force.com/0014L00000KG17lQAD</t>
  </si>
  <si>
    <t xml:space="preserve">TERRADOT</t>
  </si>
  <si>
    <t xml:space="preserve">TERRADOT THIERRY</t>
  </si>
  <si>
    <t xml:space="preserve">53 RUE DE VARENNE</t>
  </si>
  <si>
    <t xml:space="preserve">01 42 22 22 00</t>
  </si>
  <si>
    <t xml:space="preserve">t.terradot@wanadoo.fr</t>
  </si>
  <si>
    <t xml:space="preserve">https://biocodex6--c.vf.force.com/0014L00000KG2pNQAT</t>
  </si>
  <si>
    <t xml:space="preserve">https://annuairesante.ameli.fr/professionnels-de-sante/recherche/fiche-detaillee-B7c1kTUxOTO1.html</t>
  </si>
  <si>
    <t xml:space="preserve">[Timestamp('2024-01-04 12:30:00'), Timestamp('2024-05-30 12:30:00')]</t>
  </si>
  <si>
    <t xml:space="preserve">JAMIN</t>
  </si>
  <si>
    <t xml:space="preserve">JAMIN CHRISTIAN</t>
  </si>
  <si>
    <t xml:space="preserve">169 BOULEVARD HAUSSMANN</t>
  </si>
  <si>
    <t xml:space="preserve">01 45 62 00 50</t>
  </si>
  <si>
    <t xml:space="preserve">https://biocodex6--c.vf.force.com/0014L00000KFjhiQAD</t>
  </si>
  <si>
    <t xml:space="preserve">[Timestamp('2024-03-14 10:30:00'), Timestamp('2024-03-19 12:30:00')]</t>
  </si>
  <si>
    <t xml:space="preserve">DORVAL</t>
  </si>
  <si>
    <t xml:space="preserve">DORVAL GUILLAUME</t>
  </si>
  <si>
    <t xml:space="preserve">NEPH</t>
  </si>
  <si>
    <t xml:space="preserve">https://biocodex6--c.vf.force.com/0014L00000KFNwNQAX</t>
  </si>
  <si>
    <t xml:space="preserve">JOLY</t>
  </si>
  <si>
    <t xml:space="preserve">JOLY CAMILLE</t>
  </si>
  <si>
    <t xml:space="preserve">https://biocodex6--c.vf.force.com/0014L00000KG9o1QAD</t>
  </si>
  <si>
    <t xml:space="preserve">FOUDJET</t>
  </si>
  <si>
    <t xml:space="preserve">FOUDJET CARINE</t>
  </si>
  <si>
    <t xml:space="preserve">01 40 45 80 43</t>
  </si>
  <si>
    <t xml:space="preserve">https://biocodex6--c.vf.force.com/0014L00000KGDLzQAP</t>
  </si>
  <si>
    <t xml:space="preserve">COLLIN</t>
  </si>
  <si>
    <t xml:space="preserve">COLLIN JEAN NOEL</t>
  </si>
  <si>
    <t xml:space="preserve">https://biocodex6--c.vf.force.com/0014L00000KFk4yQAD</t>
  </si>
  <si>
    <t xml:space="preserve">[Timestamp('2024-02-02 11:30:00'), Timestamp('2024-06-18 13:00:00')]</t>
  </si>
  <si>
    <t xml:space="preserve">BORUCHOT</t>
  </si>
  <si>
    <t xml:space="preserve">BARBARA</t>
  </si>
  <si>
    <t xml:space="preserve">BORUCHOT BARBARA</t>
  </si>
  <si>
    <t xml:space="preserve">https://biocodex6--c.vf.force.com/0014L00000KFUrtQAH</t>
  </si>
  <si>
    <t xml:space="preserve">[Timestamp('2024-02-02 09:30:00'), Timestamp('2024-06-18 15:00:00')]</t>
  </si>
  <si>
    <t xml:space="preserve">NGUYEN TRONG</t>
  </si>
  <si>
    <t xml:space="preserve">HIEU</t>
  </si>
  <si>
    <t xml:space="preserve">NGUYEN TRONG HIEU</t>
  </si>
  <si>
    <t xml:space="preserve">https://biocodex6--c.vf.force.com/0014L00000KG3qDQAT</t>
  </si>
  <si>
    <t xml:space="preserve">[Timestamp('2023-11-14 09:00:00'), Timestamp('2023-12-07 11:00:00')]</t>
  </si>
  <si>
    <t xml:space="preserve">CIRILLI</t>
  </si>
  <si>
    <t xml:space="preserve">CIRILLI OLIVIER</t>
  </si>
  <si>
    <t xml:space="preserve">https://biocodex6--c.vf.force.com/0014L00000KFWnMQAX</t>
  </si>
  <si>
    <t xml:space="preserve">NGUYEN MARIE NOELLE</t>
  </si>
  <si>
    <t xml:space="preserve">8 PLACE FALGUIERE</t>
  </si>
  <si>
    <t xml:space="preserve">PLACE FALGUIERE</t>
  </si>
  <si>
    <t xml:space="preserve">01 47 34 64 94</t>
  </si>
  <si>
    <t xml:space="preserve">https://biocodex6--c.vf.force.com/0014L00000KFtWWQA1</t>
  </si>
  <si>
    <t xml:space="preserve">https://annuairesante.ameli.fr/professionnels-de-sante/recherche/fiche-detaillee-B7c1lzY1MTCx.html</t>
  </si>
  <si>
    <t xml:space="preserve">[Timestamp('2023-07-28 09:30:00'), Timestamp('2023-09-21 10:00:00')]</t>
  </si>
  <si>
    <t xml:space="preserve">14:45-18:30(R)</t>
  </si>
  <si>
    <t xml:space="preserve">TRONG HIEN</t>
  </si>
  <si>
    <t xml:space="preserve">NGUYEN TRONG HIEN</t>
  </si>
  <si>
    <t xml:space="preserve">https://biocodex6--c.vf.force.com/0014L00000KFtAYQA1</t>
  </si>
  <si>
    <t xml:space="preserve">REIGNEAU</t>
  </si>
  <si>
    <t xml:space="preserve">REIGNEAU OLIVIER</t>
  </si>
  <si>
    <t xml:space="preserve">https://biocodex6--c.vf.force.com/0014L00000KFxzBQAT</t>
  </si>
  <si>
    <t xml:space="preserve">PITOUN</t>
  </si>
  <si>
    <t xml:space="preserve">PITOUN MARC</t>
  </si>
  <si>
    <t xml:space="preserve">https://biocodex6--c.vf.force.com/0014L00000KFwL1QAL</t>
  </si>
  <si>
    <t xml:space="preserve">ROUSSEL</t>
  </si>
  <si>
    <t xml:space="preserve">ROUSSEL VICTOIRE</t>
  </si>
  <si>
    <t xml:space="preserve">https://biocodex6--c.vf.force.com/0014L00000KFO8gQAH</t>
  </si>
  <si>
    <t xml:space="preserve">MONDOLONI</t>
  </si>
  <si>
    <t xml:space="preserve">MONDOLONI GILLES</t>
  </si>
  <si>
    <t xml:space="preserve">3 RUE D ALLERAY</t>
  </si>
  <si>
    <t xml:space="preserve">RUE D ALLERAY</t>
  </si>
  <si>
    <t xml:space="preserve">01 71 24 35 28 // 01 53 70 43 20</t>
  </si>
  <si>
    <t xml:space="preserve">https://biocodex6--c.vf.force.com/0014L00000KFtL9QAL</t>
  </si>
  <si>
    <t xml:space="preserve">https://annuairesante.ameli.fr/professionnels-de-sante/recherche/fiche-detaillee-B7c1kjoyNTa2.html</t>
  </si>
  <si>
    <t xml:space="preserve">PAVAGEAU</t>
  </si>
  <si>
    <t xml:space="preserve">WILFRID</t>
  </si>
  <si>
    <t xml:space="preserve">PAVAGEAU WILFRID</t>
  </si>
  <si>
    <t xml:space="preserve">82 BOULEVARD DE COURCELLES</t>
  </si>
  <si>
    <t xml:space="preserve">01 42 68 83 30 // 06 46 35 18 76</t>
  </si>
  <si>
    <t xml:space="preserve">https://biocodex6--c.vf.force.com/0014L00000KFwdxQAD</t>
  </si>
  <si>
    <t xml:space="preserve">https://annuairesante.ameli.fr/professionnels-de-sante/recherche/fiche-detaillee-B7c1mzcxNzG2.html</t>
  </si>
  <si>
    <t xml:space="preserve">JOSSE VALERIE</t>
  </si>
  <si>
    <t xml:space="preserve">https://biocodex6--c.vf.force.com/0014L00000KFbSWQA1</t>
  </si>
  <si>
    <t xml:space="preserve">NATIVELLE</t>
  </si>
  <si>
    <t xml:space="preserve">NATIVELLE DOMINIQUE</t>
  </si>
  <si>
    <t xml:space="preserve">70 RUE ST DIDIER</t>
  </si>
  <si>
    <t xml:space="preserve">01 41 51 17 30 // 01 44 05 12 70</t>
  </si>
  <si>
    <t xml:space="preserve">https://biocodex6--c.vf.force.com/0014L00000KFtJaQAL</t>
  </si>
  <si>
    <t xml:space="preserve">https://annuairesante.ameli.fr/professionnels-de-sante/recherche/fiche-detaillee-B7c1lDM5NTu0.html</t>
  </si>
  <si>
    <t xml:space="preserve">DUCOURET</t>
  </si>
  <si>
    <t xml:space="preserve">HORTENSE</t>
  </si>
  <si>
    <t xml:space="preserve">DUCOURET HORTENSE</t>
  </si>
  <si>
    <t xml:space="preserve">https://biocodex6--c.vf.force.com/0014L00000KG9f7QAD</t>
  </si>
  <si>
    <t xml:space="preserve">https://annuairesante.ameli.fr/professionnels-de-sante/recherche/fiche-detaillee-B7c1kjczOTC7.html</t>
  </si>
  <si>
    <t xml:space="preserve">ROCHE DE RODELLEC</t>
  </si>
  <si>
    <t xml:space="preserve">BLANDINE</t>
  </si>
  <si>
    <t xml:space="preserve">ROCHE DE RODELLEC BLANDINE</t>
  </si>
  <si>
    <t xml:space="preserve">https://biocodex6--c.vf.force.com/0014L00000KFzk6QAD</t>
  </si>
  <si>
    <t xml:space="preserve">AUBRIOT</t>
  </si>
  <si>
    <t xml:space="preserve">AUBRIOT FRANCOIS XAVIER</t>
  </si>
  <si>
    <t xml:space="preserve">14 AVENUE BOSQUET</t>
  </si>
  <si>
    <t xml:space="preserve">01 45 55 08 10</t>
  </si>
  <si>
    <t xml:space="preserve">https://biocodex6--c.vf.force.com/0014L00000KFQu4QAH</t>
  </si>
  <si>
    <t xml:space="preserve">https://annuairesante.ameli.fr/professionnels-de-sante/recherche/fiche-detaillee-B7c1lTMxMju2.html</t>
  </si>
  <si>
    <t xml:space="preserve">16:00-19:00(R)</t>
  </si>
  <si>
    <t xml:space="preserve">CHELLY</t>
  </si>
  <si>
    <t xml:space="preserve">CHELLY CLAUDE</t>
  </si>
  <si>
    <t xml:space="preserve">6 SQUARE DU ROULE</t>
  </si>
  <si>
    <t xml:space="preserve">01 46 22 07 17</t>
  </si>
  <si>
    <t xml:space="preserve">https://biocodex6--c.vf.force.com/0014L00000KFWNeQAP</t>
  </si>
  <si>
    <t xml:space="preserve">https://annuairesante.ameli.fr/professionnels-de-sante/recherche/fiche-detaillee-B7c1lTM4Mzu2.html</t>
  </si>
  <si>
    <t xml:space="preserve">ARRAULT CHAYA</t>
  </si>
  <si>
    <t xml:space="preserve">MARIA</t>
  </si>
  <si>
    <t xml:space="preserve">ARRAULT CHAYA MARIA</t>
  </si>
  <si>
    <t xml:space="preserve">https://biocodex6--c.vf.force.com/0014L00000KFeuuQAD</t>
  </si>
  <si>
    <t xml:space="preserve">MARCHE WILSON</t>
  </si>
  <si>
    <t xml:space="preserve">MARCHE WILSON VERONIQUE</t>
  </si>
  <si>
    <t xml:space="preserve">01 45 30 81 75</t>
  </si>
  <si>
    <t xml:space="preserve">https://biocodex6--c.vf.force.com/0014L00000KFr58QAD</t>
  </si>
  <si>
    <t xml:space="preserve">DARIUS</t>
  </si>
  <si>
    <t xml:space="preserve">SABA DARIUS</t>
  </si>
  <si>
    <t xml:space="preserve">https://biocodex6--c.vf.force.com/0014L00000KG1O3QAL</t>
  </si>
  <si>
    <t xml:space="preserve">BEHAL DE BROC</t>
  </si>
  <si>
    <t xml:space="preserve">BEHAL DE BROC FLORENCE</t>
  </si>
  <si>
    <t xml:space="preserve">https://biocodex6--c.vf.force.com/0014L00000KFO9eQAH</t>
  </si>
  <si>
    <t xml:space="preserve">BOUMENDJEL</t>
  </si>
  <si>
    <t xml:space="preserve">BOUMENDJEL LEILA</t>
  </si>
  <si>
    <t xml:space="preserve">8 AVENUE DE SEGUR</t>
  </si>
  <si>
    <t xml:space="preserve">01 49 45 68 90</t>
  </si>
  <si>
    <t xml:space="preserve">https://biocodex6--c.vf.force.com/0014L00000KFULOQA5</t>
  </si>
  <si>
    <t xml:space="preserve">GOURDON</t>
  </si>
  <si>
    <t xml:space="preserve">GOURDON MATHILDE</t>
  </si>
  <si>
    <t xml:space="preserve">https://biocodex6--c.vf.force.com/0014L00000KFNo8QAH</t>
  </si>
  <si>
    <t xml:space="preserve">SWASTI</t>
  </si>
  <si>
    <t xml:space="preserve">ROUX SWASTI</t>
  </si>
  <si>
    <t xml:space="preserve">https://biocodex6--c.vf.force.com/0014L00000KFPsfQAH</t>
  </si>
  <si>
    <t xml:space="preserve">ROZENBERG</t>
  </si>
  <si>
    <t xml:space="preserve">ROZENBERG PATRICK</t>
  </si>
  <si>
    <t xml:space="preserve">https://biocodex6--c.vf.force.com/0014L00000KFzrRQAT</t>
  </si>
  <si>
    <t xml:space="preserve">SAVALE</t>
  </si>
  <si>
    <t xml:space="preserve">SAVALE MICHELE</t>
  </si>
  <si>
    <t xml:space="preserve">11 RUE MAGELLAN</t>
  </si>
  <si>
    <t xml:space="preserve">RUE MAGELLAN</t>
  </si>
  <si>
    <t xml:space="preserve">01 47 20 82 00</t>
  </si>
  <si>
    <t xml:space="preserve">https://biocodex6--c.vf.force.com/0014L00000hvduyQAA</t>
  </si>
  <si>
    <t xml:space="preserve">DEPARIS</t>
  </si>
  <si>
    <t xml:space="preserve">DEPARIS FRANCOIS</t>
  </si>
  <si>
    <t xml:space="preserve">https://biocodex6--c.vf.force.com/0014L00000KFXLLQA5</t>
  </si>
  <si>
    <t xml:space="preserve">AIT AMER</t>
  </si>
  <si>
    <t xml:space="preserve">SALIMA</t>
  </si>
  <si>
    <t xml:space="preserve">AIT AMER SALIMA</t>
  </si>
  <si>
    <t xml:space="preserve">01 40 45 83 82</t>
  </si>
  <si>
    <t xml:space="preserve">https://biocodex6--c.vf.force.com/0014L00000KFQWjQAP</t>
  </si>
  <si>
    <t xml:space="preserve">MERCKELBAGH</t>
  </si>
  <si>
    <t xml:space="preserve">HILDE</t>
  </si>
  <si>
    <t xml:space="preserve">MERCKELBAGH HILDE</t>
  </si>
  <si>
    <t xml:space="preserve">01 34 89 30 02</t>
  </si>
  <si>
    <t xml:space="preserve">hildemerckelbagh@yahoo.fr</t>
  </si>
  <si>
    <t xml:space="preserve">https://biocodex6--c.vf.force.com/0014L00000KFLz0QAH</t>
  </si>
  <si>
    <t xml:space="preserve">TOUNSI</t>
  </si>
  <si>
    <t xml:space="preserve">HAJER</t>
  </si>
  <si>
    <t xml:space="preserve">TOUNSI HAJER</t>
  </si>
  <si>
    <t xml:space="preserve">https://biocodex6--c.vf.force.com/0014L00000KG4oKQAT</t>
  </si>
  <si>
    <t xml:space="preserve">JIBIDAR NOUMAZALAYI</t>
  </si>
  <si>
    <t xml:space="preserve">HILDA ABLAVI</t>
  </si>
  <si>
    <t xml:space="preserve">JIBIDAR NOUMAZALAYI HILDA ABLAVI</t>
  </si>
  <si>
    <t xml:space="preserve">https://biocodex6--c.vf.force.com/0014L00000KFh7GQAT</t>
  </si>
  <si>
    <t xml:space="preserve">ABIADH</t>
  </si>
  <si>
    <t xml:space="preserve">HASNA</t>
  </si>
  <si>
    <t xml:space="preserve">ABIADH HASNA</t>
  </si>
  <si>
    <t xml:space="preserve">01 44 96 32 90</t>
  </si>
  <si>
    <t xml:space="preserve">https://biocodex6--c.vf.force.com/0014L00000KGKBaQAP</t>
  </si>
  <si>
    <t xml:space="preserve">BRACHAT</t>
  </si>
  <si>
    <t xml:space="preserve">BRACHAT JOELLE</t>
  </si>
  <si>
    <t xml:space="preserve">https://biocodex6--c.vf.force.com/0014L00000KFV4kQAH</t>
  </si>
  <si>
    <t xml:space="preserve">GOMAS</t>
  </si>
  <si>
    <t xml:space="preserve">GOMAS JEAN MARIE</t>
  </si>
  <si>
    <t xml:space="preserve">https://biocodex6--c.vf.force.com/0014L00000KFgUUQA1</t>
  </si>
  <si>
    <t xml:space="preserve">PENG</t>
  </si>
  <si>
    <t xml:space="preserve">CHANG LI</t>
  </si>
  <si>
    <t xml:space="preserve">PENG CHANG LI</t>
  </si>
  <si>
    <t xml:space="preserve">01 44 96 33 23</t>
  </si>
  <si>
    <t xml:space="preserve">https://biocodex6--c.vf.force.com/0014L00000KFw9uQAD</t>
  </si>
  <si>
    <t xml:space="preserve">TARDIVEL</t>
  </si>
  <si>
    <t xml:space="preserve">TARDIVEL MARIE</t>
  </si>
  <si>
    <t xml:space="preserve">https://biocodex6--c.vf.force.com/0014L00000KFPhiQAH</t>
  </si>
  <si>
    <t xml:space="preserve">LE CRANE</t>
  </si>
  <si>
    <t xml:space="preserve">LE CRANE MARINE</t>
  </si>
  <si>
    <t xml:space="preserve">https://biocodex6--c.vf.force.com/0014L00000KFmRkQAL</t>
  </si>
  <si>
    <t xml:space="preserve">SAFAR PAILLARD</t>
  </si>
  <si>
    <t xml:space="preserve">SAFAR PAILLARD HELENE</t>
  </si>
  <si>
    <t xml:space="preserve">7 RUE DU BOUQUET DE LONGCHAMP</t>
  </si>
  <si>
    <t xml:space="preserve">RUE DU BOUQUET DE LONGCHAMP</t>
  </si>
  <si>
    <t xml:space="preserve">01 40 60 38 30</t>
  </si>
  <si>
    <t xml:space="preserve">https://biocodex6--c.vf.force.com/0014L00000KG1T1QAL</t>
  </si>
  <si>
    <t xml:space="preserve">DE MONTGOLFIER</t>
  </si>
  <si>
    <t xml:space="preserve">DE MONTGOLFIER SEGOLENE</t>
  </si>
  <si>
    <t xml:space="preserve">https://biocodex6--c.vf.force.com/0014L00000KFX75QAH</t>
  </si>
  <si>
    <t xml:space="preserve">NKOUAMOU</t>
  </si>
  <si>
    <t xml:space="preserve">NKOUAMOU MYLENE</t>
  </si>
  <si>
    <t xml:space="preserve">https://biocodex6--c.vf.force.com/0014L00000KFMlQQAX</t>
  </si>
  <si>
    <t xml:space="preserve">MEKERTA</t>
  </si>
  <si>
    <t xml:space="preserve">ZOHRA</t>
  </si>
  <si>
    <t xml:space="preserve">MEKERTA ZOHRA</t>
  </si>
  <si>
    <t xml:space="preserve">29 RUE MIRABEAU</t>
  </si>
  <si>
    <t xml:space="preserve">RUE MIRABEAU</t>
  </si>
  <si>
    <t xml:space="preserve">01 44 96 33 06</t>
  </si>
  <si>
    <t xml:space="preserve">https://biocodex6--c.vf.force.com/0014L00000KFppyQAD</t>
  </si>
  <si>
    <t xml:space="preserve">LETOMBE KINOO</t>
  </si>
  <si>
    <t xml:space="preserve">LETOMBE KINOO BRIGITTE</t>
  </si>
  <si>
    <t xml:space="preserve">36 RUE DES MATHURINS</t>
  </si>
  <si>
    <t xml:space="preserve">Brigitte.LETOMBE@CHRU-LILLE.FR</t>
  </si>
  <si>
    <t xml:space="preserve">https://biocodex6--c.vf.force.com/0014L00000KFoDkQAL</t>
  </si>
  <si>
    <t xml:space="preserve">MAECHEL</t>
  </si>
  <si>
    <t xml:space="preserve">MAECHEL ANNE SOPHIE</t>
  </si>
  <si>
    <t xml:space="preserve">15 RUE PIERRE DEMOURS</t>
  </si>
  <si>
    <t xml:space="preserve">https://biocodex6--c.vf.force.com/0014L00000KFOxsQAH</t>
  </si>
  <si>
    <t xml:space="preserve">MARTIN THERESE</t>
  </si>
  <si>
    <t xml:space="preserve">9 RUE PIERRE DEMOURS</t>
  </si>
  <si>
    <t xml:space="preserve">01 42 27 74 34</t>
  </si>
  <si>
    <t xml:space="preserve">https://biocodex6--c.vf.force.com/0014L00000KFqOmQAL</t>
  </si>
  <si>
    <t xml:space="preserve">https://annuairesante.ameli.fr/professionnels-de-sante/recherche/fiche-detaillee-B7c1kTo1NTu3.html</t>
  </si>
  <si>
    <t xml:space="preserve">DE LOUBENS</t>
  </si>
  <si>
    <t xml:space="preserve">DE LOUBENS OLIVIER</t>
  </si>
  <si>
    <t xml:space="preserve">01 40 72 40 00</t>
  </si>
  <si>
    <t xml:space="preserve">https://biocodex6--c.vf.force.com/0014L00000KFZAOQA5</t>
  </si>
  <si>
    <t xml:space="preserve">https://annuairesante.ameli.fr/professionnels-de-sante/recherche/fiche-detaillee-B7c1mjM4NzK1.html</t>
  </si>
  <si>
    <t xml:space="preserve">BOUJDAY CHRIAA</t>
  </si>
  <si>
    <t xml:space="preserve">LOBNA</t>
  </si>
  <si>
    <t xml:space="preserve">BOUJDAY CHRIAA LOBNA</t>
  </si>
  <si>
    <t xml:space="preserve">https://biocodex6--c.vf.force.com/0014L00000KGI1rQAH</t>
  </si>
  <si>
    <t xml:space="preserve">PALAZZO</t>
  </si>
  <si>
    <t xml:space="preserve">PALAZZO LAURENT</t>
  </si>
  <si>
    <t xml:space="preserve">https://biocodex6--c.vf.force.com/0014L00000KFuSOQA1</t>
  </si>
  <si>
    <t xml:space="preserve">https://annuairesante.ameli.fr/professionnels-de-sante/recherche/fiche-detaillee-B7c1lzAwMzew.html</t>
  </si>
  <si>
    <t xml:space="preserve">SPINELLI</t>
  </si>
  <si>
    <t xml:space="preserve">SPINELLI JULIETTE</t>
  </si>
  <si>
    <t xml:space="preserve">01 44 96 33 69</t>
  </si>
  <si>
    <t xml:space="preserve">https://biocodex6--c.vf.force.com/0014L00000KFPBmQAP</t>
  </si>
  <si>
    <t xml:space="preserve">NGUYEN SON</t>
  </si>
  <si>
    <t xml:space="preserve">NGUYEN SON CAROLINE</t>
  </si>
  <si>
    <t xml:space="preserve">https://biocodex6--c.vf.force.com/0014L00000KFu8hQAD</t>
  </si>
  <si>
    <t xml:space="preserve">SALOMON</t>
  </si>
  <si>
    <t xml:space="preserve">SALOMON JULIE</t>
  </si>
  <si>
    <t xml:space="preserve">https://biocodex6--c.vf.force.com/0014L00000KFZMTQA5</t>
  </si>
  <si>
    <t xml:space="preserve">LARDEUX</t>
  </si>
  <si>
    <t xml:space="preserve">LARDEUX CLAUDE</t>
  </si>
  <si>
    <t xml:space="preserve">https://biocodex6--c.vf.force.com/0014L00000KFucWQAT</t>
  </si>
  <si>
    <t xml:space="preserve">MATCZAK</t>
  </si>
  <si>
    <t xml:space="preserve">SORAYA</t>
  </si>
  <si>
    <t xml:space="preserve">MATCZAK SORAYA</t>
  </si>
  <si>
    <t xml:space="preserve">https://biocodex6--c.vf.force.com/0014L00000KFOXfQAP</t>
  </si>
  <si>
    <t xml:space="preserve">https://annuairesante.ameli.fr/professionnels-de-sante/recherche/fiche-detaillee-B7c1kjc3ODG7.html</t>
  </si>
  <si>
    <t xml:space="preserve">AUBART</t>
  </si>
  <si>
    <t xml:space="preserve">MELODIE</t>
  </si>
  <si>
    <t xml:space="preserve">AUBART MELODIE</t>
  </si>
  <si>
    <t xml:space="preserve">https://biocodex6--c.vf.force.com/0014L00000KFuiNQAT</t>
  </si>
  <si>
    <t xml:space="preserve">ABADIE</t>
  </si>
  <si>
    <t xml:space="preserve">ABADIE VERONIQUE</t>
  </si>
  <si>
    <t xml:space="preserve">https://biocodex6--c.vf.force.com/0014L00000KFKUuQAP</t>
  </si>
  <si>
    <t xml:space="preserve">ALLALI</t>
  </si>
  <si>
    <t xml:space="preserve">SLIMANE</t>
  </si>
  <si>
    <t xml:space="preserve">ALLALI SLIMANE</t>
  </si>
  <si>
    <t xml:space="preserve">https://biocodex6--c.vf.force.com/0014L00000KFRRLQA5</t>
  </si>
  <si>
    <t xml:space="preserve">ASSAF</t>
  </si>
  <si>
    <t xml:space="preserve">ZIAD</t>
  </si>
  <si>
    <t xml:space="preserve">ASSAF ZIAD</t>
  </si>
  <si>
    <t xml:space="preserve">https://biocodex6--c.vf.force.com/0014L00000KFiGBQA1</t>
  </si>
  <si>
    <t xml:space="preserve">BADER MEUNIER</t>
  </si>
  <si>
    <t xml:space="preserve">BADER MEUNIER BRIGITTE</t>
  </si>
  <si>
    <t xml:space="preserve">https://biocodex6--c.vf.force.com/0014L00000KFrZJQA1</t>
  </si>
  <si>
    <t xml:space="preserve">BAJOLLE</t>
  </si>
  <si>
    <t xml:space="preserve">FANNY</t>
  </si>
  <si>
    <t xml:space="preserve">BAJOLLE FANNY</t>
  </si>
  <si>
    <t xml:space="preserve">https://biocodex6--c.vf.force.com/0014L00000KFTkLQAX</t>
  </si>
  <si>
    <t xml:space="preserve">BELLANGER</t>
  </si>
  <si>
    <t xml:space="preserve">BELLANGER CLAIRE</t>
  </si>
  <si>
    <t xml:space="preserve">https://biocodex6--c.vf.force.com/0014L00000KFNrNQAX</t>
  </si>
  <si>
    <t xml:space="preserve">BOCQUET</t>
  </si>
  <si>
    <t xml:space="preserve">BOCQUET NATHALIE</t>
  </si>
  <si>
    <t xml:space="preserve">01 44 49 42 92 // 01 45 55 29 00</t>
  </si>
  <si>
    <t xml:space="preserve">https://biocodex6--c.vf.force.com/0014L00000KFUgQQAX</t>
  </si>
  <si>
    <t xml:space="preserve">https://annuairesante.ameli.fr/professionnels-de-sante/recherche/fiche-detaillee-B7c1lDE3Njq7.html</t>
  </si>
  <si>
    <t xml:space="preserve">BONNET</t>
  </si>
  <si>
    <t xml:space="preserve">DAMIEN</t>
  </si>
  <si>
    <t xml:space="preserve">BONNET DAMIEN</t>
  </si>
  <si>
    <t xml:space="preserve">https://biocodex6--c.vf.force.com/0014L00000KFUG5QAP</t>
  </si>
  <si>
    <t xml:space="preserve">BRICE</t>
  </si>
  <si>
    <t xml:space="preserve">JOSEPHINE</t>
  </si>
  <si>
    <t xml:space="preserve">BRICE JOSEPHINE</t>
  </si>
  <si>
    <t xml:space="preserve">https://biocodex6--c.vf.force.com/0014L00000KFNoRQAX</t>
  </si>
  <si>
    <t xml:space="preserve">CASTELLE</t>
  </si>
  <si>
    <t xml:space="preserve">CASTELLE MARTIN</t>
  </si>
  <si>
    <t xml:space="preserve">https://biocodex6--c.vf.force.com/0014L00000KFj9CQAT</t>
  </si>
  <si>
    <t xml:space="preserve">CHALUMEAU</t>
  </si>
  <si>
    <t xml:space="preserve">CHALUMEAU MARTIN</t>
  </si>
  <si>
    <t xml:space="preserve">https://biocodex6--c.vf.force.com/0014L00000KFf9hQAD</t>
  </si>
  <si>
    <t xml:space="preserve">CHERON</t>
  </si>
  <si>
    <t xml:space="preserve">CHERON GERARD</t>
  </si>
  <si>
    <t xml:space="preserve">https://biocodex6--c.vf.force.com/0014L00000KFWPuQAP</t>
  </si>
  <si>
    <t xml:space="preserve">CORMIER DAIRE</t>
  </si>
  <si>
    <t xml:space="preserve">CORMIER DAIRE VALERIE</t>
  </si>
  <si>
    <t xml:space="preserve">01 44 38 15 07</t>
  </si>
  <si>
    <t xml:space="preserve">https://biocodex6--c.vf.force.com/0014L00000KFkKXQA1</t>
  </si>
  <si>
    <t xml:space="preserve">DABBAS TYAN</t>
  </si>
  <si>
    <t xml:space="preserve">DABBAS TYAN MYRIAM</t>
  </si>
  <si>
    <t xml:space="preserve">01 42 73 05 53</t>
  </si>
  <si>
    <t xml:space="preserve">https://biocodex6--c.vf.force.com/0014L00000KFYMbQAP</t>
  </si>
  <si>
    <t xml:space="preserve">DEBENEY DE LONLAY</t>
  </si>
  <si>
    <t xml:space="preserve">DEBENEY DE LONLAY PASCALE</t>
  </si>
  <si>
    <t xml:space="preserve">https://biocodex6--c.vf.force.com/0014L00000KFZAJQA5</t>
  </si>
  <si>
    <t xml:space="preserve">EISERMANN</t>
  </si>
  <si>
    <t xml:space="preserve">MONIKA</t>
  </si>
  <si>
    <t xml:space="preserve">EISERMANN MONIKA</t>
  </si>
  <si>
    <t xml:space="preserve">https://biocodex6--c.vf.force.com/0014L00000KFSOeQAP</t>
  </si>
  <si>
    <t xml:space="preserve">FARKAS</t>
  </si>
  <si>
    <t xml:space="preserve">FARKAS DIANE</t>
  </si>
  <si>
    <t xml:space="preserve">https://biocodex6--c.vf.force.com/0014L00000KFdBjQAL</t>
  </si>
  <si>
    <t xml:space="preserve">GRIMAUD</t>
  </si>
  <si>
    <t xml:space="preserve">GRIMAUD MARION</t>
  </si>
  <si>
    <t xml:space="preserve">https://biocodex6--c.vf.force.com/0014L00000KFeCpQAL</t>
  </si>
  <si>
    <t xml:space="preserve">HACHEM</t>
  </si>
  <si>
    <t xml:space="preserve">TAYMME</t>
  </si>
  <si>
    <t xml:space="preserve">HACHEM TAYMME</t>
  </si>
  <si>
    <t xml:space="preserve">https://biocodex6--c.vf.force.com/0014L00000KFRFXQA5</t>
  </si>
  <si>
    <t xml:space="preserve">HALPHEN</t>
  </si>
  <si>
    <t xml:space="preserve">HALPHEN ISABELLE</t>
  </si>
  <si>
    <t xml:space="preserve">https://biocodex6--c.vf.force.com/0014L00000KFRWsQAP</t>
  </si>
  <si>
    <t xml:space="preserve">HEILBRONNER</t>
  </si>
  <si>
    <t xml:space="preserve">HEILBRONNER CLAIRE</t>
  </si>
  <si>
    <t xml:space="preserve">01 44 49 58 69</t>
  </si>
  <si>
    <t xml:space="preserve">https://biocodex6--c.vf.force.com/0014L00000KFSMuQAP</t>
  </si>
  <si>
    <t xml:space="preserve">HOVHANNISYAN</t>
  </si>
  <si>
    <t xml:space="preserve">SHUSHANIK</t>
  </si>
  <si>
    <t xml:space="preserve">HOVHANNISYAN SHUSHANIK</t>
  </si>
  <si>
    <t xml:space="preserve">https://biocodex6--c.vf.force.com/0014L00000KFvNYQA1</t>
  </si>
  <si>
    <t xml:space="preserve">KERMORVANT</t>
  </si>
  <si>
    <t xml:space="preserve">KERMORVANT ELSA</t>
  </si>
  <si>
    <t xml:space="preserve">https://biocodex6--c.vf.force.com/0014L00000KFZMKQA5</t>
  </si>
  <si>
    <t xml:space="preserve">LEROY TERQUEM</t>
  </si>
  <si>
    <t xml:space="preserve">LEROY TERQUEM ELISE</t>
  </si>
  <si>
    <t xml:space="preserve">https://biocodex6--c.vf.force.com/0014L00000KFMLpQAP</t>
  </si>
  <si>
    <t xml:space="preserve">LESAGE</t>
  </si>
  <si>
    <t xml:space="preserve">LESAGE FABRICE</t>
  </si>
  <si>
    <t xml:space="preserve">https://biocodex6--c.vf.force.com/0014L00000KFnSpQAL</t>
  </si>
  <si>
    <t xml:space="preserve">MAGNANI</t>
  </si>
  <si>
    <t xml:space="preserve">ALESSANDRA</t>
  </si>
  <si>
    <t xml:space="preserve">MAGNANI ALESSANDRA</t>
  </si>
  <si>
    <t xml:space="preserve">01 44 49 52 46</t>
  </si>
  <si>
    <t xml:space="preserve">https://biocodex6--c.vf.force.com/0014L00000KGFwKQAX</t>
  </si>
  <si>
    <t xml:space="preserve">MAGNY</t>
  </si>
  <si>
    <t xml:space="preserve">MAGNY JEAN FRANCOIS</t>
  </si>
  <si>
    <t xml:space="preserve">https://biocodex6--c.vf.force.com/0014L00000KFpHuQAL</t>
  </si>
  <si>
    <t xml:space="preserve">MAZZOLA</t>
  </si>
  <si>
    <t xml:space="preserve">MAZZOLA ALESSANDRA</t>
  </si>
  <si>
    <t xml:space="preserve">01 44 38 19 03</t>
  </si>
  <si>
    <t xml:space="preserve">https://biocodex6--c.vf.force.com/0014L00000KGHPPQA5</t>
  </si>
  <si>
    <t xml:space="preserve">MOULIN</t>
  </si>
  <si>
    <t xml:space="preserve">MOULIN FLORENCE</t>
  </si>
  <si>
    <t xml:space="preserve">https://biocodex6--c.vf.force.com/0014L00000KFstNQAT</t>
  </si>
  <si>
    <t xml:space="preserve">OUALHA</t>
  </si>
  <si>
    <t xml:space="preserve">OUALHA MEHDI</t>
  </si>
  <si>
    <t xml:space="preserve">https://biocodex6--c.vf.force.com/0014L00000KG6m0QAD</t>
  </si>
  <si>
    <t xml:space="preserve">SIDI</t>
  </si>
  <si>
    <t xml:space="preserve">SIDI DANIEL</t>
  </si>
  <si>
    <t xml:space="preserve">https://biocodex6--c.vf.force.com/0014L00000KG1USQA1</t>
  </si>
  <si>
    <t xml:space="preserve">TIMSIT</t>
  </si>
  <si>
    <t xml:space="preserve">TIMSIT SANDRA</t>
  </si>
  <si>
    <t xml:space="preserve">https://biocodex6--c.vf.force.com/0014L00000KG4jxQAD</t>
  </si>
  <si>
    <t xml:space="preserve">VEDRENNE CLOQUET</t>
  </si>
  <si>
    <t xml:space="preserve">VEDRENNE CLOQUET MERYL</t>
  </si>
  <si>
    <t xml:space="preserve">https://biocodex6--c.vf.force.com/0014L00000KFKTVQA5</t>
  </si>
  <si>
    <t xml:space="preserve">GIRARD MURIEL</t>
  </si>
  <si>
    <t xml:space="preserve">https://biocodex6--c.vf.force.com/0014L00000KFh87QAD</t>
  </si>
  <si>
    <t xml:space="preserve">HARROCHE</t>
  </si>
  <si>
    <t xml:space="preserve">HARROCHE ANNIE</t>
  </si>
  <si>
    <t xml:space="preserve">https://biocodex6--c.vf.force.com/0014L00000KFS3iQAH</t>
  </si>
  <si>
    <t xml:space="preserve">PIGNEUR ARNAUD</t>
  </si>
  <si>
    <t xml:space="preserve">PIGNEUR ARNAUD BENEDICTE</t>
  </si>
  <si>
    <t xml:space="preserve">https://biocodex6--c.vf.force.com/0014L00000KFS1gQAH</t>
  </si>
  <si>
    <t xml:space="preserve">VALDES</t>
  </si>
  <si>
    <t xml:space="preserve">VALDES LYDIA</t>
  </si>
  <si>
    <t xml:space="preserve">https://biocodex6--c.vf.force.com/0014L00000KG491QAD</t>
  </si>
  <si>
    <t xml:space="preserve">DEBRAY</t>
  </si>
  <si>
    <t xml:space="preserve">DEBRAY DOMINIQUE</t>
  </si>
  <si>
    <t xml:space="preserve">01 44 49 41 98</t>
  </si>
  <si>
    <t xml:space="preserve">https://biocodex6--c.vf.force.com/0014L00000KFZR6QAP</t>
  </si>
  <si>
    <t xml:space="preserve">36 RUE NICOLO</t>
  </si>
  <si>
    <t xml:space="preserve">01 40 72 28 88</t>
  </si>
  <si>
    <t xml:space="preserve">SOUDAN</t>
  </si>
  <si>
    <t xml:space="preserve">SOUDAN DENIS</t>
  </si>
  <si>
    <t xml:space="preserve">136 RUE BLOMET</t>
  </si>
  <si>
    <t xml:space="preserve">https://biocodex6--c.vf.force.com/0014L00000KG1utQAD</t>
  </si>
  <si>
    <t xml:space="preserve">DE CHILLAZ</t>
  </si>
  <si>
    <t xml:space="preserve">DE CHILLAZ CAROLE</t>
  </si>
  <si>
    <t xml:space="preserve">https://biocodex6--c.vf.force.com/0014L00000KFZ32QAH</t>
  </si>
  <si>
    <t xml:space="preserve">SISSAOUI</t>
  </si>
  <si>
    <t xml:space="preserve">SISSAOUI SAMIRA</t>
  </si>
  <si>
    <t xml:space="preserve">https://biocodex6--c.vf.force.com/0014L00000KG2B9QAL</t>
  </si>
  <si>
    <t xml:space="preserve">AIT AHMED</t>
  </si>
  <si>
    <t xml:space="preserve">INSAF</t>
  </si>
  <si>
    <t xml:space="preserve">AIT AHMED INSAF</t>
  </si>
  <si>
    <t xml:space="preserve">https://biocodex6--c.vf.force.com/0014L00000KGGqwQAH</t>
  </si>
  <si>
    <t xml:space="preserve">QUETIN</t>
  </si>
  <si>
    <t xml:space="preserve">QUETIN FREDERIQUE</t>
  </si>
  <si>
    <t xml:space="preserve">https://biocodex6--c.vf.force.com/0014L00000KFi6zQAD</t>
  </si>
  <si>
    <t xml:space="preserve">AKNIN</t>
  </si>
  <si>
    <t xml:space="preserve">AKNIN DOMINIQUE</t>
  </si>
  <si>
    <t xml:space="preserve">14 RUE RAYNOUARD</t>
  </si>
  <si>
    <t xml:space="preserve">01 40 50 66 33</t>
  </si>
  <si>
    <t xml:space="preserve">dominiqueaknin@orange.fr</t>
  </si>
  <si>
    <t xml:space="preserve">https://biocodex6--c.vf.force.com/0014L00000KFQ4DQAX</t>
  </si>
  <si>
    <t xml:space="preserve">https://annuairesante.ameli.fr/professionnels-de-sante/recherche/fiche-detaillee-B7c1kjozNDa1.html</t>
  </si>
  <si>
    <t xml:space="preserve">SEBBAN</t>
  </si>
  <si>
    <t xml:space="preserve">SYDNEY</t>
  </si>
  <si>
    <t xml:space="preserve">SEBBAN SYDNEY</t>
  </si>
  <si>
    <t xml:space="preserve">9 RUE JEAN BAPTISTE DUMAS</t>
  </si>
  <si>
    <t xml:space="preserve">RUE JEAN BAPTISTE DUMAS</t>
  </si>
  <si>
    <t xml:space="preserve">01 84 17 66 61</t>
  </si>
  <si>
    <t xml:space="preserve">https://biocodex6--c.vf.force.com/0014L00000KG14sQAD</t>
  </si>
  <si>
    <t xml:space="preserve">https://annuairesante.ameli.fr/professionnels-de-sante/recherche/fiche-detaillee-B7c1lzcyNDG7.html</t>
  </si>
  <si>
    <t xml:space="preserve">FERRETTI</t>
  </si>
  <si>
    <t xml:space="preserve">CATERINA</t>
  </si>
  <si>
    <t xml:space="preserve">FERRETTI CATERINA</t>
  </si>
  <si>
    <t xml:space="preserve">CLI DES FEMMES</t>
  </si>
  <si>
    <t xml:space="preserve">96 AVENUE DE VILLIERS</t>
  </si>
  <si>
    <t xml:space="preserve">09 51 97 30 47</t>
  </si>
  <si>
    <t xml:space="preserve">https://biocodex6--c.vf.force.com/0014L00000KFKGRQA5</t>
  </si>
  <si>
    <t xml:space="preserve">https://annuairesante.ameli.fr/professionnels-de-sante/recherche/fiche-detaillee-B7c1lTEyNTS7.html</t>
  </si>
  <si>
    <t xml:space="preserve">KANE</t>
  </si>
  <si>
    <t xml:space="preserve">AMINATA</t>
  </si>
  <si>
    <t xml:space="preserve">KANE AMINATA</t>
  </si>
  <si>
    <t xml:space="preserve">01 40 61 11 22 // 01 40 61 11 00</t>
  </si>
  <si>
    <t xml:space="preserve">https://biocodex6--c.vf.force.com/0014L00000KFieGQAT</t>
  </si>
  <si>
    <t xml:space="preserve">https://annuairesante.ameli.fr/professionnels-de-sante/recherche/fiche-detaillee-B7c1mzY5NzK2.html</t>
  </si>
  <si>
    <t xml:space="preserve">WARNIEZ</t>
  </si>
  <si>
    <t xml:space="preserve">WARNIEZ CORINNE</t>
  </si>
  <si>
    <t xml:space="preserve">193 BOULEVARD ST GERMAIN</t>
  </si>
  <si>
    <t xml:space="preserve">01 45 44 00 95</t>
  </si>
  <si>
    <t xml:space="preserve">https://biocodex6--c.vf.force.com/0014L00000KFpolQAD</t>
  </si>
  <si>
    <t xml:space="preserve">https://annuairesante.ameli.fr/professionnels-de-sante/recherche/fiche-detaillee-B7c1ljI0OTG1.html</t>
  </si>
  <si>
    <t xml:space="preserve">[Timestamp('2024-01-04 14:00:00'), Timestamp('2024-02-22 11:00:00')]</t>
  </si>
  <si>
    <t xml:space="preserve">MAILLARD</t>
  </si>
  <si>
    <t xml:space="preserve">AMELIE</t>
  </si>
  <si>
    <t xml:space="preserve">MAILLARD AMELIE</t>
  </si>
  <si>
    <t xml:space="preserve">https://biocodex6--c.vf.force.com/0014L00000KFrwJQAT</t>
  </si>
  <si>
    <t xml:space="preserve">DUBRAY</t>
  </si>
  <si>
    <t xml:space="preserve">LAURELINE</t>
  </si>
  <si>
    <t xml:space="preserve">DUBRAY LAURELINE</t>
  </si>
  <si>
    <t xml:space="preserve">https://biocodex6--c.vf.force.com/0014L00000KFLqyQAH</t>
  </si>
  <si>
    <t xml:space="preserve">BEUSTES STEFANELLI</t>
  </si>
  <si>
    <t xml:space="preserve">BEUSTES STEFANELLI MATHIEU</t>
  </si>
  <si>
    <t xml:space="preserve">https://biocodex6--c.vf.force.com/0014L00000KFUF5QAP</t>
  </si>
  <si>
    <t xml:space="preserve">POUPARD DE FRANCESCHI</t>
  </si>
  <si>
    <t xml:space="preserve">POUPARD DE FRANCESCHI MARIE PIERRE</t>
  </si>
  <si>
    <t xml:space="preserve">m-p.poupard@sfr.fr</t>
  </si>
  <si>
    <t xml:space="preserve">https://biocodex6--c.vf.force.com/0014L00000KFwrgQAD</t>
  </si>
  <si>
    <t xml:space="preserve">MERCKX</t>
  </si>
  <si>
    <t xml:space="preserve">MERCKX AUDREY</t>
  </si>
  <si>
    <t xml:space="preserve">01 53 68 58 58</t>
  </si>
  <si>
    <t xml:space="preserve">https://biocodex6--c.vf.force.com/0014L00000KFMDOQA5</t>
  </si>
  <si>
    <t xml:space="preserve">https://annuairesante.ameli.fr/professionnels-de-sante/recherche/fiche-detaillee-B7c1mjA4OTq1.html</t>
  </si>
  <si>
    <t xml:space="preserve">MALARET</t>
  </si>
  <si>
    <t xml:space="preserve">MALARET JEAN MARIE</t>
  </si>
  <si>
    <t xml:space="preserve">8 AVENUE CONSTANT COQUELIN</t>
  </si>
  <si>
    <t xml:space="preserve">AVENUE CONSTANT COQUELIN</t>
  </si>
  <si>
    <t xml:space="preserve">01 40 61 05 06</t>
  </si>
  <si>
    <t xml:space="preserve">https://biocodex6--c.vf.force.com/0014L00000KFqnMQAT</t>
  </si>
  <si>
    <t xml:space="preserve">https://annuairesante.ameli.fr/professionnels-de-sante/recherche/fiche-detaillee-B7c1lTMyNjW6.html</t>
  </si>
  <si>
    <t xml:space="preserve">AL FASSIH</t>
  </si>
  <si>
    <t xml:space="preserve">AL FASSIH MATHILDE</t>
  </si>
  <si>
    <t xml:space="preserve">https://biocodex6--c.vf.force.com/0014L00000KGC4iQAH</t>
  </si>
  <si>
    <t xml:space="preserve">https://annuairesante.ameli.fr/professionnels-de-sante/recherche/fiche-detaillee-B7c1kzI3OTu6.html</t>
  </si>
  <si>
    <t xml:space="preserve">09:40-12:20(R)</t>
  </si>
  <si>
    <t xml:space="preserve">10:00-12:20(R)</t>
  </si>
  <si>
    <t xml:space="preserve">MERLO</t>
  </si>
  <si>
    <t xml:space="preserve">MERLO ALEXANDRE</t>
  </si>
  <si>
    <t xml:space="preserve">https://biocodex6--c.vf.force.com/0014L00000KFrTsQAL</t>
  </si>
  <si>
    <t xml:space="preserve">BERTHAUD</t>
  </si>
  <si>
    <t xml:space="preserve">BERTHAUD ROMAIN</t>
  </si>
  <si>
    <t xml:space="preserve">https://biocodex6--c.vf.force.com/0014L00000KG98MQAT</t>
  </si>
  <si>
    <t xml:space="preserve">BESANCON</t>
  </si>
  <si>
    <t xml:space="preserve">BESANCON ALIX</t>
  </si>
  <si>
    <t xml:space="preserve">https://biocodex6--c.vf.force.com/0014L00000KFLamQAH</t>
  </si>
  <si>
    <t xml:space="preserve">DEMIR</t>
  </si>
  <si>
    <t xml:space="preserve">ZEYNEP</t>
  </si>
  <si>
    <t xml:space="preserve">DEMIR ZEYNEP</t>
  </si>
  <si>
    <t xml:space="preserve">https://biocodex6--c.vf.force.com/0014L00000KFOWwQAP</t>
  </si>
  <si>
    <t xml:space="preserve">LUMBROSO GERARD</t>
  </si>
  <si>
    <t xml:space="preserve">36 AVENUE DE WAGRAM</t>
  </si>
  <si>
    <t xml:space="preserve">01 42 27 68 70 // 01 40 72 33 33</t>
  </si>
  <si>
    <t xml:space="preserve">https://biocodex6--c.vf.force.com/0014L00000KFoiyQAD</t>
  </si>
  <si>
    <t xml:space="preserve">https://annuairesante.ameli.fr/professionnels-de-sante/recherche/fiche-detaillee-B7c1lTM1Njax.html</t>
  </si>
  <si>
    <t xml:space="preserve">GELBERT</t>
  </si>
  <si>
    <t xml:space="preserve">GELBERT ANNE</t>
  </si>
  <si>
    <t xml:space="preserve">335 RUE DE VAUGIRARD</t>
  </si>
  <si>
    <t xml:space="preserve">01 40 43 17 65</t>
  </si>
  <si>
    <t xml:space="preserve">anne.gelbert@gmail.com</t>
  </si>
  <si>
    <t xml:space="preserve">https://biocodex6--c.vf.force.com/0014L00000KFfWgQAL</t>
  </si>
  <si>
    <t xml:space="preserve">https://annuairesante.ameli.fr/professionnels-de-sante/recherche/fiche-detaillee-B7c1ljoyNjew.html</t>
  </si>
  <si>
    <t xml:space="preserve">RIMBAUD</t>
  </si>
  <si>
    <t xml:space="preserve">RIMBAUD THIERRY</t>
  </si>
  <si>
    <t xml:space="preserve">02 98 59 06 60</t>
  </si>
  <si>
    <t xml:space="preserve">https://biocodex6--c.vf.force.com/0014L00000KFyf9QAD</t>
  </si>
  <si>
    <t xml:space="preserve">DERREUMAUX</t>
  </si>
  <si>
    <t xml:space="preserve">BERNARD FRANCOIS</t>
  </si>
  <si>
    <t xml:space="preserve">DERREUMAUX BERNARD FRANCOIS</t>
  </si>
  <si>
    <t xml:space="preserve">6 PLACE DE LA MADELEINE</t>
  </si>
  <si>
    <t xml:space="preserve">PLACE DE LA MADELEINE</t>
  </si>
  <si>
    <t xml:space="preserve">01 42 60 72 59</t>
  </si>
  <si>
    <t xml:space="preserve">https://biocodex6--c.vf.force.com/0014L00000KFaOCQA1</t>
  </si>
  <si>
    <t xml:space="preserve">RICHET</t>
  </si>
  <si>
    <t xml:space="preserve">ANNE ISABELLE</t>
  </si>
  <si>
    <t xml:space="preserve">RICHET ANNE ISABELLE</t>
  </si>
  <si>
    <t xml:space="preserve">109 RUE DE L UNIVERSITE</t>
  </si>
  <si>
    <t xml:space="preserve">01 45 51 82 32</t>
  </si>
  <si>
    <t xml:space="preserve">OUT OF VEEVA</t>
  </si>
  <si>
    <t xml:space="preserve">POIROT</t>
  </si>
  <si>
    <t xml:space="preserve">POIROT NICOLAS</t>
  </si>
  <si>
    <t xml:space="preserve">https://biocodex6--c.vf.force.com/0014L00000KFxihQAD</t>
  </si>
  <si>
    <t xml:space="preserve">GORWOOD JOURDAIN</t>
  </si>
  <si>
    <t xml:space="preserve">GORWOOD JOURDAIN SOPHIE</t>
  </si>
  <si>
    <t xml:space="preserve">64 AVENUE BOSQUET</t>
  </si>
  <si>
    <t xml:space="preserve">01 47 05 57 58</t>
  </si>
  <si>
    <t xml:space="preserve">sgorwood@lerss.fr</t>
  </si>
  <si>
    <t xml:space="preserve">https://biocodex6--c.vf.force.com/0014L00000KFgZ4QAL</t>
  </si>
  <si>
    <t xml:space="preserve">https://annuairesante.ameli.fr/professionnels-de-sante/recherche/fiche-detaillee-B7c1lzU1Nzay.html</t>
  </si>
  <si>
    <t xml:space="preserve">[Timestamp('2024-01-04 16:00:00'), Timestamp('2024-05-30 14:00:00')]</t>
  </si>
  <si>
    <t xml:space="preserve">09:20-12:00(R)</t>
  </si>
  <si>
    <t xml:space="preserve">09:20-13:00(R)</t>
  </si>
  <si>
    <t xml:space="preserve">DUCROCQ</t>
  </si>
  <si>
    <t xml:space="preserve">DUCROCQ SARAH</t>
  </si>
  <si>
    <t xml:space="preserve">01 44 38 90 90</t>
  </si>
  <si>
    <t xml:space="preserve">FRAYRET</t>
  </si>
  <si>
    <t xml:space="preserve">FRAYRET CHRISTINE</t>
  </si>
  <si>
    <t xml:space="preserve">https://biocodex6--c.vf.force.com/0014L00000KFbb5QAD</t>
  </si>
  <si>
    <t xml:space="preserve">https://annuairesante.ameli.fr/professionnels-de-sante/recherche/fiche-detaillee-B7c1mjMxOTG6.html</t>
  </si>
  <si>
    <t xml:space="preserve">BOUGHANIM</t>
  </si>
  <si>
    <t xml:space="preserve">MATHIAS</t>
  </si>
  <si>
    <t xml:space="preserve">BOUGHANIM MATHIAS</t>
  </si>
  <si>
    <t xml:space="preserve">01 78 95 83 25</t>
  </si>
  <si>
    <t xml:space="preserve">drboughanim@gmail.com</t>
  </si>
  <si>
    <t xml:space="preserve">https://biocodex6--c.vf.force.com/0014L00000KFVmgQAH</t>
  </si>
  <si>
    <t xml:space="preserve">https://annuairesante.ameli.fr/professionnels-de-sante/recherche/fiche-detaillee-B7c1mzYyNju1.html</t>
  </si>
  <si>
    <t xml:space="preserve">[Timestamp('2024-01-12 16:00:00'), Timestamp('2024-02-26 14:00:00')]</t>
  </si>
  <si>
    <t xml:space="preserve">SYLVESTRE</t>
  </si>
  <si>
    <t xml:space="preserve">DORIS</t>
  </si>
  <si>
    <t xml:space="preserve">SYLVESTRE DORIS</t>
  </si>
  <si>
    <t xml:space="preserve">https://biocodex6--c.vf.force.com/0014L00000KG2NLQA1</t>
  </si>
  <si>
    <t xml:space="preserve">COHEN SCALI</t>
  </si>
  <si>
    <t xml:space="preserve">COHEN SCALI PATRICK</t>
  </si>
  <si>
    <t xml:space="preserve">01 40 72 33 97</t>
  </si>
  <si>
    <t xml:space="preserve">https://biocodex6--c.vf.force.com/0014L00000KFjozQAD</t>
  </si>
  <si>
    <t xml:space="preserve">https://annuairesante.ameli.fr/professionnels-de-sante/recherche/fiche-detaillee-B7c1lTM4Mza3.html</t>
  </si>
  <si>
    <t xml:space="preserve">DAHLIA</t>
  </si>
  <si>
    <t xml:space="preserve">TORCHIN DAHLIA</t>
  </si>
  <si>
    <t xml:space="preserve">01 45 50 19 45</t>
  </si>
  <si>
    <t xml:space="preserve">dahlia.torchin@wanadoo.fr</t>
  </si>
  <si>
    <t xml:space="preserve">https://biocodex6--c.vf.force.com/0014L00000KG3QRQA1</t>
  </si>
  <si>
    <t xml:space="preserve">BENKHATAR</t>
  </si>
  <si>
    <t xml:space="preserve">BENKHATAR MARIE</t>
  </si>
  <si>
    <t xml:space="preserve">15 AVENUE BEAUCOUR</t>
  </si>
  <si>
    <t xml:space="preserve">AVENUE BEAUCOUR</t>
  </si>
  <si>
    <t xml:space="preserve">01 45 83 36 48</t>
  </si>
  <si>
    <t xml:space="preserve">https://biocodex6--c.vf.force.com/0014L00000KFSaSQAX</t>
  </si>
  <si>
    <t xml:space="preserve">https://annuairesante.ameli.fr/professionnels-de-sante/recherche/fiche-detaillee-B7c1mzYyMDOy.html</t>
  </si>
  <si>
    <t xml:space="preserve">SERFATY</t>
  </si>
  <si>
    <t xml:space="preserve">SERFATY DAVID</t>
  </si>
  <si>
    <t xml:space="preserve">9 RUE DE VILLERSEXEL</t>
  </si>
  <si>
    <t xml:space="preserve">01 45 48 31 32</t>
  </si>
  <si>
    <t xml:space="preserve">https://biocodex6--c.vf.force.com/0014L00000KG1FXQA1</t>
  </si>
  <si>
    <t xml:space="preserve">https://annuairesante.ameli.fr/professionnels-de-sante/recherche/fiche-detaillee-B7c1kDM4MTWz.html</t>
  </si>
  <si>
    <t xml:space="preserve">PROUVOST</t>
  </si>
  <si>
    <t xml:space="preserve">PROUVOST CHRISTIAN</t>
  </si>
  <si>
    <t xml:space="preserve">https://biocodex6--c.vf.force.com/0014L00000KFx79QAD</t>
  </si>
  <si>
    <t xml:space="preserve">https://annuairesante.ameli.fr/professionnels-de-sante/recherche/fiche-detaillee-B7c1ljEyMTC7.html</t>
  </si>
  <si>
    <t xml:space="preserve">REYNIER</t>
  </si>
  <si>
    <t xml:space="preserve">REYNIER CATHERINE</t>
  </si>
  <si>
    <t xml:space="preserve">https://biocodex6--c.vf.force.com/0014L00000KFxqzQAD</t>
  </si>
  <si>
    <t xml:space="preserve">ROCHE CLEMENCE</t>
  </si>
  <si>
    <t xml:space="preserve">https://biocodex6--c.vf.force.com/0014L00000KFzkeQAD</t>
  </si>
  <si>
    <t xml:space="preserve">https://annuairesante.ameli.fr/professionnels-de-sante/recherche/fiche-detaillee-B7c1mzc0Mja0.html</t>
  </si>
  <si>
    <t xml:space="preserve">12:30-14:00(R)</t>
  </si>
  <si>
    <t xml:space="preserve">BERARD</t>
  </si>
  <si>
    <t xml:space="preserve">BERARD JEROME</t>
  </si>
  <si>
    <t xml:space="preserve">5 RUE PAUL VALERY</t>
  </si>
  <si>
    <t xml:space="preserve">RUE PAUL VALERY</t>
  </si>
  <si>
    <t xml:space="preserve">01 47 27 04 13</t>
  </si>
  <si>
    <t xml:space="preserve">https://biocodex6--c.vf.force.com/0014L00000KFSxbQAH</t>
  </si>
  <si>
    <t xml:space="preserve">https://annuairesante.ameli.fr/professionnels-de-sante/recherche/fiche-detaillee-B7c1lTAyODC0.html</t>
  </si>
  <si>
    <t xml:space="preserve">10:00-12:30(R)</t>
  </si>
  <si>
    <t xml:space="preserve">10:30-12:30(R)</t>
  </si>
  <si>
    <t xml:space="preserve">VALLETEAU DE MOULLIAC FRANCOISE</t>
  </si>
  <si>
    <t xml:space="preserve">01 45 08 15 55 // 01 45 25 51 66</t>
  </si>
  <si>
    <t xml:space="preserve">bureau.valleteau@gmail.com</t>
  </si>
  <si>
    <t xml:space="preserve">https://biocodex6--c.vf.force.com/0014L00000KG4FQQA1</t>
  </si>
  <si>
    <t xml:space="preserve">https://annuairesante.ameli.fr/professionnels-de-sante/recherche/fiche-detaillee-B7c1lzU2MTWw.html</t>
  </si>
  <si>
    <t xml:space="preserve">MORVAN</t>
  </si>
  <si>
    <t xml:space="preserve">MORVAN FREDERIC</t>
  </si>
  <si>
    <t xml:space="preserve">https://biocodex6--c.vf.force.com/0014L00000KFsq0QAD</t>
  </si>
  <si>
    <t xml:space="preserve">https://annuairesante.ameli.fr/professionnels-de-sante/recherche/fiche-detaillee-B7c1mjA1MzO7.html</t>
  </si>
  <si>
    <t xml:space="preserve">RAST</t>
  </si>
  <si>
    <t xml:space="preserve">RAST CATHERINE</t>
  </si>
  <si>
    <t xml:space="preserve">https://biocodex6--c.vf.force.com/0014L00000KFxgkQAD</t>
  </si>
  <si>
    <t xml:space="preserve">GALIMARD</t>
  </si>
  <si>
    <t xml:space="preserve">GALIMARD JEROME</t>
  </si>
  <si>
    <t xml:space="preserve">galimard@ch-rivesdeseine.fr</t>
  </si>
  <si>
    <t xml:space="preserve">https://biocodex6--c.vf.force.com/0014L00000KFes9QAD</t>
  </si>
  <si>
    <t xml:space="preserve">POUJADE</t>
  </si>
  <si>
    <t xml:space="preserve">POUJADE OLIVIER</t>
  </si>
  <si>
    <t xml:space="preserve">https://biocodex6--c.vf.force.com/0014L00000KFy4yQAD</t>
  </si>
  <si>
    <t xml:space="preserve">https://annuairesante.ameli.fr/professionnels-de-sante/recherche/fiche-detaillee-B7c1lTYyOTS2.html</t>
  </si>
  <si>
    <t xml:space="preserve">CHICHE</t>
  </si>
  <si>
    <t xml:space="preserve">CHICHE FREDERIC</t>
  </si>
  <si>
    <t xml:space="preserve">01 49 71 91 00</t>
  </si>
  <si>
    <t xml:space="preserve">https://biocodex6--c.vf.force.com/0014L00000KFfamQAD</t>
  </si>
  <si>
    <t xml:space="preserve">https://annuairesante.ameli.fr/professionnels-de-sante/recherche/fiche-detaillee-CbA1lTMzNDux.html</t>
  </si>
  <si>
    <t xml:space="preserve">SOLOMON</t>
  </si>
  <si>
    <t xml:space="preserve">MONIQUE</t>
  </si>
  <si>
    <t xml:space="preserve">SOLOMON MONIQUE</t>
  </si>
  <si>
    <t xml:space="preserve">SEX
MED</t>
  </si>
  <si>
    <t xml:space="preserve">64 AVENUE FELIX FAURE</t>
  </si>
  <si>
    <t xml:space="preserve">01 40 60 91 91</t>
  </si>
  <si>
    <t xml:space="preserve">monique.solomon@free.fr</t>
  </si>
  <si>
    <t xml:space="preserve">https://biocodex6--c.vf.force.com/0014L00000KG1rtQAD</t>
  </si>
  <si>
    <t xml:space="preserve">https://annuairesante.ameli.fr/professionnels-de-sante/recherche/fiche-detaillee-B7c1lzA4MjS2.html</t>
  </si>
  <si>
    <t xml:space="preserve">ARYAFAR</t>
  </si>
  <si>
    <t xml:space="preserve">ANNAHITA</t>
  </si>
  <si>
    <t xml:space="preserve">ARYAFAR ANNAHITA</t>
  </si>
  <si>
    <t xml:space="preserve">https://biocodex6--c.vf.force.com/0014L00000KGIYfQAP</t>
  </si>
  <si>
    <t xml:space="preserve">GUGLIELMINA</t>
  </si>
  <si>
    <t xml:space="preserve">GUGLIELMINA JEAN NOEL</t>
  </si>
  <si>
    <t xml:space="preserve">https://biocodex6--c.vf.force.com/0014L00000KFhUvQAL</t>
  </si>
  <si>
    <t xml:space="preserve">https://annuairesante.ameli.fr/professionnels-de-sante/recherche/fiche-detaillee-B7c1lzU3MTuy.html</t>
  </si>
  <si>
    <t xml:space="preserve">CHAVAROT</t>
  </si>
  <si>
    <t xml:space="preserve">CHAVAROT NATHALIE</t>
  </si>
  <si>
    <t xml:space="preserve">01 44 38 19 92</t>
  </si>
  <si>
    <t xml:space="preserve">https://biocodex6--c.vf.force.com/0014L00000KG9q6QAD</t>
  </si>
  <si>
    <t xml:space="preserve">ABELLO</t>
  </si>
  <si>
    <t xml:space="preserve">ABELLO PATRICIA</t>
  </si>
  <si>
    <t xml:space="preserve">7 RUE LE SUEUR</t>
  </si>
  <si>
    <t xml:space="preserve">RUE LE SUEUR</t>
  </si>
  <si>
    <t xml:space="preserve">01 45 00 23 22 // 09 73 05 75 76</t>
  </si>
  <si>
    <t xml:space="preserve">https://biocodex6--c.vf.force.com/0014L00000YvMV3QAN</t>
  </si>
  <si>
    <t xml:space="preserve">https://annuairesante.ameli.fr/professionnels-de-sante/recherche/fiche-detaillee-B7c1lzoxODex.html</t>
  </si>
  <si>
    <t xml:space="preserve">SPAHN</t>
  </si>
  <si>
    <t xml:space="preserve">SPAHN ELISABETH</t>
  </si>
  <si>
    <t xml:space="preserve">01 44 18 75 70</t>
  </si>
  <si>
    <t xml:space="preserve">docteurspahn@gmail.com</t>
  </si>
  <si>
    <t xml:space="preserve">https://biocodex6--c.vf.force.com/0014L00000KG24VQAT</t>
  </si>
  <si>
    <t xml:space="preserve">https://annuairesante.ameli.fr/professionnels-de-sante/recherche/fiche-detaillee-B7c1mzYxMDS3.html</t>
  </si>
  <si>
    <t xml:space="preserve">MAUREL GYORGI</t>
  </si>
  <si>
    <t xml:space="preserve">MELINDA</t>
  </si>
  <si>
    <t xml:space="preserve">MAUREL GYORGI MELINDA</t>
  </si>
  <si>
    <t xml:space="preserve">docteur.maurel@gmail.com</t>
  </si>
  <si>
    <t xml:space="preserve">https://biocodex6--c.vf.force.com/0014L00000KFhgaQAD</t>
  </si>
  <si>
    <t xml:space="preserve">BENICHOU</t>
  </si>
  <si>
    <t xml:space="preserve">BENICHOU AUDE</t>
  </si>
  <si>
    <t xml:space="preserve">https://biocodex6--c.vf.force.com/0014L00000KGBOLQA5</t>
  </si>
  <si>
    <t xml:space="preserve">ACKER</t>
  </si>
  <si>
    <t xml:space="preserve">ACKER CATHERINE</t>
  </si>
  <si>
    <t xml:space="preserve">73 RUE FONDARY</t>
  </si>
  <si>
    <t xml:space="preserve">01 45 75 08 16</t>
  </si>
  <si>
    <t xml:space="preserve">https://biocodex6--c.vf.force.com/0014L00000KFOqIQAX</t>
  </si>
  <si>
    <t xml:space="preserve">https://annuairesante.ameli.fr/professionnels-de-sante/recherche/fiche-detaillee-B7c1ljswODq1.html</t>
  </si>
  <si>
    <t xml:space="preserve">FREYCHET</t>
  </si>
  <si>
    <t xml:space="preserve">FREYCHET CAROLINE</t>
  </si>
  <si>
    <t xml:space="preserve">https://biocodex6--c.vf.force.com/0014L00000KFNqCQAX</t>
  </si>
  <si>
    <t xml:space="preserve">IMBERT TARRERIAS</t>
  </si>
  <si>
    <t xml:space="preserve">ANNE LAURE</t>
  </si>
  <si>
    <t xml:space="preserve">IMBERT TARRERIAS ANNE LAURE</t>
  </si>
  <si>
    <t xml:space="preserve">https://biocodex6--c.vf.force.com/0014L00000KG76wQAD</t>
  </si>
  <si>
    <t xml:space="preserve">https://annuairesante.ameli.fr/professionnels-de-sante/recherche/fiche-detaillee-B7c1mzE3MTa1.html</t>
  </si>
  <si>
    <t xml:space="preserve">MARCHAC</t>
  </si>
  <si>
    <t xml:space="preserve">MARCHAC VALENTINE</t>
  </si>
  <si>
    <t xml:space="preserve">https://biocodex6--c.vf.force.com/0014L00000KFr2zQAD</t>
  </si>
  <si>
    <t xml:space="preserve">SIRINELLI WALTER</t>
  </si>
  <si>
    <t xml:space="preserve">SIRINELLI WALTER LAURE</t>
  </si>
  <si>
    <t xml:space="preserve">https://biocodex6--c.vf.force.com/0014L00000KG1RfQAL</t>
  </si>
  <si>
    <t xml:space="preserve">PAYEN ROUSSEAU</t>
  </si>
  <si>
    <t xml:space="preserve">PAYEN ROUSSEAU ANNE LAURE</t>
  </si>
  <si>
    <t xml:space="preserve">https://biocodex6--c.vf.force.com/0014L00000KFKTDQA5</t>
  </si>
  <si>
    <t xml:space="preserve">CONTOU</t>
  </si>
  <si>
    <t xml:space="preserve">CONTOU JEAN FRANCOIS</t>
  </si>
  <si>
    <t xml:space="preserve">https://biocodex6--c.vf.force.com/0014L00000KFXP1QAP</t>
  </si>
  <si>
    <t xml:space="preserve">RISBOURG</t>
  </si>
  <si>
    <t xml:space="preserve">RISBOURG JEAN PAUL</t>
  </si>
  <si>
    <t xml:space="preserve">122 RUE LOUIS ROUQUIER</t>
  </si>
  <si>
    <t xml:space="preserve">RUE LOUIS ROUQUIER</t>
  </si>
  <si>
    <t xml:space="preserve">01 47 39 38 85</t>
  </si>
  <si>
    <t xml:space="preserve">https://biocodex6--c.vf.force.com/0014L00000KFyhHQAT</t>
  </si>
  <si>
    <t xml:space="preserve">RHAZAL</t>
  </si>
  <si>
    <t xml:space="preserve">SORIA</t>
  </si>
  <si>
    <t xml:space="preserve">RHAZAL SORIA</t>
  </si>
  <si>
    <t xml:space="preserve">01 43 88 36 36</t>
  </si>
  <si>
    <t xml:space="preserve">BIALKIEWICZ</t>
  </si>
  <si>
    <t xml:space="preserve">BIALKIEWICZ CLAIRE</t>
  </si>
  <si>
    <t xml:space="preserve">78 AVENUE DE SUFFREN</t>
  </si>
  <si>
    <t xml:space="preserve">01 40 56 00 26</t>
  </si>
  <si>
    <t xml:space="preserve">https://biocodex6--c.vf.force.com/0014L00000KFTHAQA5</t>
  </si>
  <si>
    <t xml:space="preserve">https://annuairesante.ameli.fr/professionnels-de-sante/recherche/fiche-detaillee-B7c1ljM3MjK1.html</t>
  </si>
  <si>
    <t xml:space="preserve">09:30-11:00(R)</t>
  </si>
  <si>
    <t xml:space="preserve">VALADE</t>
  </si>
  <si>
    <t xml:space="preserve">VALADE DOMINIQUE</t>
  </si>
  <si>
    <t xml:space="preserve">275 BOULEVARD PEREIRE</t>
  </si>
  <si>
    <t xml:space="preserve">07 71 21 67 68 // 07 71 21 50 05</t>
  </si>
  <si>
    <t xml:space="preserve">https://biocodex6--c.vf.force.com/0014L00000KG4CmQAL</t>
  </si>
  <si>
    <t xml:space="preserve">https://annuairesante.ameli.fr/professionnels-de-sante/recherche/fiche-detaillee-B7c1kTo5MDuz.html</t>
  </si>
  <si>
    <t xml:space="preserve">LABASTIRE BAIXAS</t>
  </si>
  <si>
    <t xml:space="preserve">LABASTIRE BAIXAS LAURENCE</t>
  </si>
  <si>
    <t xml:space="preserve">01 47 45 53 42</t>
  </si>
  <si>
    <t xml:space="preserve">SANS</t>
  </si>
  <si>
    <t xml:space="preserve">https://biocodex6--c.vf.force.com/0014L00000KFlAOQA1</t>
  </si>
  <si>
    <t xml:space="preserve">https://annuairesante.ameli.fr/professionnels-de-sante/recherche/fiche-detaillee-CbA1kjo1NTWy.html</t>
  </si>
  <si>
    <t xml:space="preserve">MEOT</t>
  </si>
  <si>
    <t xml:space="preserve">MEOT MATHILDE</t>
  </si>
  <si>
    <t xml:space="preserve">https://biocodex6--c.vf.force.com/0014L00000KFONDQA5</t>
  </si>
  <si>
    <t xml:space="preserve">BRUNET GUERIN</t>
  </si>
  <si>
    <t xml:space="preserve">BRUNET GUERIN STEPHANIE</t>
  </si>
  <si>
    <t xml:space="preserve">https://biocodex6--c.vf.force.com/0014L00000KFVGQQA5</t>
  </si>
  <si>
    <t xml:space="preserve">LIND</t>
  </si>
  <si>
    <t xml:space="preserve">KATIA</t>
  </si>
  <si>
    <t xml:space="preserve">LIND KATIA</t>
  </si>
  <si>
    <t xml:space="preserve">https://biocodex6--c.vf.force.com/0014L00000KFos6QAD</t>
  </si>
  <si>
    <t xml:space="preserve">ROY</t>
  </si>
  <si>
    <t xml:space="preserve">ROY SOPHIE</t>
  </si>
  <si>
    <t xml:space="preserve">6 RUE EMILE DUCLAUX</t>
  </si>
  <si>
    <t xml:space="preserve">RUE EMILE DUCLAUX</t>
  </si>
  <si>
    <t xml:space="preserve">01 43 36 97 69</t>
  </si>
  <si>
    <t xml:space="preserve">https://biocodex6--c.vf.force.com/0014L00000KG0FbQAL</t>
  </si>
  <si>
    <t xml:space="preserve">https://annuairesante.ameli.fr/professionnels-de-sante/recherche/fiche-detaillee-B7c1kjo4ODCw.html</t>
  </si>
  <si>
    <t xml:space="preserve">CHAUDOYE</t>
  </si>
  <si>
    <t xml:space="preserve">CHAUDOYE LUC</t>
  </si>
  <si>
    <t xml:space="preserve">6 RUE CARNOT</t>
  </si>
  <si>
    <t xml:space="preserve">01 47 48 00 08</t>
  </si>
  <si>
    <t xml:space="preserve">https://biocodex6--c.vf.force.com/0014L00000KFWIVQA5</t>
  </si>
  <si>
    <t xml:space="preserve">CHANTELARD</t>
  </si>
  <si>
    <t xml:space="preserve">CHANTELARD ELISABETH</t>
  </si>
  <si>
    <t xml:space="preserve">42 RUE TREBOIS</t>
  </si>
  <si>
    <t xml:space="preserve">RUE TREBOIS</t>
  </si>
  <si>
    <t xml:space="preserve">01 42 70 28 32</t>
  </si>
  <si>
    <t xml:space="preserve">https://biocodex6--c.vf.force.com/0014L00000KFW4hQAH</t>
  </si>
  <si>
    <t xml:space="preserve">https://annuairesante.ameli.fr/professionnels-de-sante/recherche/fiche-detaillee-CbA1kjs4NjKw.html</t>
  </si>
  <si>
    <t xml:space="preserve">AKIL</t>
  </si>
  <si>
    <t xml:space="preserve">RACHIDA</t>
  </si>
  <si>
    <t xml:space="preserve">AKIL RACHIDA</t>
  </si>
  <si>
    <t xml:space="preserve">https://biocodex6--c.vf.force.com/0014L00000KFQ43QAH</t>
  </si>
  <si>
    <t xml:space="preserve">MARCU MARIN</t>
  </si>
  <si>
    <t xml:space="preserve">MARIANA</t>
  </si>
  <si>
    <t xml:space="preserve">MARCU MARIN MARIANA</t>
  </si>
  <si>
    <t xml:space="preserve">https://biocodex6--c.vf.force.com/0014L00000KFr3qQAD</t>
  </si>
  <si>
    <t xml:space="preserve">GATEL</t>
  </si>
  <si>
    <t xml:space="preserve">GATEL PIERRE</t>
  </si>
  <si>
    <t xml:space="preserve">https://biocodex6--c.vf.force.com/0014L00000KFcwcQAD</t>
  </si>
  <si>
    <t xml:space="preserve">LOVEJOY</t>
  </si>
  <si>
    <t xml:space="preserve">JOHN</t>
  </si>
  <si>
    <t xml:space="preserve">LOVEJOY JOHN</t>
  </si>
  <si>
    <t xml:space="preserve">https://biocodex6--c.vf.force.com/0014L00000KFpHGQA1</t>
  </si>
  <si>
    <t xml:space="preserve">https://annuairesante.ameli.fr/professionnels-de-sante/recherche/fiche-detaillee-CbA1kzswNzWz.html</t>
  </si>
  <si>
    <t xml:space="preserve">BEN HADDOU</t>
  </si>
  <si>
    <t xml:space="preserve">GHIZLAINE</t>
  </si>
  <si>
    <t xml:space="preserve">BEN HADDOU GHIZLAINE</t>
  </si>
  <si>
    <t xml:space="preserve">61 AVENUE FRANKLIN DELANO ROOSEVELT</t>
  </si>
  <si>
    <t xml:space="preserve">01 53 77 25 88 // 06 66 60 73 02</t>
  </si>
  <si>
    <t xml:space="preserve">https://biocodex6--c.vf.force.com/0014L00000KGGyqQAH</t>
  </si>
  <si>
    <t xml:space="preserve">https://annuairesante.ameli.fr/professionnels-de-sante/recherche/fiche-detaillee-B7c1kzAxMTe3.html</t>
  </si>
  <si>
    <t xml:space="preserve">FRELAUT</t>
  </si>
  <si>
    <t xml:space="preserve">FRELAUT VALERIE</t>
  </si>
  <si>
    <t xml:space="preserve">37 RUE BAYEN</t>
  </si>
  <si>
    <t xml:space="preserve">RUE BAYEN</t>
  </si>
  <si>
    <t xml:space="preserve">01 45 74 45 95</t>
  </si>
  <si>
    <t xml:space="preserve">https://biocodex6--c.vf.force.com/0014L00000KFeUvQAL</t>
  </si>
  <si>
    <t xml:space="preserve">BAILLY</t>
  </si>
  <si>
    <t xml:space="preserve">BAILLY EMMANUEL</t>
  </si>
  <si>
    <t xml:space="preserve">https://biocodex6--c.vf.force.com/0014L00000KFUCaQAP</t>
  </si>
  <si>
    <t xml:space="preserve">https://annuairesante.ameli.fr/professionnels-de-sante/recherche/fiche-detaillee-B7c1mzY5NTq7.html</t>
  </si>
  <si>
    <t xml:space="preserve">CHAUVEL</t>
  </si>
  <si>
    <t xml:space="preserve">YVON</t>
  </si>
  <si>
    <t xml:space="preserve">CHAUVEL YVON</t>
  </si>
  <si>
    <t xml:space="preserve">01 42 88 29 25</t>
  </si>
  <si>
    <t xml:space="preserve">https://biocodex6--c.vf.force.com/0014L00000KFWKtQAP</t>
  </si>
  <si>
    <t xml:space="preserve">https://annuairesante.ameli.fr/professionnels-de-sante/recherche/fiche-detaillee-B7c1ljA4OTu2.html</t>
  </si>
  <si>
    <t xml:space="preserve">14:00-19:15(R)</t>
  </si>
  <si>
    <t xml:space="preserve">MARCOLLET</t>
  </si>
  <si>
    <t xml:space="preserve">MARCOLLET ANNE</t>
  </si>
  <si>
    <t xml:space="preserve">marcolletsg@gmail.com</t>
  </si>
  <si>
    <t xml:space="preserve">https://biocodex6--c.vf.force.com/0014L00000KFr4OQAT</t>
  </si>
  <si>
    <t xml:space="preserve">FANCHIN</t>
  </si>
  <si>
    <t xml:space="preserve">RENATO</t>
  </si>
  <si>
    <t xml:space="preserve">FANCHIN RENATO</t>
  </si>
  <si>
    <t xml:space="preserve">https://biocodex6--c.vf.force.com/0014L00000KFbUoQAL</t>
  </si>
  <si>
    <t xml:space="preserve">https://annuairesante.ameli.fr/professionnels-de-sante/recherche/fiche-detaillee-B7c1kjowNju0.html</t>
  </si>
  <si>
    <t xml:space="preserve">BIGORIE</t>
  </si>
  <si>
    <t xml:space="preserve">BIGORIE VERONIQUE</t>
  </si>
  <si>
    <t xml:space="preserve">4 RUE LEON DELHOMME</t>
  </si>
  <si>
    <t xml:space="preserve">RUE LEON DELHOMME</t>
  </si>
  <si>
    <t xml:space="preserve">01 56 08 21 23</t>
  </si>
  <si>
    <t xml:space="preserve">https://biocodex6--c.vf.force.com/0014L00000KFUHAQA5</t>
  </si>
  <si>
    <t xml:space="preserve">https://annuairesante.ameli.fr/professionnels-de-sante/recherche/fiche-detaillee-B7c1kjA5ODG6.html</t>
  </si>
  <si>
    <t xml:space="preserve">09:30-14:00(L)</t>
  </si>
  <si>
    <t xml:space="preserve">14:00-16:00(L)</t>
  </si>
  <si>
    <t xml:space="preserve">ADDA HERZOG</t>
  </si>
  <si>
    <t xml:space="preserve">ADDA HERZOG ELODIE</t>
  </si>
  <si>
    <t xml:space="preserve">24 BOULEVARD PASTEUR</t>
  </si>
  <si>
    <t xml:space="preserve">https://biocodex6--c.vf.force.com/0014L00000KFR6kQAH</t>
  </si>
  <si>
    <t xml:space="preserve">https://annuairesante.ameli.fr/professionnels-de-sante/recherche/fiche-detaillee-B7c1lTYzOTC3.html</t>
  </si>
  <si>
    <t xml:space="preserve">AHDAD YATA</t>
  </si>
  <si>
    <t xml:space="preserve">NAOUEL</t>
  </si>
  <si>
    <t xml:space="preserve">AHDAD YATA NAOUEL</t>
  </si>
  <si>
    <t xml:space="preserve">26 RUE BOISSIERE</t>
  </si>
  <si>
    <t xml:space="preserve">https://biocodex6--c.vf.force.com/0014L00000KFR6zQAH</t>
  </si>
  <si>
    <t xml:space="preserve">https://annuairesante.ameli.fr/professionnels-de-sante/recherche/fiche-detaillee-CbA1kjM0NzGz.html</t>
  </si>
  <si>
    <t xml:space="preserve">UTZMANN</t>
  </si>
  <si>
    <t xml:space="preserve">UTZMANN CHRISTINE</t>
  </si>
  <si>
    <t xml:space="preserve">https://biocodex6--c.vf.force.com/0014L00000KG41fQAD</t>
  </si>
  <si>
    <t xml:space="preserve">https://annuairesante.ameli.fr/professionnels-de-sante/recherche/fiche-detaillee-B7c1ljs5OTe1.html</t>
  </si>
  <si>
    <t xml:space="preserve">LAUDE LEMOINE</t>
  </si>
  <si>
    <t xml:space="preserve">LAUDE LEMOINE AGNES</t>
  </si>
  <si>
    <t xml:space="preserve">65 RUE LABROUSTE</t>
  </si>
  <si>
    <t xml:space="preserve">agnes.lemoine@icloud.com</t>
  </si>
  <si>
    <t xml:space="preserve">https://biocodex6--c.vf.force.com/0014L00000KFnpPQAT</t>
  </si>
  <si>
    <t xml:space="preserve">LIZOP</t>
  </si>
  <si>
    <t xml:space="preserve">MARIE MADELEINE</t>
  </si>
  <si>
    <t xml:space="preserve">LIZOP MARIE MADELEINE</t>
  </si>
  <si>
    <t xml:space="preserve">83 RUE ARISTIDE BRIAND</t>
  </si>
  <si>
    <t xml:space="preserve">01 47 37 71 85</t>
  </si>
  <si>
    <t xml:space="preserve">https://biocodex6--c.vf.force.com/0014L00000KFoc3QAD</t>
  </si>
  <si>
    <t xml:space="preserve">SCARABIN CARRE</t>
  </si>
  <si>
    <t xml:space="preserve">SCARABIN CARRE VALERIE</t>
  </si>
  <si>
    <t xml:space="preserve">valerie.scarabin-carre@aphp.fr</t>
  </si>
  <si>
    <t xml:space="preserve">https://biocodex6--c.vf.force.com/0014L00000KG2ERQA1</t>
  </si>
  <si>
    <t xml:space="preserve">https://annuairesante.ameli.fr/professionnels-de-sante/recherche/fiche-detaillee-CbA1mjYyMzCw.html</t>
  </si>
  <si>
    <t xml:space="preserve">CHARRIER ANNIE</t>
  </si>
  <si>
    <t xml:space="preserve">https://biocodex6--c.vf.force.com/0014L00000KFWCYQA5</t>
  </si>
  <si>
    <t xml:space="preserve">FOY FOULQUES</t>
  </si>
  <si>
    <t xml:space="preserve">FOY FOULQUES ELISE</t>
  </si>
  <si>
    <t xml:space="preserve">https://biocodex6--c.vf.force.com/0014L00000KFPm7QAH</t>
  </si>
  <si>
    <t xml:space="preserve">CHPINDEL BRUNO</t>
  </si>
  <si>
    <t xml:space="preserve">CHPINDEL BRUNO MYRIAM</t>
  </si>
  <si>
    <t xml:space="preserve">59 RUE DE PONTHIEU</t>
  </si>
  <si>
    <t xml:space="preserve">01 43 59 02 23</t>
  </si>
  <si>
    <t xml:space="preserve">chpindelm@gmail.com</t>
  </si>
  <si>
    <t xml:space="preserve">https://biocodex6--c.vf.force.com/0014L00000KFWkYQAX</t>
  </si>
  <si>
    <t xml:space="preserve">https://annuairesante.ameli.fr/professionnels-de-sante/recherche/fiche-detaillee-B7c1ljI1OTa6.html</t>
  </si>
  <si>
    <t xml:space="preserve">SAREIDAKI</t>
  </si>
  <si>
    <t xml:space="preserve">DOXA</t>
  </si>
  <si>
    <t xml:space="preserve">SAREIDAKI DOXA</t>
  </si>
  <si>
    <t xml:space="preserve">https://biocodex6--c.vf.force.com/0014L00000KGKiWQAX</t>
  </si>
  <si>
    <t xml:space="preserve">PIETIN VIALLE</t>
  </si>
  <si>
    <t xml:space="preserve">PIETIN VIALLE CLAIRE</t>
  </si>
  <si>
    <t xml:space="preserve">01 45 03 90 90 // 09 72 17 51 24</t>
  </si>
  <si>
    <t xml:space="preserve">clairevialle@free.fr</t>
  </si>
  <si>
    <t xml:space="preserve">https://biocodex6--c.vf.force.com/0014L00000KFxpAQAT</t>
  </si>
  <si>
    <t xml:space="preserve">https://annuairesante.ameli.fr/professionnels-de-sante/recherche/fiche-detaillee-B7c1mzczNTC2.html</t>
  </si>
  <si>
    <t xml:space="preserve">SCHNEBLE IBOS AUGE</t>
  </si>
  <si>
    <t xml:space="preserve">NATHANAELLE</t>
  </si>
  <si>
    <t xml:space="preserve">SCHNEBLE IBOS AUGE NATHANAELLE</t>
  </si>
  <si>
    <t xml:space="preserve">https://biocodex6--c.vf.force.com/0014L00000KFg5iQAD</t>
  </si>
  <si>
    <t xml:space="preserve">GUITI HAMIDIEH</t>
  </si>
  <si>
    <t xml:space="preserve">SEPIDEH</t>
  </si>
  <si>
    <t xml:space="preserve">GUITI HAMIDIEH SEPIDEH</t>
  </si>
  <si>
    <t xml:space="preserve">46 RUE DE VILLIERS</t>
  </si>
  <si>
    <t xml:space="preserve">01 47 57 41 88</t>
  </si>
  <si>
    <t xml:space="preserve">s.guiti@noos.fr</t>
  </si>
  <si>
    <t xml:space="preserve">https://biocodex6--c.vf.force.com/0014L00000KFhnhQAD</t>
  </si>
  <si>
    <t xml:space="preserve">ANDRE PASCAL</t>
  </si>
  <si>
    <t xml:space="preserve">19 RUE MIRABEAU</t>
  </si>
  <si>
    <t xml:space="preserve">01 45 27 71 22</t>
  </si>
  <si>
    <t xml:space="preserve">https://biocodex6--c.vf.force.com/0014L00000KFQQoQAP</t>
  </si>
  <si>
    <t xml:space="preserve">https://annuairesante.ameli.fr/professionnels-de-sante/recherche/fiche-detaillee-B7c1kTY2MjSz.html</t>
  </si>
  <si>
    <t xml:space="preserve">JEFFERY</t>
  </si>
  <si>
    <t xml:space="preserve">KIM JOANNE</t>
  </si>
  <si>
    <t xml:space="preserve">JEFFERY KIM JOANNE</t>
  </si>
  <si>
    <t xml:space="preserve">csparis-cmpp@mgen.fr</t>
  </si>
  <si>
    <t xml:space="preserve">https://biocodex6--c.vf.force.com/0014L00000KFKv5QAH</t>
  </si>
  <si>
    <t xml:space="preserve">GOETA</t>
  </si>
  <si>
    <t xml:space="preserve">GOETA JACQUELINE</t>
  </si>
  <si>
    <t xml:space="preserve">19 RUE AMPERE</t>
  </si>
  <si>
    <t xml:space="preserve">https://biocodex6--c.vf.force.com/0014L00000KFgPlQAL</t>
  </si>
  <si>
    <t xml:space="preserve">https://annuairesante.ameli.fr/professionnels-de-sante/recherche/fiche-detaillee-B7c1lzc1NTux.html</t>
  </si>
  <si>
    <t xml:space="preserve">THOURY</t>
  </si>
  <si>
    <t xml:space="preserve">THOURY ANNE</t>
  </si>
  <si>
    <t xml:space="preserve">06 14 69 63 87</t>
  </si>
  <si>
    <t xml:space="preserve">https://biocodex6--c.vf.force.com/0014L00000KG4ogQAD</t>
  </si>
  <si>
    <t xml:space="preserve">https://annuairesante.ameli.fr/professionnels-de-sante/recherche/fiche-detaillee-B7c1lTY2MjK3.html</t>
  </si>
  <si>
    <t xml:space="preserve">LOISEAU</t>
  </si>
  <si>
    <t xml:space="preserve">LOISEAU DIDIER</t>
  </si>
  <si>
    <t xml:space="preserve">https://biocodex6--c.vf.force.com/0014L00000KFogrQAD</t>
  </si>
  <si>
    <t xml:space="preserve">https://annuairesante.ameli.fr/professionnels-de-sante/recherche/fiche-detaillee-B7c1lzMxNzOy.html</t>
  </si>
  <si>
    <t xml:space="preserve">KHAU</t>
  </si>
  <si>
    <t xml:space="preserve">JEREMY</t>
  </si>
  <si>
    <t xml:space="preserve">KHAU JEREMY</t>
  </si>
  <si>
    <t xml:space="preserve">https://biocodex6--c.vf.force.com/0014L00000KGBplQAH</t>
  </si>
  <si>
    <t xml:space="preserve">GEORGY</t>
  </si>
  <si>
    <t xml:space="preserve">HERMINE</t>
  </si>
  <si>
    <t xml:space="preserve">GEORGY HERMINE</t>
  </si>
  <si>
    <t xml:space="preserve">https://biocodex6--c.vf.force.com/0014L00000KGGryQAH</t>
  </si>
  <si>
    <t xml:space="preserve">GRANDJEAN</t>
  </si>
  <si>
    <t xml:space="preserve">GRANDJEAN CAROLINE</t>
  </si>
  <si>
    <t xml:space="preserve">https://biocodex6--c.vf.force.com/0014L00000KFOOjQAP</t>
  </si>
  <si>
    <t xml:space="preserve">ENTREMONT</t>
  </si>
  <si>
    <t xml:space="preserve">ENTREMONT ALEXANDRE</t>
  </si>
  <si>
    <t xml:space="preserve">https://biocodex6--c.vf.force.com/0014L00000KFQsLQAX</t>
  </si>
  <si>
    <t xml:space="preserve">MESNER</t>
  </si>
  <si>
    <t xml:space="preserve">MESNER MICHEL</t>
  </si>
  <si>
    <t xml:space="preserve">https://biocodex6--c.vf.force.com/0014L00000KFrXtQAL</t>
  </si>
  <si>
    <t xml:space="preserve">https://annuairesante.ameli.fr/professionnels-de-sante/recherche/fiche-detaillee-B7c1ljA4ODG6.html</t>
  </si>
  <si>
    <t xml:space="preserve">CAMBOURIS PERRINE</t>
  </si>
  <si>
    <t xml:space="preserve">CAMBOURIS PERRINE SOLANGE</t>
  </si>
  <si>
    <t xml:space="preserve">https://biocodex6--c.vf.force.com/0014L00000KFiA7QAL</t>
  </si>
  <si>
    <t xml:space="preserve">BINET LUKASZEWICZ</t>
  </si>
  <si>
    <t xml:space="preserve">ANNA MARIA</t>
  </si>
  <si>
    <t xml:space="preserve">BINET LUKASZEWICZ ANNA MARIA</t>
  </si>
  <si>
    <t xml:space="preserve">77 AVENUE DE BRETEUIL</t>
  </si>
  <si>
    <t xml:space="preserve">https://biocodex6--c.vf.force.com/0014L00000KIh5WQAT</t>
  </si>
  <si>
    <t xml:space="preserve">LEMAITRE</t>
  </si>
  <si>
    <t xml:space="preserve">JOUMANA</t>
  </si>
  <si>
    <t xml:space="preserve">LEMAITRE JOUMANA</t>
  </si>
  <si>
    <t xml:space="preserve">01 73 06 02 00 // 08 26 20 03 00</t>
  </si>
  <si>
    <t xml:space="preserve">reassa.yola@hotmail.fr</t>
  </si>
  <si>
    <t xml:space="preserve">https://biocodex6--c.vf.force.com/0014L00000KFmk7QAD</t>
  </si>
  <si>
    <t xml:space="preserve">https://annuairesante.ameli.fr/professionnels-de-sante/recherche/fiche-detaillee-CbA1lTMzNjuz.html</t>
  </si>
  <si>
    <t xml:space="preserve">HONORE GOLDMAN</t>
  </si>
  <si>
    <t xml:space="preserve">HONORE GOLDMAN NINA</t>
  </si>
  <si>
    <t xml:space="preserve">https://biocodex6--c.vf.force.com/0014L00000KFLdXQAX</t>
  </si>
  <si>
    <t xml:space="preserve">https://annuairesante.ameli.fr/professionnels-de-sante/recherche/fiche-detaillee-B7c1kjA1ODC7.html</t>
  </si>
  <si>
    <t xml:space="preserve">VICTOR</t>
  </si>
  <si>
    <t xml:space="preserve">LEVY VICTOR</t>
  </si>
  <si>
    <t xml:space="preserve">01 42 27 10 00</t>
  </si>
  <si>
    <t xml:space="preserve">https://biocodex6--c.vf.force.com/0014L00000KFnIKQA1</t>
  </si>
  <si>
    <t xml:space="preserve">CALVO</t>
  </si>
  <si>
    <t xml:space="preserve">CALVO JEREMY</t>
  </si>
  <si>
    <t xml:space="preserve">https://biocodex6--c.vf.force.com/0014L00000KFPUZQA5</t>
  </si>
  <si>
    <t xml:space="preserve">https://annuairesante.ameli.fr/professionnels-de-sante/recherche/fiche-detaillee-B7c1kjsyOTqy.html</t>
  </si>
  <si>
    <t xml:space="preserve">GUENOUX</t>
  </si>
  <si>
    <t xml:space="preserve">GUENOUX CHARLES</t>
  </si>
  <si>
    <t xml:space="preserve">01 40 89 90 30</t>
  </si>
  <si>
    <t xml:space="preserve">https://biocodex6--c.vf.force.com/0014L00000KFhMeQAL</t>
  </si>
  <si>
    <t xml:space="preserve">MERIGOT DE TREIGNY</t>
  </si>
  <si>
    <t xml:space="preserve">MERIGOT DE TREIGNY PHILIPPE</t>
  </si>
  <si>
    <t xml:space="preserve">https://biocodex6--c.vf.force.com/0014L00000KFrRmQAL</t>
  </si>
  <si>
    <t xml:space="preserve">LAMBERTI ELENA</t>
  </si>
  <si>
    <t xml:space="preserve">75 BOULEVARD EXELMANS</t>
  </si>
  <si>
    <t xml:space="preserve">01 40 71 05 10</t>
  </si>
  <si>
    <t xml:space="preserve">https://biocodex6--c.vf.force.com/0014L00000KFlnyQAD</t>
  </si>
  <si>
    <t xml:space="preserve">https://annuairesante.ameli.fr/professionnels-de-sante/recherche/fiche-detaillee-B7c1ljsxOTK3.html</t>
  </si>
  <si>
    <t xml:space="preserve">VINCENTI BOSCHI</t>
  </si>
  <si>
    <t xml:space="preserve">VINCENTI BOSCHI OLIVIA</t>
  </si>
  <si>
    <t xml:space="preserve">112 BOULEVARD PEREIRE</t>
  </si>
  <si>
    <t xml:space="preserve">01 47 63 87 20</t>
  </si>
  <si>
    <t xml:space="preserve">https://biocodex6--c.vf.force.com/0014L00000KG5LxQAL</t>
  </si>
  <si>
    <t xml:space="preserve">https://annuairesante.ameli.fr/professionnels-de-sante/recherche/fiche-detaillee-B7c1ljQ5NDWz.html</t>
  </si>
  <si>
    <t xml:space="preserve">BOUDJEMLINE</t>
  </si>
  <si>
    <t xml:space="preserve">YOUNES</t>
  </si>
  <si>
    <t xml:space="preserve">BOUDJEMLINE YOUNES</t>
  </si>
  <si>
    <t xml:space="preserve">https://biocodex6--c.vf.force.com/0014L00000KFVkYQAX</t>
  </si>
  <si>
    <t xml:space="preserve">LEZMY BARACASSA</t>
  </si>
  <si>
    <t xml:space="preserve">LEZMY BARACASSA AUDREY</t>
  </si>
  <si>
    <t xml:space="preserve">25 RUE VICTOR DURUY</t>
  </si>
  <si>
    <t xml:space="preserve">RUE VICTOR DURUY</t>
  </si>
  <si>
    <t xml:space="preserve">https://biocodex6--c.vf.force.com/0014L00000KG8TjQAL</t>
  </si>
  <si>
    <t xml:space="preserve">https://annuairesante.ameli.fr/professionnels-de-sante/recherche/fiche-detaillee-B7c1kjowNTK0.html</t>
  </si>
  <si>
    <t xml:space="preserve">RUMMELE</t>
  </si>
  <si>
    <t xml:space="preserve">FRANK</t>
  </si>
  <si>
    <t xml:space="preserve">RUMMELE FRANK</t>
  </si>
  <si>
    <t xml:space="preserve">https://biocodex6--c.vf.force.com/0014L00000KG0QrQAL</t>
  </si>
  <si>
    <t xml:space="preserve">DRAI</t>
  </si>
  <si>
    <t xml:space="preserve">DRAI SERGE</t>
  </si>
  <si>
    <t xml:space="preserve">7 RUE DU LAOS</t>
  </si>
  <si>
    <t xml:space="preserve">01 44 49 03 53</t>
  </si>
  <si>
    <t xml:space="preserve">https://biocodex6--c.vf.force.com/0014L00000KFbJYQA1</t>
  </si>
  <si>
    <t xml:space="preserve">À DÉCIBLER</t>
  </si>
  <si>
    <t xml:space="preserve">KADDIOUI MAALEJ</t>
  </si>
  <si>
    <t xml:space="preserve">SAHAR</t>
  </si>
  <si>
    <t xml:space="preserve">KADDIOUI MAALEJ SAHAR</t>
  </si>
  <si>
    <t xml:space="preserve">187 RUE DE COURCELLES</t>
  </si>
  <si>
    <t xml:space="preserve">01 42 27 42 19</t>
  </si>
  <si>
    <t xml:space="preserve">dr.saharkaddioui@gmail.com</t>
  </si>
  <si>
    <t xml:space="preserve">https://biocodex6--c.vf.force.com/0014L00000KFiNSQA1</t>
  </si>
  <si>
    <t xml:space="preserve">https://annuairesante.ameli.fr/professionnels-de-sante/recherche/fiche-detaillee-B7c1kzI0NzG3.html</t>
  </si>
  <si>
    <t xml:space="preserve">MAUVISSEAU</t>
  </si>
  <si>
    <t xml:space="preserve">MAUVISSEAU BENEDICTE</t>
  </si>
  <si>
    <t xml:space="preserve">https://biocodex6--c.vf.force.com/0014L00000KFqzzQAD</t>
  </si>
  <si>
    <t xml:space="preserve">GUILHERME</t>
  </si>
  <si>
    <t xml:space="preserve">GUILHERME ROMAIN</t>
  </si>
  <si>
    <t xml:space="preserve">2 SQUARE DU CROISIC</t>
  </si>
  <si>
    <t xml:space="preserve">SQUARE DU CROISIC</t>
  </si>
  <si>
    <t xml:space="preserve">01 44 93 58 47</t>
  </si>
  <si>
    <t xml:space="preserve">https://biocodex6--c.vf.force.com/0014L00000KFdGUQA1</t>
  </si>
  <si>
    <t xml:space="preserve">https://annuairesante.ameli.fr/professionnels-de-sante/recherche/fiche-detaillee-B7c1mzYwNTuw.html</t>
  </si>
  <si>
    <t xml:space="preserve">LOEB</t>
  </si>
  <si>
    <t xml:space="preserve">LOEB EMMANUEL</t>
  </si>
  <si>
    <t xml:space="preserve">52 AVENUE DE NEW YORK</t>
  </si>
  <si>
    <t xml:space="preserve">AVENUE DE NEW YORK</t>
  </si>
  <si>
    <t xml:space="preserve">07 82 62 70 32</t>
  </si>
  <si>
    <t xml:space="preserve">https://biocodex6--c.vf.force.com/0014L00000KFKbuQAH</t>
  </si>
  <si>
    <t xml:space="preserve">SMS 02/02/24</t>
  </si>
  <si>
    <t xml:space="preserve">ARTRU</t>
  </si>
  <si>
    <t xml:space="preserve">ARTRU SOLENE</t>
  </si>
  <si>
    <t xml:space="preserve">73 RUE DE SAUSSURE</t>
  </si>
  <si>
    <t xml:space="preserve">https://biocodex6--c.vf.force.com/0014L00000KFONQQA5</t>
  </si>
  <si>
    <t xml:space="preserve">https://annuairesante.ameli.fr/professionnels-de-sante/recherche/fiche-detaillee-B7c1kjEwNjO6.html</t>
  </si>
  <si>
    <t xml:space="preserve">BESSIS</t>
  </si>
  <si>
    <t xml:space="preserve">BESSIS JUDITH</t>
  </si>
  <si>
    <t xml:space="preserve">79 AVENUE DE SEGUR</t>
  </si>
  <si>
    <t xml:space="preserve">https://biocodex6--c.vf.force.com/0014L00000KFqPDQA1</t>
  </si>
  <si>
    <t xml:space="preserve">TARBE DE ST HARDOUIN</t>
  </si>
  <si>
    <t xml:space="preserve">TARBE DE ST HARDOUIN ANNE LAURE</t>
  </si>
  <si>
    <t xml:space="preserve">MEAU PETIT</t>
  </si>
  <si>
    <t xml:space="preserve">MEAU PETIT VIRGINIE</t>
  </si>
  <si>
    <t xml:space="preserve">https://biocodex6--c.vf.force.com/0014L00000ht0Q6QAI</t>
  </si>
  <si>
    <t xml:space="preserve">PERALTA</t>
  </si>
  <si>
    <t xml:space="preserve">PERALTA NATHALIE</t>
  </si>
  <si>
    <t xml:space="preserve">https://biocodex6--c.vf.force.com/0014L00000KFvdeQAD</t>
  </si>
  <si>
    <t xml:space="preserve">[Timestamp('2023-09-27 15:00:00'), Timestamp('2024-01-29 12:00:00')]</t>
  </si>
  <si>
    <t xml:space="preserve">SEBBAH</t>
  </si>
  <si>
    <t xml:space="preserve">NATHANAEL</t>
  </si>
  <si>
    <t xml:space="preserve">SEBBAH NATHANAEL</t>
  </si>
  <si>
    <t xml:space="preserve">https://biocodex6--c.vf.force.com/0014L00000KGBXqQAP</t>
  </si>
  <si>
    <t xml:space="preserve">DE VILLELE</t>
  </si>
  <si>
    <t xml:space="preserve">DE VILLELE MARIE</t>
  </si>
  <si>
    <t xml:space="preserve">https://biocodex6--c.vf.force.com/0014L00000KGC4hQAH</t>
  </si>
  <si>
    <t xml:space="preserve">DEL FRANCO</t>
  </si>
  <si>
    <t xml:space="preserve">GIOVANNI MICHEL</t>
  </si>
  <si>
    <t xml:space="preserve">DEL FRANCO GIOVANNI MICHEL</t>
  </si>
  <si>
    <t xml:space="preserve">https://biocodex6--c.vf.force.com/0014L00000KFWZ3QAP</t>
  </si>
  <si>
    <t xml:space="preserve">SCHINKEL LE NAGARD</t>
  </si>
  <si>
    <t xml:space="preserve">SOMNAH NELLY</t>
  </si>
  <si>
    <t xml:space="preserve">SCHINKEL LE NAGARD SOMNAH NELLY</t>
  </si>
  <si>
    <t xml:space="preserve">01 71 19 62 88</t>
  </si>
  <si>
    <t xml:space="preserve">https://biocodex6--c.vf.force.com/0014L00000KFOwbQAH</t>
  </si>
  <si>
    <t xml:space="preserve">ROBELLAZ</t>
  </si>
  <si>
    <t xml:space="preserve">ROBELLAZ SIMON</t>
  </si>
  <si>
    <t xml:space="preserve">https://biocodex6--c.vf.force.com/0014L00000KFPwLQAX</t>
  </si>
  <si>
    <t xml:space="preserve">MAJOULET</t>
  </si>
  <si>
    <t xml:space="preserve">MAJOULET LAURENE</t>
  </si>
  <si>
    <t xml:space="preserve">01 42 97 51 20</t>
  </si>
  <si>
    <t xml:space="preserve">https://biocodex6--c.vf.force.com/0014L00000KFP4vQAH</t>
  </si>
  <si>
    <t xml:space="preserve">https://annuairesante.ameli.fr/professionnels-de-sante/recherche/fiche-detaillee-B7c1kzI1NTGy.html</t>
  </si>
  <si>
    <t xml:space="preserve">CONGÉ MATERINITÉ</t>
  </si>
  <si>
    <t xml:space="preserve">KAMMERER</t>
  </si>
  <si>
    <t xml:space="preserve">KAMMERER FRANCOIS</t>
  </si>
  <si>
    <t xml:space="preserve">68 RUE DU BAC</t>
  </si>
  <si>
    <t xml:space="preserve">RUE DU BAC</t>
  </si>
  <si>
    <t xml:space="preserve">01 43 20 00 79</t>
  </si>
  <si>
    <t xml:space="preserve">https://biocodex6--c.vf.force.com/0014L00000KFkUsQAL</t>
  </si>
  <si>
    <t xml:space="preserve">PIOT</t>
  </si>
  <si>
    <t xml:space="preserve">MARIE AUDE</t>
  </si>
  <si>
    <t xml:space="preserve">PIOT MARIE AUDE</t>
  </si>
  <si>
    <t xml:space="preserve">https://biocodex6--c.vf.force.com/0014L00000YtzuRQAR</t>
  </si>
  <si>
    <t xml:space="preserve">PÉDOPSYCHIATRIE</t>
  </si>
  <si>
    <t xml:space="preserve">D ESCATHA</t>
  </si>
  <si>
    <t xml:space="preserve">D ESCATHA PATRICK</t>
  </si>
  <si>
    <t xml:space="preserve">9 RUE ANCELLE</t>
  </si>
  <si>
    <t xml:space="preserve">RUE ANCELLE</t>
  </si>
  <si>
    <t xml:space="preserve">01 46 24 17 06</t>
  </si>
  <si>
    <t xml:space="preserve">https://biocodex6--c.vf.force.com/0014L00000KFYKYQA5</t>
  </si>
  <si>
    <t xml:space="preserve">https://annuairesante.ameli.fr/professionnels-de-sante/recherche/fiche-detaillee-CbA1kjYzNja2.html</t>
  </si>
  <si>
    <t xml:space="preserve">WALTER NICOLET</t>
  </si>
  <si>
    <t xml:space="preserve">ELIZABETH</t>
  </si>
  <si>
    <t xml:space="preserve">WALTER NICOLET ELIZABETH</t>
  </si>
  <si>
    <t xml:space="preserve">3 RUE FREDERIC MISTRAL</t>
  </si>
  <si>
    <t xml:space="preserve">RUE FREDERIC MISTRAL</t>
  </si>
  <si>
    <t xml:space="preserve">https://biocodex6--c.vf.force.com/0014L00000KG5l1QAD</t>
  </si>
  <si>
    <t xml:space="preserve">BEYLOUNE</t>
  </si>
  <si>
    <t xml:space="preserve">BEYLOUNE ALEXANDRE</t>
  </si>
  <si>
    <t xml:space="preserve">01 56 09 38 67</t>
  </si>
  <si>
    <t xml:space="preserve">https://biocodex6--c.vf.force.com/0014L00000KFSdTQAX</t>
  </si>
  <si>
    <t xml:space="preserve">VILLEMAIN</t>
  </si>
  <si>
    <t xml:space="preserve">VILLEMAIN CLAIRE</t>
  </si>
  <si>
    <t xml:space="preserve">https://biocodex6--c.vf.force.com/0014L00000KG5CBQA1</t>
  </si>
  <si>
    <t xml:space="preserve">BARNEL</t>
  </si>
  <si>
    <t xml:space="preserve">BARNEL FRANK</t>
  </si>
  <si>
    <t xml:space="preserve">35 RUE DES CEVENNES</t>
  </si>
  <si>
    <t xml:space="preserve">01 45 58 17 36</t>
  </si>
  <si>
    <t xml:space="preserve">https://biocodex6--c.vf.force.com/0014L00000KFTrZQAX</t>
  </si>
  <si>
    <t xml:space="preserve">ROUBINEAU</t>
  </si>
  <si>
    <t xml:space="preserve">ROUBINEAU DOMINIQUE</t>
  </si>
  <si>
    <t xml:space="preserve">51 AVENUE DE LA MOTTE PICQUET</t>
  </si>
  <si>
    <t xml:space="preserve">01 45 67 21 00</t>
  </si>
  <si>
    <t xml:space="preserve">https://biocodex6--c.vf.force.com/0014L00000KFzSCQA1</t>
  </si>
  <si>
    <t xml:space="preserve">PLOTNICU DELESQUE</t>
  </si>
  <si>
    <t xml:space="preserve">PLOTNICU DELESQUE MARIANA</t>
  </si>
  <si>
    <t xml:space="preserve">01 40 63 23 81</t>
  </si>
  <si>
    <t xml:space="preserve">https://biocodex6--c.vf.force.com/0014L00000KFx7JQAT</t>
  </si>
  <si>
    <t xml:space="preserve">ANNE HELIA</t>
  </si>
  <si>
    <t xml:space="preserve">ROURE ANNE HELIA</t>
  </si>
  <si>
    <t xml:space="preserve">12 RUE DE LA POMPE</t>
  </si>
  <si>
    <t xml:space="preserve">01 40 72 68 83</t>
  </si>
  <si>
    <t xml:space="preserve">https://biocodex6--c.vf.force.com/0014L00000KG0cfQAD</t>
  </si>
  <si>
    <t xml:space="preserve">SELETTI</t>
  </si>
  <si>
    <t xml:space="preserve">SELETTI BERNARD</t>
  </si>
  <si>
    <t xml:space="preserve">https://biocodex6--c.vf.force.com/0014L00000KG18IQAT</t>
  </si>
  <si>
    <t xml:space="preserve">ESTRADE HUCHON</t>
  </si>
  <si>
    <t xml:space="preserve">ESTRADE HUCHON SONIA</t>
  </si>
  <si>
    <t xml:space="preserve">01 56 88 17 11 // 01 56 88 17 17</t>
  </si>
  <si>
    <t xml:space="preserve">https://biocodex6--c.vf.force.com/0014L00000KFQV3QAP</t>
  </si>
  <si>
    <t xml:space="preserve">https://annuairesante.ameli.fr/professionnels-de-sante/recherche/fiche-detaillee-B7c1kjs2MzSz.html</t>
  </si>
  <si>
    <t xml:space="preserve">MOUROT</t>
  </si>
  <si>
    <t xml:space="preserve">MOUROT HUBERT</t>
  </si>
  <si>
    <t xml:space="preserve">90 AVENUE CHARLES DE GAULLE</t>
  </si>
  <si>
    <t xml:space="preserve">01 46 24 74 49</t>
  </si>
  <si>
    <t xml:space="preserve">https://biocodex6--c.vf.force.com/0014L00000KFsxDQAT</t>
  </si>
  <si>
    <t xml:space="preserve">MENU</t>
  </si>
  <si>
    <t xml:space="preserve">MENU PATRICK</t>
  </si>
  <si>
    <t xml:space="preserve">20 RUE D ARMAILLE</t>
  </si>
  <si>
    <t xml:space="preserve">https://biocodex6--c.vf.force.com/0014L00000KFpw4QAD</t>
  </si>
  <si>
    <t xml:space="preserve">NAJEM</t>
  </si>
  <si>
    <t xml:space="preserve">ADIL</t>
  </si>
  <si>
    <t xml:space="preserve">NAJEM ADIL</t>
  </si>
  <si>
    <t xml:space="preserve">https://biocodex6--c.vf.force.com/0014L00000KGIsrQAH</t>
  </si>
  <si>
    <t xml:space="preserve">NEUROSTIM</t>
  </si>
  <si>
    <t xml:space="preserve">EL FALAH EL QUADMIRY</t>
  </si>
  <si>
    <t xml:space="preserve">SALOUA</t>
  </si>
  <si>
    <t xml:space="preserve">EL FALAH EL QUADMIRY SALOUA</t>
  </si>
  <si>
    <t xml:space="preserve">RUE DE BUENOS AIRES</t>
  </si>
  <si>
    <t xml:space="preserve">01 45 30 66 95</t>
  </si>
  <si>
    <t xml:space="preserve">https://biocodex6--c.vf.force.com/0014L00000KFQ2vQAH</t>
  </si>
  <si>
    <t xml:space="preserve">https://annuairesante.ameli.fr/professionnels-de-sante/recherche/fiche-detaillee-B7c1lTY1ODGy.html</t>
  </si>
  <si>
    <t xml:space="preserve">[Timestamp('2023-07-13 10:30:00'), Timestamp('2023-10-16 10:30:00'), Timestamp('2024-01-10 12:00:00'), Timestamp('2024-06-03 16:00:00')]</t>
  </si>
  <si>
    <t xml:space="preserve">DE CARVALHO</t>
  </si>
  <si>
    <t xml:space="preserve">DE CARVALHO WILLIAM</t>
  </si>
  <si>
    <t xml:space="preserve">37 AVENUE VICTOR HUGO</t>
  </si>
  <si>
    <t xml:space="preserve">01 45 00 56 66</t>
  </si>
  <si>
    <t xml:space="preserve">https://biocodex6--c.vf.force.com/0014L00000KFZ2pQAH</t>
  </si>
  <si>
    <t xml:space="preserve">MASSON</t>
  </si>
  <si>
    <t xml:space="preserve">MASSON XAVIER</t>
  </si>
  <si>
    <t xml:space="preserve">54 AVENUE DE LA BOURDONNAIS</t>
  </si>
  <si>
    <t xml:space="preserve">01 47 05 30 26</t>
  </si>
  <si>
    <t xml:space="preserve">https://biocodex6--c.vf.force.com/0014L00000KFqeWQAT</t>
  </si>
  <si>
    <t xml:space="preserve">DE LADOUCETTE</t>
  </si>
  <si>
    <t xml:space="preserve">DE LADOUCETTE OLIVIER</t>
  </si>
  <si>
    <t xml:space="preserve">01 42 22 25 95</t>
  </si>
  <si>
    <t xml:space="preserve">https://biocodex6--c.vf.force.com/0014L00000KFZ8BQAX</t>
  </si>
  <si>
    <t xml:space="preserve">KOUKI PAINVIN</t>
  </si>
  <si>
    <t xml:space="preserve">MARIE CATHERINE</t>
  </si>
  <si>
    <t xml:space="preserve">KOUKI PAINVIN MARIE CATHERINE</t>
  </si>
  <si>
    <t xml:space="preserve">https://biocodex6--c.vf.force.com/0014L00000KFuQpQAL</t>
  </si>
  <si>
    <t xml:space="preserve">FARGES</t>
  </si>
  <si>
    <t xml:space="preserve">FARGES FLORENT</t>
  </si>
  <si>
    <t xml:space="preserve">01 45 02 80 77</t>
  </si>
  <si>
    <t xml:space="preserve">https://biocodex6--c.vf.force.com/0014L00000KFd5yQAD</t>
  </si>
  <si>
    <t xml:space="preserve">GEYL</t>
  </si>
  <si>
    <t xml:space="preserve">GEYL CAROLINE</t>
  </si>
  <si>
    <t xml:space="preserve">https://biocodex6--c.vf.force.com/0014L00000KFh1JQAT</t>
  </si>
  <si>
    <t xml:space="preserve">https://annuairesante.ameli.fr/professionnels-de-sante/recherche/fiche-detaillee-CbA1mjE2NDCx.html</t>
  </si>
  <si>
    <t xml:space="preserve">HUSSON</t>
  </si>
  <si>
    <t xml:space="preserve">HUSSON OLIVIER</t>
  </si>
  <si>
    <t xml:space="preserve">11 RUE DE VEZELAY</t>
  </si>
  <si>
    <t xml:space="preserve">RUE DE VEZELAY</t>
  </si>
  <si>
    <t xml:space="preserve">01 45 61 18 07</t>
  </si>
  <si>
    <t xml:space="preserve">https://biocodex6--c.vf.force.com/0014L00000KFjIkQAL</t>
  </si>
  <si>
    <t xml:space="preserve">BAJEUX</t>
  </si>
  <si>
    <t xml:space="preserve">BAJEUX GILLES</t>
  </si>
  <si>
    <t xml:space="preserve">13 RUE DUVIVIER</t>
  </si>
  <si>
    <t xml:space="preserve">RUE DUVIVIER</t>
  </si>
  <si>
    <t xml:space="preserve">https://biocodex6--c.vf.force.com/0014L00000KFROAQA5</t>
  </si>
  <si>
    <t xml:space="preserve">THOMAS PIERRE</t>
  </si>
  <si>
    <t xml:space="preserve">131 RUE DE VAUGIRARD</t>
  </si>
  <si>
    <t xml:space="preserve">01 43 06 57 29</t>
  </si>
  <si>
    <t xml:space="preserve">https://biocodex6--c.vf.force.com/0014L00000KG3BwQAL</t>
  </si>
  <si>
    <t xml:space="preserve">SALMI</t>
  </si>
  <si>
    <t xml:space="preserve">YAMOUNA</t>
  </si>
  <si>
    <t xml:space="preserve">SALMI YAMOUNA</t>
  </si>
  <si>
    <t xml:space="preserve">01 83 75 75 50</t>
  </si>
  <si>
    <t xml:space="preserve">https://biocodex6--c.vf.force.com/0014L00000NAvdFQAT</t>
  </si>
  <si>
    <t xml:space="preserve">LEMERLE SAULPIC</t>
  </si>
  <si>
    <t xml:space="preserve">LEMERLE SAULPIC JULIETTE</t>
  </si>
  <si>
    <t xml:space="preserve">https://biocodex6--c.vf.force.com/0014L00000KG2LaQAL</t>
  </si>
  <si>
    <t xml:space="preserve">BOSIO LEGOUX</t>
  </si>
  <si>
    <t xml:space="preserve">BOSIO LEGOUX BRIGITTE</t>
  </si>
  <si>
    <t xml:space="preserve">https://biocodex6--c.vf.force.com/0014L00000KFU80QAH</t>
  </si>
  <si>
    <t xml:space="preserve">PICHOT PARIAT</t>
  </si>
  <si>
    <t xml:space="preserve">PICHOT PARIAT ANNE</t>
  </si>
  <si>
    <t xml:space="preserve">https://biocodex6--c.vf.force.com/0014L00000KFvvSQAT</t>
  </si>
  <si>
    <t xml:space="preserve">BRESTOVANSKY</t>
  </si>
  <si>
    <t xml:space="preserve">BRESTOVANSKY THIERRY</t>
  </si>
  <si>
    <t xml:space="preserve">17 BOULEVARD RASPAIL</t>
  </si>
  <si>
    <t xml:space="preserve">01 49 57 70 00</t>
  </si>
  <si>
    <t xml:space="preserve">https://biocodex6--c.vf.force.com/0014L00000KFUj2QAH</t>
  </si>
  <si>
    <t xml:space="preserve">ORGIBET</t>
  </si>
  <si>
    <t xml:space="preserve">ORGIBET ALEXANDRE</t>
  </si>
  <si>
    <t xml:space="preserve">01 47 05 51 41</t>
  </si>
  <si>
    <t xml:space="preserve">FORTINEAU</t>
  </si>
  <si>
    <t xml:space="preserve">FORTINEAU FREDERIC</t>
  </si>
  <si>
    <t xml:space="preserve">21 RUE PIERRE LEROUX</t>
  </si>
  <si>
    <t xml:space="preserve">01 47 34 60 07</t>
  </si>
  <si>
    <t xml:space="preserve">https://biocodex6--c.vf.force.com/0014L00000KFeAaQAL</t>
  </si>
  <si>
    <t xml:space="preserve">FROMBAUM</t>
  </si>
  <si>
    <t xml:space="preserve">FROMBAUM PASCAL</t>
  </si>
  <si>
    <t xml:space="preserve">01 43 21 75 75</t>
  </si>
  <si>
    <t xml:space="preserve">https://biocodex6--c.vf.force.com/0014L00000KFeddQAD</t>
  </si>
  <si>
    <t xml:space="preserve">EVEN</t>
  </si>
  <si>
    <t xml:space="preserve">EVEN CHRISTIAN</t>
  </si>
  <si>
    <t xml:space="preserve">204 RUE DE VAUGIRARD</t>
  </si>
  <si>
    <t xml:space="preserve">01 53 69 18 71</t>
  </si>
  <si>
    <t xml:space="preserve">https://biocodex6--c.vf.force.com/0014L00000KFcseQAD</t>
  </si>
  <si>
    <t xml:space="preserve">NGUYEN FLORENCE</t>
  </si>
  <si>
    <t xml:space="preserve">54 AVENUE MOZART</t>
  </si>
  <si>
    <t xml:space="preserve">01 42 88 62 20</t>
  </si>
  <si>
    <t xml:space="preserve">https://biocodex6--c.vf.force.com/0014L00000KFu9NQAT</t>
  </si>
  <si>
    <t xml:space="preserve">BERDUGO</t>
  </si>
  <si>
    <t xml:space="preserve">LIOR</t>
  </si>
  <si>
    <t xml:space="preserve">BERDUGO LIOR</t>
  </si>
  <si>
    <t xml:space="preserve">01 44 17 80 20</t>
  </si>
  <si>
    <t xml:space="preserve">https://biocodex6--c.vf.force.com/0014L00000KGETxQAP</t>
  </si>
  <si>
    <t xml:space="preserve">https://annuairesante.ameli.fr/professionnels-de-sante/recherche/fiche-detaillee-B7c1kjsyMDWz.html</t>
  </si>
  <si>
    <t xml:space="preserve">MEYER</t>
  </si>
  <si>
    <t xml:space="preserve">MEYER LUC</t>
  </si>
  <si>
    <t xml:space="preserve">20 RUE DE LONGCHAMP</t>
  </si>
  <si>
    <t xml:space="preserve">https://biocodex6--c.vf.force.com/0014L00000KFrdlQAD</t>
  </si>
  <si>
    <t xml:space="preserve">RETRATE</t>
  </si>
  <si>
    <t xml:space="preserve">PEYNEAU PONS</t>
  </si>
  <si>
    <t xml:space="preserve">PEYNEAU PONS CECILE</t>
  </si>
  <si>
    <t xml:space="preserve">102 RUE BOILEAU</t>
  </si>
  <si>
    <t xml:space="preserve">https://biocodex6--c.vf.force.com/0014L00000NCP7XQAX</t>
  </si>
  <si>
    <t xml:space="preserve">TALBOT</t>
  </si>
  <si>
    <t xml:space="preserve">TALBOT JACQUES</t>
  </si>
  <si>
    <t xml:space="preserve">52 AVENUE DE LA MOTTE PICQUET</t>
  </si>
  <si>
    <t xml:space="preserve">01 47 83 31 37</t>
  </si>
  <si>
    <t xml:space="preserve">https://biocodex6--c.vf.force.com/0014L00000KG2VcQAL</t>
  </si>
  <si>
    <t xml:space="preserve">HOROWITZ</t>
  </si>
  <si>
    <t xml:space="preserve">HOROWITZ RICHARD</t>
  </si>
  <si>
    <t xml:space="preserve">25 RUE DU DOCTEUR FINLAY</t>
  </si>
  <si>
    <t xml:space="preserve">RUE DU DOCTEUR FINLAY</t>
  </si>
  <si>
    <t xml:space="preserve">https://biocodex6--c.vf.force.com/0014L00000KGHC0QAP</t>
  </si>
  <si>
    <t xml:space="preserve">ROTH</t>
  </si>
  <si>
    <t xml:space="preserve">ROTH PHILIPPE</t>
  </si>
  <si>
    <t xml:space="preserve">https://biocodex6--c.vf.force.com/0014L00000KFzPjQAL</t>
  </si>
  <si>
    <t xml:space="preserve">MAYOU</t>
  </si>
  <si>
    <t xml:space="preserve">MAYOU PATRICE</t>
  </si>
  <si>
    <t xml:space="preserve">01 42 67 05 10</t>
  </si>
  <si>
    <t xml:space="preserve">https://biocodex6--c.vf.force.com/0014L00000KFrEzQAL</t>
  </si>
  <si>
    <t xml:space="preserve">FASOLA</t>
  </si>
  <si>
    <t xml:space="preserve">FASOLA SYLVIE</t>
  </si>
  <si>
    <t xml:space="preserve">https://biocodex6--c.vf.force.com/0014L00000KFarQQAT</t>
  </si>
  <si>
    <t xml:space="preserve">HOHENBERG</t>
  </si>
  <si>
    <t xml:space="preserve">HOHENBERG DENIS</t>
  </si>
  <si>
    <t xml:space="preserve">8 RUE D ARSONVAL</t>
  </si>
  <si>
    <t xml:space="preserve">RUE D ARSONVAL</t>
  </si>
  <si>
    <t xml:space="preserve">https://biocodex6--c.vf.force.com/0014L00000KFj2iQAD</t>
  </si>
  <si>
    <t xml:space="preserve">PALLANCA</t>
  </si>
  <si>
    <t xml:space="preserve">PALLANCA OLIVIER</t>
  </si>
  <si>
    <t xml:space="preserve">10 RUE EDOUARD DETAILLE</t>
  </si>
  <si>
    <t xml:space="preserve">RUE EDOUARD DETAILLE</t>
  </si>
  <si>
    <t xml:space="preserve">01 58 05 35 50</t>
  </si>
  <si>
    <t xml:space="preserve">https://biocodex6--c.vf.force.com/0014L00000KFwMzQAL</t>
  </si>
  <si>
    <t xml:space="preserve">RIGHINI</t>
  </si>
  <si>
    <t xml:space="preserve">CLAUDIA</t>
  </si>
  <si>
    <t xml:space="preserve">RIGHINI CLAUDIA</t>
  </si>
  <si>
    <t xml:space="preserve">01 45 61 05 95</t>
  </si>
  <si>
    <t xml:space="preserve">https://biocodex6--c.vf.force.com/0014L00000KFzHeQAL</t>
  </si>
  <si>
    <t xml:space="preserve">https://annuairesante.ameli.fr/professionnels-de-sante/recherche/fiche-detaillee-B7c1lDQ1NDO6.html</t>
  </si>
  <si>
    <t xml:space="preserve">TOMA</t>
  </si>
  <si>
    <t xml:space="preserve">TOMA DANIEL</t>
  </si>
  <si>
    <t xml:space="preserve">63 AVENUE MARCEAU</t>
  </si>
  <si>
    <t xml:space="preserve">01 40 70 00 02</t>
  </si>
  <si>
    <t xml:space="preserve">https://biocodex6--c.vf.force.com/0014L00000KG43EQAT</t>
  </si>
  <si>
    <t xml:space="preserve">GOLDENBERG</t>
  </si>
  <si>
    <t xml:space="preserve">GOLDENBERG PHILIPPE</t>
  </si>
  <si>
    <t xml:space="preserve">7 RUE ALEXANDRE CABANEL</t>
  </si>
  <si>
    <t xml:space="preserve">RUE ALEXANDRE CABANEL</t>
  </si>
  <si>
    <t xml:space="preserve">01 43 06 99 61</t>
  </si>
  <si>
    <t xml:space="preserve">https://biocodex6--c.vf.force.com/0014L00000KFgReQAL</t>
  </si>
  <si>
    <t xml:space="preserve">SPAGGIARI</t>
  </si>
  <si>
    <t xml:space="preserve">SPAGGIARI EMMANUEL</t>
  </si>
  <si>
    <t xml:space="preserve">https://biocodex6--c.vf.force.com/0014L00000KG2Y8QAL</t>
  </si>
  <si>
    <t xml:space="preserve">https://annuairesante.ameli.fr/professionnels-de-sante/recherche/fiche-detaillee-CbA1mjYyOTG2.html</t>
  </si>
  <si>
    <t xml:space="preserve">COSTE PHILIPPE</t>
  </si>
  <si>
    <t xml:space="preserve">15 AVENUE DE VILLIERS</t>
  </si>
  <si>
    <t xml:space="preserve">01 42 27 08 08</t>
  </si>
  <si>
    <t xml:space="preserve">https://biocodex6--c.vf.force.com/0014L00000KFXd0QAH</t>
  </si>
  <si>
    <t xml:space="preserve">VEREBELYI</t>
  </si>
  <si>
    <t xml:space="preserve">VEREBELYI BRUNO</t>
  </si>
  <si>
    <t xml:space="preserve">09 67 06 07 26</t>
  </si>
  <si>
    <t xml:space="preserve">https://biocodex6--c.vf.force.com/0014L00000KG4hkQAD</t>
  </si>
  <si>
    <t xml:space="preserve">LEVY DOMINIQUE</t>
  </si>
  <si>
    <t xml:space="preserve">https://biocodex6--c.vf.force.com/0014L00000KFnJJQA1</t>
  </si>
  <si>
    <t xml:space="preserve">MAGERAND</t>
  </si>
  <si>
    <t xml:space="preserve">MAGERAND CLAUDE</t>
  </si>
  <si>
    <t xml:space="preserve">34 AVENUE DE LA MOTTE PICQUET</t>
  </si>
  <si>
    <t xml:space="preserve">01 45 51 06 26</t>
  </si>
  <si>
    <t xml:space="preserve">https://biocodex6--c.vf.force.com/0014L00000KFpGDQA1</t>
  </si>
  <si>
    <t xml:space="preserve">PINABEL</t>
  </si>
  <si>
    <t xml:space="preserve">PINABEL FRANCOIS</t>
  </si>
  <si>
    <t xml:space="preserve">01 70 69 41 46</t>
  </si>
  <si>
    <t xml:space="preserve">https://biocodex6--c.vf.force.com/0014L00000KFwu9QAD</t>
  </si>
  <si>
    <t xml:space="preserve">MAIL DOCTOLIB 01/02/24</t>
  </si>
  <si>
    <t xml:space="preserve">CAYSSIALS</t>
  </si>
  <si>
    <t xml:space="preserve">CAYSSIALS PHILIPPE</t>
  </si>
  <si>
    <t xml:space="preserve">36 RUE DE VERNEUIL</t>
  </si>
  <si>
    <t xml:space="preserve">01 49 27 05 80</t>
  </si>
  <si>
    <t xml:space="preserve">https://biocodex6--c.vf.force.com/0014L00000KFVomQAH</t>
  </si>
  <si>
    <t xml:space="preserve">BONAMOUR DU TARTRE</t>
  </si>
  <si>
    <t xml:space="preserve">BONAMOUR DU TARTRE JEAN JACQUES</t>
  </si>
  <si>
    <t xml:space="preserve">16 RUE JOSE MARIA DE HEREDIA</t>
  </si>
  <si>
    <t xml:space="preserve">RUE JOSE MARIA DE HEREDIA</t>
  </si>
  <si>
    <t xml:space="preserve">01 47 83 23 17</t>
  </si>
  <si>
    <t xml:space="preserve">https://biocodex6--c.vf.force.com/0014L00000KFU0fQAH</t>
  </si>
  <si>
    <t xml:space="preserve">NAKAB</t>
  </si>
  <si>
    <t xml:space="preserve">NAKAB GILLES</t>
  </si>
  <si>
    <t xml:space="preserve">89 RUE DE LA POMPE</t>
  </si>
  <si>
    <t xml:space="preserve">01 44 09 03 20</t>
  </si>
  <si>
    <t xml:space="preserve">https://biocodex6--c.vf.force.com/0014L00000KFtGtQAL</t>
  </si>
  <si>
    <t xml:space="preserve">DELARUE</t>
  </si>
  <si>
    <t xml:space="preserve">DELARUE CAMILLE</t>
  </si>
  <si>
    <t xml:space="preserve">35 RUE JOUFFROY D ABBANS</t>
  </si>
  <si>
    <t xml:space="preserve">01 47 64 06 08</t>
  </si>
  <si>
    <t xml:space="preserve">https://biocodex6--c.vf.force.com/0014L00000KFWg3QAH</t>
  </si>
  <si>
    <t xml:space="preserve">CARPENTIER CHASKILEVITCH</t>
  </si>
  <si>
    <t xml:space="preserve">CARPENTIER CHASKILEVITCH BENEDICTE</t>
  </si>
  <si>
    <t xml:space="preserve">https://biocodex6--c.vf.force.com/0014L00000KFipMQAT</t>
  </si>
  <si>
    <t xml:space="preserve">KLEBANER</t>
  </si>
  <si>
    <t xml:space="preserve">KLEBANER JONATHAN</t>
  </si>
  <si>
    <t xml:space="preserve">3 AVENUE MONTAIGNE</t>
  </si>
  <si>
    <t xml:space="preserve">https://biocodex6--c.vf.force.com/0014L00000KGGYVQA5</t>
  </si>
  <si>
    <t xml:space="preserve">GINESTE</t>
  </si>
  <si>
    <t xml:space="preserve">GINESTE THIERRY</t>
  </si>
  <si>
    <t xml:space="preserve">198 BOULEVARD ST GERMAIN</t>
  </si>
  <si>
    <t xml:space="preserve">01 45 49 22 62</t>
  </si>
  <si>
    <t xml:space="preserve">https://biocodex6--c.vf.force.com/0014L00000KFg1zQAD</t>
  </si>
  <si>
    <t xml:space="preserve">HERMANT</t>
  </si>
  <si>
    <t xml:space="preserve">HERMANT MARC</t>
  </si>
  <si>
    <t xml:space="preserve">22 RUE DUROC</t>
  </si>
  <si>
    <t xml:space="preserve">RUE DUROC</t>
  </si>
  <si>
    <t xml:space="preserve">01 46 33 18 00</t>
  </si>
  <si>
    <t xml:space="preserve">https://biocodex6--c.vf.force.com/0014L00000KFigyQAD</t>
  </si>
  <si>
    <t xml:space="preserve">ESPOSITO</t>
  </si>
  <si>
    <t xml:space="preserve">ESPOSITO DAVID</t>
  </si>
  <si>
    <t xml:space="preserve">01 42 65 15 57</t>
  </si>
  <si>
    <t xml:space="preserve">https://biocodex6--c.vf.force.com/0014L00000KFQUGQA5</t>
  </si>
  <si>
    <t xml:space="preserve">LE PARCO</t>
  </si>
  <si>
    <t xml:space="preserve">SOIZIC</t>
  </si>
  <si>
    <t xml:space="preserve">LE PARCO SOIZIC</t>
  </si>
  <si>
    <t xml:space="preserve">01 87 44 67 77 // 01 87 44 77 70</t>
  </si>
  <si>
    <t xml:space="preserve">https://biocodex6--c.vf.force.com/0014L00000KFhcpQAD</t>
  </si>
  <si>
    <t xml:space="preserve">https://annuairesante.ameli.fr/professionnels-de-sante/recherche/fiche-detaillee-B7c1lTY2MDqy.html</t>
  </si>
  <si>
    <t xml:space="preserve">MOSHARRAF OL MOLK</t>
  </si>
  <si>
    <t xml:space="preserve">HOMA</t>
  </si>
  <si>
    <t xml:space="preserve">MOSHARRAF OL MOLK HOMA</t>
  </si>
  <si>
    <t xml:space="preserve">https://biocodex6--c.vf.force.com/0014L00000KFsXgQAL</t>
  </si>
  <si>
    <t xml:space="preserve">MIALET</t>
  </si>
  <si>
    <t xml:space="preserve">MIALET JEAN PAUL</t>
  </si>
  <si>
    <t xml:space="preserve">61 AVENUE DE SAXE</t>
  </si>
  <si>
    <t xml:space="preserve">01 47 34 20 38</t>
  </si>
  <si>
    <t xml:space="preserve">https://biocodex6--c.vf.force.com/0014L00000KFrhmQAD</t>
  </si>
  <si>
    <t xml:space="preserve">GOURION</t>
  </si>
  <si>
    <t xml:space="preserve">GOURION DAVID</t>
  </si>
  <si>
    <t xml:space="preserve">17 RUE DES MARRONNIERS</t>
  </si>
  <si>
    <t xml:space="preserve">RUE DES MARRONNIERS</t>
  </si>
  <si>
    <t xml:space="preserve">01 45 20 78 62</t>
  </si>
  <si>
    <t xml:space="preserve">https://biocodex6--c.vf.force.com/0014L00000KFeZhQAL</t>
  </si>
  <si>
    <t xml:space="preserve">SECRÉTAIRE ME RAPPELLE</t>
  </si>
  <si>
    <t xml:space="preserve">RAFFAITIN</t>
  </si>
  <si>
    <t xml:space="preserve">RAFFAITIN FREDERIC</t>
  </si>
  <si>
    <t xml:space="preserve">https://biocodex6--c.vf.force.com/0014L00000KFxTJQA1</t>
  </si>
  <si>
    <t xml:space="preserve">PAS DE TDAH</t>
  </si>
  <si>
    <t xml:space="preserve">HAMOU PLOTKINE</t>
  </si>
  <si>
    <t xml:space="preserve">HAMOU PLOTKINE LAURENCE</t>
  </si>
  <si>
    <t xml:space="preserve">133 BOULEVARD MALESHERBES</t>
  </si>
  <si>
    <t xml:space="preserve">01 42 93 11 40</t>
  </si>
  <si>
    <t xml:space="preserve">https://biocodex6--c.vf.force.com/0014L00000KFRoFQAX</t>
  </si>
  <si>
    <t xml:space="preserve">https://annuairesante.ameli.fr/professionnels-de-sante/recherche/fiche-detaillee-B7c1mzo4MzC6.html</t>
  </si>
  <si>
    <t xml:space="preserve">RETORE</t>
  </si>
  <si>
    <t xml:space="preserve">JEAN YVES</t>
  </si>
  <si>
    <t xml:space="preserve">RETORE JEAN YVES</t>
  </si>
  <si>
    <t xml:space="preserve">01 40 53 05 72</t>
  </si>
  <si>
    <t xml:space="preserve">https://biocodex6--c.vf.force.com/0014L00000KFyCKQA1</t>
  </si>
  <si>
    <t xml:space="preserve">MORGANE</t>
  </si>
  <si>
    <t xml:space="preserve">VALENTIN MORGANE</t>
  </si>
  <si>
    <t xml:space="preserve">01 40 88 61 64 // 01 55 42 77 00</t>
  </si>
  <si>
    <t xml:space="preserve">morgane.valentin@aphp.fr</t>
  </si>
  <si>
    <t xml:space="preserve">https://biocodex6--c.vf.force.com/0014L00000KG5mKQAT</t>
  </si>
  <si>
    <t xml:space="preserve">https://annuairesante.ameli.fr/professionnels-de-sante/recherche/fiche-detaillee-B7c1lTY0NzCy.html</t>
  </si>
  <si>
    <t xml:space="preserve">DARVES BORNOZ</t>
  </si>
  <si>
    <t xml:space="preserve">DARVES BORNOZ JEAN MICHEL</t>
  </si>
  <si>
    <t xml:space="preserve">48 BOULEVARD DU MONTPARNASSE</t>
  </si>
  <si>
    <t xml:space="preserve">01 45 49 05 34</t>
  </si>
  <si>
    <t xml:space="preserve">https://biocodex6--c.vf.force.com/0014L00000KFY3rQAH</t>
  </si>
  <si>
    <t xml:space="preserve">CHNEIWEISS</t>
  </si>
  <si>
    <t xml:space="preserve">CHNEIWEISS LAURENT</t>
  </si>
  <si>
    <t xml:space="preserve">5 RUE KEPLER</t>
  </si>
  <si>
    <t xml:space="preserve">RUE KEPLER</t>
  </si>
  <si>
    <t xml:space="preserve">01 53 23 05 25</t>
  </si>
  <si>
    <t xml:space="preserve">https://biocodex6--c.vf.force.com/0014L00000KFWWiQAP</t>
  </si>
  <si>
    <t xml:space="preserve">MARGULIES</t>
  </si>
  <si>
    <t xml:space="preserve">MARGULIES ANNE LAURE</t>
  </si>
  <si>
    <t xml:space="preserve">01 42 45 08 14</t>
  </si>
  <si>
    <t xml:space="preserve">drannelauremargulies@gmail.com</t>
  </si>
  <si>
    <t xml:space="preserve">https://biocodex6--c.vf.force.com/0014L00000KFrDRQA1</t>
  </si>
  <si>
    <t xml:space="preserve">https://annuairesante.ameli.fr/professionnels-de-sante/recherche/fiche-detaillee-CbA1mjE3NDK7.html</t>
  </si>
  <si>
    <t xml:space="preserve">FOLIGNO</t>
  </si>
  <si>
    <t xml:space="preserve">FOLIGNO SILVIA</t>
  </si>
  <si>
    <t xml:space="preserve">https://biocodex6--c.vf.force.com/0014L00000KGMTIQA5</t>
  </si>
  <si>
    <t xml:space="preserve">LERET</t>
  </si>
  <si>
    <t xml:space="preserve">LERET SERGE</t>
  </si>
  <si>
    <t xml:space="preserve">01 42 73 21 00</t>
  </si>
  <si>
    <t xml:space="preserve">https://biocodex6--c.vf.force.com/0014L00000KFo4ZQAT</t>
  </si>
  <si>
    <t xml:space="preserve">DAOUK</t>
  </si>
  <si>
    <t xml:space="preserve">OMAR</t>
  </si>
  <si>
    <t xml:space="preserve">DAOUK OMAR</t>
  </si>
  <si>
    <t xml:space="preserve">37 RUE LECOURBE</t>
  </si>
  <si>
    <t xml:space="preserve">01 43 06 93 58</t>
  </si>
  <si>
    <t xml:space="preserve">https://biocodex6--c.vf.force.com/0014L00000KFYIjQAP</t>
  </si>
  <si>
    <t xml:space="preserve">BARDE</t>
  </si>
  <si>
    <t xml:space="preserve">BARDE MICHAEL</t>
  </si>
  <si>
    <t xml:space="preserve">60 AVENUE DE NEW YORK</t>
  </si>
  <si>
    <t xml:space="preserve">https://biocodex6--c.vf.force.com/0014L00000KFTzbQAH</t>
  </si>
  <si>
    <t xml:space="preserve">POCHARD</t>
  </si>
  <si>
    <t xml:space="preserve">POCHARD FREDERIC</t>
  </si>
  <si>
    <t xml:space="preserve">12 RUE CORTAMBERT</t>
  </si>
  <si>
    <t xml:space="preserve">RUE CORTAMBERT</t>
  </si>
  <si>
    <t xml:space="preserve">01 47 43 42 70</t>
  </si>
  <si>
    <t xml:space="preserve">https://biocodex6--c.vf.force.com/0014L00000KFwQQQA1</t>
  </si>
  <si>
    <t xml:space="preserve">GERARD ALAIN</t>
  </si>
  <si>
    <t xml:space="preserve">https://biocodex6--c.vf.force.com/0014L00000KFffzQAD</t>
  </si>
  <si>
    <t xml:space="preserve">LYS</t>
  </si>
  <si>
    <t xml:space="preserve">LYS MICHEL</t>
  </si>
  <si>
    <t xml:space="preserve">6 RUE DE LOGELBACH</t>
  </si>
  <si>
    <t xml:space="preserve">RUE DE LOGELBACH</t>
  </si>
  <si>
    <t xml:space="preserve">01 46 22 67 60</t>
  </si>
  <si>
    <t xml:space="preserve">https://biocodex6--c.vf.force.com/0014L00000KFp8SQAT</t>
  </si>
  <si>
    <t xml:space="preserve">MAIL</t>
  </si>
  <si>
    <t xml:space="preserve">BRENOT</t>
  </si>
  <si>
    <t xml:space="preserve">BRENOT PHILIPPE</t>
  </si>
  <si>
    <t xml:space="preserve">https://biocodex6--c.vf.force.com/0014L00000KFUiEQAX</t>
  </si>
  <si>
    <t xml:space="preserve">CLERGET</t>
  </si>
  <si>
    <t xml:space="preserve">CLERGET STEPHANE</t>
  </si>
  <si>
    <t xml:space="preserve">https://biocodex6--c.vf.force.com/0014L00000KFjYRQA1</t>
  </si>
  <si>
    <t xml:space="preserve">STEINITZ</t>
  </si>
  <si>
    <t xml:space="preserve">STEINITZ ALBERT</t>
  </si>
  <si>
    <t xml:space="preserve">01 43 59 29 28</t>
  </si>
  <si>
    <t xml:space="preserve">https://biocodex6--c.vf.force.com/0014L00000KG28iQAD</t>
  </si>
  <si>
    <t xml:space="preserve">DELCHEV</t>
  </si>
  <si>
    <t xml:space="preserve">YAVOR</t>
  </si>
  <si>
    <t xml:space="preserve">DELCHEV YAVOR</t>
  </si>
  <si>
    <t xml:space="preserve">80 RUE BOISSIERE</t>
  </si>
  <si>
    <t xml:space="preserve">01 56 28 17 70</t>
  </si>
  <si>
    <t xml:space="preserve">https://biocodex6--c.vf.force.com/0014L00000KFWg7QAH</t>
  </si>
  <si>
    <t xml:space="preserve">SMS + VOICE MAIL 01/02/24</t>
  </si>
  <si>
    <t xml:space="preserve">GAUCHE CAZALIS</t>
  </si>
  <si>
    <t xml:space="preserve">GAUCHE CAZALIS CLAIRE</t>
  </si>
  <si>
    <t xml:space="preserve">https://biocodex6--c.vf.force.com/0014L00000KFdZzQAL</t>
  </si>
  <si>
    <t xml:space="preserve">https://annuairesante.ameli.fr/professionnels-de-sante/recherche/fiche-detaillee-CbA1lTAwODaz.html</t>
  </si>
  <si>
    <t xml:space="preserve">DONNARS</t>
  </si>
  <si>
    <t xml:space="preserve">DONNARS ALAIN</t>
  </si>
  <si>
    <t xml:space="preserve">39 BOULEVARD GARIBALDI</t>
  </si>
  <si>
    <t xml:space="preserve">BOULEVARD GARIBALDI</t>
  </si>
  <si>
    <t xml:space="preserve">01 47 83 91 57</t>
  </si>
  <si>
    <t xml:space="preserve">https://biocodex6--c.vf.force.com/0014L00000KFb5oQAD</t>
  </si>
  <si>
    <t xml:space="preserve">VALET</t>
  </si>
  <si>
    <t xml:space="preserve">VALET GILLES</t>
  </si>
  <si>
    <t xml:space="preserve">gilles-marie.valet@eps-erasme.fr</t>
  </si>
  <si>
    <t xml:space="preserve">https://biocodex6--c.vf.force.com/0014L00000KG5ktQAD</t>
  </si>
  <si>
    <t xml:space="preserve">NEVEUX</t>
  </si>
  <si>
    <t xml:space="preserve">NEVEUX NICOLAS</t>
  </si>
  <si>
    <t xml:space="preserve">9 RUE TROYON</t>
  </si>
  <si>
    <t xml:space="preserve">RUE TROYON</t>
  </si>
  <si>
    <t xml:space="preserve">https://biocodex6--c.vf.force.com/0014L00000KFtq7QAD</t>
  </si>
  <si>
    <t xml:space="preserve">SAMI PAUL</t>
  </si>
  <si>
    <t xml:space="preserve">TAWIL SAMI PAUL</t>
  </si>
  <si>
    <t xml:space="preserve">5 RUE DE SFAX</t>
  </si>
  <si>
    <t xml:space="preserve">RUE DE SFAX</t>
  </si>
  <si>
    <t xml:space="preserve">01 47 27 24 68</t>
  </si>
  <si>
    <t xml:space="preserve">https://biocodex6--c.vf.force.com/0014L00000KG2i4QAD</t>
  </si>
  <si>
    <t xml:space="preserve">COLONNA</t>
  </si>
  <si>
    <t xml:space="preserve">COLONNA JEAN PIERRE</t>
  </si>
  <si>
    <t xml:space="preserve">23 RUE DECAMPS</t>
  </si>
  <si>
    <t xml:space="preserve">01 47 04 95 98</t>
  </si>
  <si>
    <t xml:space="preserve">https://biocodex6--c.vf.force.com/0014L00000KFXELQA5</t>
  </si>
  <si>
    <t xml:space="preserve">BAUP</t>
  </si>
  <si>
    <t xml:space="preserve">BAUP NICOLAS</t>
  </si>
  <si>
    <t xml:space="preserve">170 BOULEVARD HAUSSMANN</t>
  </si>
  <si>
    <t xml:space="preserve">https://biocodex6--c.vf.force.com/0014L00000KFUq3QAH</t>
  </si>
  <si>
    <t xml:space="preserve">GARCIA DOMINIQUE</t>
  </si>
  <si>
    <t xml:space="preserve">01 40 16 18 92</t>
  </si>
  <si>
    <t xml:space="preserve">https://biocodex6--c.vf.force.com/0014L00000KFchaQAD</t>
  </si>
  <si>
    <t xml:space="preserve">SINZELLE</t>
  </si>
  <si>
    <t xml:space="preserve">SINZELLE JEREMIE</t>
  </si>
  <si>
    <t xml:space="preserve">https://biocodex6--c.vf.force.com/0014L00000KG33IQAT</t>
  </si>
  <si>
    <t xml:space="preserve">MICHEL FREDERIC</t>
  </si>
  <si>
    <t xml:space="preserve">8 RUE CORBON</t>
  </si>
  <si>
    <t xml:space="preserve">RUE CORBON</t>
  </si>
  <si>
    <t xml:space="preserve">01 45 33 64 45</t>
  </si>
  <si>
    <t xml:space="preserve">https://biocodex6--c.vf.force.com/0014L00000KFrmpQAD</t>
  </si>
  <si>
    <t xml:space="preserve">HANTOUCHE</t>
  </si>
  <si>
    <t xml:space="preserve">HANTOUCHE ELIE</t>
  </si>
  <si>
    <t xml:space="preserve">89 BOULEVARD DE COURCELLES</t>
  </si>
  <si>
    <t xml:space="preserve">01 43 25 08 07</t>
  </si>
  <si>
    <t xml:space="preserve">https://biocodex6--c.vf.force.com/0014L00000KFiArQAL</t>
  </si>
  <si>
    <t xml:space="preserve">BOUVIER PHILIPPE</t>
  </si>
  <si>
    <t xml:space="preserve">9 RUE LEONCE REYNAUD</t>
  </si>
  <si>
    <t xml:space="preserve">RUE LEONCE REYNAUD</t>
  </si>
  <si>
    <t xml:space="preserve">https://biocodex6--c.vf.force.com/0014L00000KFUYdQAP</t>
  </si>
  <si>
    <t xml:space="preserve">BERNABE DUPONT</t>
  </si>
  <si>
    <t xml:space="preserve">BERNABE DUPONT CELINE</t>
  </si>
  <si>
    <t xml:space="preserve">01 46 39 22 35 // 01 45 48 07 60</t>
  </si>
  <si>
    <t xml:space="preserve">https://biocodex6--c.vf.force.com/0014L00000KFT4VQAX</t>
  </si>
  <si>
    <t xml:space="preserve">https://annuairesante.ameli.fr/professionnels-de-sante/recherche/fiche-detaillee-B7c1mjAwMzS2.html</t>
  </si>
  <si>
    <t xml:space="preserve">MAIROVITZ BOCQUET</t>
  </si>
  <si>
    <t xml:space="preserve">MAIROVITZ BOCQUET VALERIE</t>
  </si>
  <si>
    <t xml:space="preserve">https://biocodex6--c.vf.force.com/0014L00000KFq07QAD</t>
  </si>
  <si>
    <t xml:space="preserve">PIERLOT</t>
  </si>
  <si>
    <t xml:space="preserve">PIERLOT PASCAL</t>
  </si>
  <si>
    <t xml:space="preserve">80 RUE DE MONCEAU</t>
  </si>
  <si>
    <t xml:space="preserve">RUE DE MONCEAU</t>
  </si>
  <si>
    <t xml:space="preserve">01 45 22 18 20</t>
  </si>
  <si>
    <t xml:space="preserve">https://biocodex6--c.vf.force.com/0014L00000KFvxPQAT</t>
  </si>
  <si>
    <t xml:space="preserve">JONTZA</t>
  </si>
  <si>
    <t xml:space="preserve">JONTZA THOMAS</t>
  </si>
  <si>
    <t xml:space="preserve">37 RUE DU CHAMP DE MARS</t>
  </si>
  <si>
    <t xml:space="preserve">RUE DU CHAMP DE MARS</t>
  </si>
  <si>
    <t xml:space="preserve">01 45 51 90 80</t>
  </si>
  <si>
    <t xml:space="preserve">https://biocodex6--c.vf.force.com/0014L00000KFhlcQAD</t>
  </si>
  <si>
    <t xml:space="preserve">NEUMAN</t>
  </si>
  <si>
    <t xml:space="preserve">NEUMAN ERIC</t>
  </si>
  <si>
    <t xml:space="preserve">29 AVENUE GEORGES MANDEL</t>
  </si>
  <si>
    <t xml:space="preserve">AVENUE GEORGES MANDEL</t>
  </si>
  <si>
    <t xml:space="preserve">01 42 25 02 04</t>
  </si>
  <si>
    <t xml:space="preserve">https://biocodex6--c.vf.force.com/0014L00000KFtTjQAL</t>
  </si>
  <si>
    <t xml:space="preserve">CHOPIN HOHENBERG</t>
  </si>
  <si>
    <t xml:space="preserve">CHOPIN HOHENBERG CLAIRE</t>
  </si>
  <si>
    <t xml:space="preserve">https://biocodex6--c.vf.force.com/0014L00000KFWiuQAH</t>
  </si>
  <si>
    <t xml:space="preserve">COLMANT D ARMAGNAC</t>
  </si>
  <si>
    <t xml:space="preserve">COLMANT D ARMAGNAC CLAIRE</t>
  </si>
  <si>
    <t xml:space="preserve">https://biocodex6--c.vf.force.com/0014L00000KFk47QAD</t>
  </si>
  <si>
    <t xml:space="preserve">SALOMON LAURENT</t>
  </si>
  <si>
    <t xml:space="preserve">01 44 49 40 30 // 01 44 49 40 00</t>
  </si>
  <si>
    <t xml:space="preserve">https://biocodex6--c.vf.force.com/0014L00000KG1YWQA1</t>
  </si>
  <si>
    <t xml:space="preserve">https://annuairesante.ameli.fr/professionnels-de-sante/recherche/fiche-detaillee-B7c1mzY0ODK7.html</t>
  </si>
  <si>
    <t xml:space="preserve">STIRNEMANN</t>
  </si>
  <si>
    <t xml:space="preserve">STIRNEMANN JULIEN</t>
  </si>
  <si>
    <t xml:space="preserve">01 44 49 40 30 // 01 44 49 53 46</t>
  </si>
  <si>
    <t xml:space="preserve">https://biocodex6--c.vf.force.com/0014L00000KG2iGQAT</t>
  </si>
  <si>
    <t xml:space="preserve">https://annuairesante.ameli.fr/professionnels-de-sante/recherche/fiche-detaillee-B7c1mzo4Nje6.html</t>
  </si>
  <si>
    <t xml:space="preserve">VILLE</t>
  </si>
  <si>
    <t xml:space="preserve">VILLE YVES</t>
  </si>
  <si>
    <t xml:space="preserve">https://biocodex6--c.vf.force.com/0014L00000KG6EEQA1</t>
  </si>
  <si>
    <t xml:space="preserve">https://annuairesante.ameli.fr/professionnels-de-sante/recherche/fiche-detaillee-B7c1mzE5ODG6.html</t>
  </si>
  <si>
    <t xml:space="preserve">NORTIER</t>
  </si>
  <si>
    <t xml:space="preserve">ERIK</t>
  </si>
  <si>
    <t xml:space="preserve">NORTIER ERIK</t>
  </si>
  <si>
    <t xml:space="preserve">4 PLACE DU GENERAL CATROUX</t>
  </si>
  <si>
    <t xml:space="preserve">01 45 48 57 38</t>
  </si>
  <si>
    <t xml:space="preserve">https://biocodex6--c.vf.force.com/0014L00000KFtqGQAT</t>
  </si>
  <si>
    <t xml:space="preserve">RENNESSON</t>
  </si>
  <si>
    <t xml:space="preserve">RENNESSON PATRICK</t>
  </si>
  <si>
    <t xml:space="preserve">26 RUE WASHINGTON</t>
  </si>
  <si>
    <t xml:space="preserve">RUE WASHINGTON</t>
  </si>
  <si>
    <t xml:space="preserve">01 43 59 46 63</t>
  </si>
  <si>
    <t xml:space="preserve">https://biocodex6--c.vf.force.com/0014L00000KFy94QAD</t>
  </si>
  <si>
    <t xml:space="preserve">ABUSUBUL</t>
  </si>
  <si>
    <t xml:space="preserve">ABUSUBUL CLAIRE</t>
  </si>
  <si>
    <t xml:space="preserve">https://biocodex6--c.vf.force.com/0014L00000KFOJIQA5</t>
  </si>
  <si>
    <t xml:space="preserve">FABRE TESTE</t>
  </si>
  <si>
    <t xml:space="preserve">FABRE TESTE JENNIFER</t>
  </si>
  <si>
    <t xml:space="preserve">https://biocodex6--c.vf.force.com/0014L00000KFdHsQAL</t>
  </si>
  <si>
    <t xml:space="preserve">DE BRIONNE</t>
  </si>
  <si>
    <t xml:space="preserve">MARIE HELENE</t>
  </si>
  <si>
    <t xml:space="preserve">DE BRIONNE MARIE HELENE</t>
  </si>
  <si>
    <t xml:space="preserve">6 RUE DE CONSTANTINOPLE</t>
  </si>
  <si>
    <t xml:space="preserve">01 53 04 98 44</t>
  </si>
  <si>
    <t xml:space="preserve">https://biocodex6--c.vf.force.com/0014L00000KFZ2fQAH</t>
  </si>
  <si>
    <t xml:space="preserve">TAVASSOLI</t>
  </si>
  <si>
    <t xml:space="preserve">LADANE</t>
  </si>
  <si>
    <t xml:space="preserve">TAVASSOLI LADANE</t>
  </si>
  <si>
    <t xml:space="preserve">209 BOULEVARD ST GERMAIN</t>
  </si>
  <si>
    <t xml:space="preserve">https://biocodex6--c.vf.force.com/0014L00000KG3kpQAD</t>
  </si>
  <si>
    <t xml:space="preserve">DEBESSE</t>
  </si>
  <si>
    <t xml:space="preserve">ISMAT</t>
  </si>
  <si>
    <t xml:space="preserve">DEBESSE ISMAT</t>
  </si>
  <si>
    <t xml:space="preserve">https://biocodex6--c.vf.force.com/0014L00000KFZQaQAP</t>
  </si>
  <si>
    <t xml:space="preserve">CHAPPE</t>
  </si>
  <si>
    <t xml:space="preserve">CHAPPE GEORGES</t>
  </si>
  <si>
    <t xml:space="preserve">36 RUE DE L AMIRAL HAMELIN</t>
  </si>
  <si>
    <t xml:space="preserve">RUE DE L AMIRAL HAMELIN</t>
  </si>
  <si>
    <t xml:space="preserve">01 40 70 06 10</t>
  </si>
  <si>
    <t xml:space="preserve">https://biocodex6--c.vf.force.com/0014L00000KFW6XQAX</t>
  </si>
  <si>
    <t xml:space="preserve">BALETTE</t>
  </si>
  <si>
    <t xml:space="preserve">BALETTE MARTINE</t>
  </si>
  <si>
    <t xml:space="preserve">https://biocodex6--c.vf.force.com/0014L00000KFRPZQA5</t>
  </si>
  <si>
    <t xml:space="preserve">ALEXANDRE MARION</t>
  </si>
  <si>
    <t xml:space="preserve">SCM PSY 21</t>
  </si>
  <si>
    <t xml:space="preserve">25 RUE PIERRE GUERIN</t>
  </si>
  <si>
    <t xml:space="preserve">RUE PIERRE GUERIN</t>
  </si>
  <si>
    <t xml:space="preserve">01 45 27 51 20</t>
  </si>
  <si>
    <t xml:space="preserve">https://biocodex6--c.vf.force.com/0014L00000KFRNIQA5</t>
  </si>
  <si>
    <t xml:space="preserve">BENCHETRIT</t>
  </si>
  <si>
    <t xml:space="preserve">BENCHETRIT FRANCK</t>
  </si>
  <si>
    <t xml:space="preserve">https://biocodex6--c.vf.force.com/0014L00000KFSTUQA5</t>
  </si>
  <si>
    <t xml:space="preserve">PASSARD</t>
  </si>
  <si>
    <t xml:space="preserve">PASSARD CHRISTOPHE</t>
  </si>
  <si>
    <t xml:space="preserve">14 RUE DE NAPLES</t>
  </si>
  <si>
    <t xml:space="preserve">RUE DE NAPLES</t>
  </si>
  <si>
    <t xml:space="preserve">01 53 69 04 20</t>
  </si>
  <si>
    <t xml:space="preserve">https://biocodex6--c.vf.force.com/0014L00000KFwViQAL</t>
  </si>
  <si>
    <t xml:space="preserve">PAUTRAT REILHAC</t>
  </si>
  <si>
    <t xml:space="preserve">PAUTRAT REILHAC STEPHANIE</t>
  </si>
  <si>
    <t xml:space="preserve">19 RUE DE LA CONVENTION</t>
  </si>
  <si>
    <t xml:space="preserve">01 74 64 29 95</t>
  </si>
  <si>
    <t xml:space="preserve">https://biocodex6--c.vf.force.com/0014L00000KFxLlQAL</t>
  </si>
  <si>
    <t xml:space="preserve">AZZAZENE</t>
  </si>
  <si>
    <t xml:space="preserve">AZZAZENE RACHID</t>
  </si>
  <si>
    <t xml:space="preserve">132 RUE DE LONGCHAMP</t>
  </si>
  <si>
    <t xml:space="preserve">https://biocodex6--c.vf.force.com/0014L00000KFSQGQA5</t>
  </si>
  <si>
    <t xml:space="preserve">COURBIN</t>
  </si>
  <si>
    <t xml:space="preserve">COURBIN PIERRE</t>
  </si>
  <si>
    <t xml:space="preserve">01 42 24 03 03</t>
  </si>
  <si>
    <t xml:space="preserve">https://biocodex6--c.vf.force.com/0014L00000KFXoBQAX</t>
  </si>
  <si>
    <t xml:space="preserve">VANIER</t>
  </si>
  <si>
    <t xml:space="preserve">VANIER ALAIN</t>
  </si>
  <si>
    <t xml:space="preserve">01 45 04 55 06</t>
  </si>
  <si>
    <t xml:space="preserve">https://biocodex6--c.vf.force.com/0014L00000KG4PdQAL</t>
  </si>
  <si>
    <t xml:space="preserve">BURNAT</t>
  </si>
  <si>
    <t xml:space="preserve">BURNAT GILLES</t>
  </si>
  <si>
    <t xml:space="preserve">5 RUE FREDERIC BASTIAT</t>
  </si>
  <si>
    <t xml:space="preserve">RUE FREDERIC BASTIAT</t>
  </si>
  <si>
    <t xml:space="preserve">01 42 25 76 28</t>
  </si>
  <si>
    <t xml:space="preserve">https://biocodex6--c.vf.force.com/0014L00000KFV5pQAH</t>
  </si>
  <si>
    <t xml:space="preserve">BARON</t>
  </si>
  <si>
    <t xml:space="preserve">BERNADETTE</t>
  </si>
  <si>
    <t xml:space="preserve">BARON BERNADETTE</t>
  </si>
  <si>
    <t xml:space="preserve">01 40 67 70 67</t>
  </si>
  <si>
    <t xml:space="preserve">https://biocodex6--c.vf.force.com/0014L00000KFRf4QAH</t>
  </si>
  <si>
    <t xml:space="preserve">CASTRO</t>
  </si>
  <si>
    <t xml:space="preserve">CASTRO BERNARD</t>
  </si>
  <si>
    <t xml:space="preserve">186 BOULEVARD HAUSSMANN</t>
  </si>
  <si>
    <t xml:space="preserve">01 42 89 53 37</t>
  </si>
  <si>
    <t xml:space="preserve">https://biocodex6--c.vf.force.com/0014L00000KFVfoQAH</t>
  </si>
  <si>
    <t xml:space="preserve">BANAYAN</t>
  </si>
  <si>
    <t xml:space="preserve">MIKAEL</t>
  </si>
  <si>
    <t xml:space="preserve">BANAYAN MIKAEL</t>
  </si>
  <si>
    <t xml:space="preserve">36 RUE DU COLISEE</t>
  </si>
  <si>
    <t xml:space="preserve">RUE DU COLISEE</t>
  </si>
  <si>
    <t xml:space="preserve">01 44 09 88 03</t>
  </si>
  <si>
    <t xml:space="preserve">https://biocodex6--c.vf.force.com/0014L00000KFTqbQAH</t>
  </si>
  <si>
    <t xml:space="preserve">BEAUMONT</t>
  </si>
  <si>
    <t xml:space="preserve">BEAUMONT SOLANGE</t>
  </si>
  <si>
    <t xml:space="preserve">8 RUE DE L ARMORIQUE</t>
  </si>
  <si>
    <t xml:space="preserve">RUE DE L ARMORIQUE</t>
  </si>
  <si>
    <t xml:space="preserve">01 43 22 82 97</t>
  </si>
  <si>
    <t xml:space="preserve">https://biocodex6--c.vf.force.com/0014L00000KG3CEQA1</t>
  </si>
  <si>
    <t xml:space="preserve">LEBLANC</t>
  </si>
  <si>
    <t xml:space="preserve">LEBLANC NATHALIE</t>
  </si>
  <si>
    <t xml:space="preserve">https://biocodex6--c.vf.force.com/0014L00000KFn8NQAT</t>
  </si>
  <si>
    <t xml:space="preserve">CHRISTOPHE LOIC</t>
  </si>
  <si>
    <t xml:space="preserve">GERARD CHRISTOPHE LOIC</t>
  </si>
  <si>
    <t xml:space="preserve">57 AVENUE GEORGES MANDEL</t>
  </si>
  <si>
    <t xml:space="preserve">01 45 05 18 04</t>
  </si>
  <si>
    <t xml:space="preserve">https://biocodex6--c.vf.force.com/0014L00000KFfg5QAD</t>
  </si>
  <si>
    <t xml:space="preserve">ROUER SAPORTA</t>
  </si>
  <si>
    <t xml:space="preserve">ROUER SAPORTA SYLVIE</t>
  </si>
  <si>
    <t xml:space="preserve">40 AVENUE DU PRESIDENT WILSON</t>
  </si>
  <si>
    <t xml:space="preserve">01 56 26 60 16</t>
  </si>
  <si>
    <t xml:space="preserve">https://biocodex6--c.vf.force.com/0014L00000KFzVbQAL</t>
  </si>
  <si>
    <t xml:space="preserve">SAUVAGNAT</t>
  </si>
  <si>
    <t xml:space="preserve">ROKAYA</t>
  </si>
  <si>
    <t xml:space="preserve">SAUVAGNAT ROKAYA</t>
  </si>
  <si>
    <t xml:space="preserve">01 56 28 05 71</t>
  </si>
  <si>
    <t xml:space="preserve">https://biocodex6--c.vf.force.com/0014L00000KG0cKQAT</t>
  </si>
  <si>
    <t xml:space="preserve">FASS</t>
  </si>
  <si>
    <t xml:space="preserve">FASS DANIEL</t>
  </si>
  <si>
    <t xml:space="preserve">155 RUE DE LA CONVENTION</t>
  </si>
  <si>
    <t xml:space="preserve">01 45 30 04 07</t>
  </si>
  <si>
    <t xml:space="preserve">https://biocodex6--c.vf.force.com/0014L00000KFdCdQAL</t>
  </si>
  <si>
    <t xml:space="preserve">TOUIZER</t>
  </si>
  <si>
    <t xml:space="preserve">TOUIZER JOSEPH</t>
  </si>
  <si>
    <t xml:space="preserve">39 RUE BALARD</t>
  </si>
  <si>
    <t xml:space="preserve">01 53 98 74 74</t>
  </si>
  <si>
    <t xml:space="preserve">https://biocodex6--c.vf.force.com/0014L00000KG3XNQA1</t>
  </si>
  <si>
    <t xml:space="preserve">RUBINSZTAJN</t>
  </si>
  <si>
    <t xml:space="preserve">RUBINSZTAJN ROBERT</t>
  </si>
  <si>
    <t xml:space="preserve">https://biocodex6--c.vf.force.com/0014L00000KFzuYQAT</t>
  </si>
  <si>
    <t xml:space="preserve">GALLIOT</t>
  </si>
  <si>
    <t xml:space="preserve">SEVERINE</t>
  </si>
  <si>
    <t xml:space="preserve">GALLIOT SEVERINE</t>
  </si>
  <si>
    <t xml:space="preserve">01 44 49 46 87</t>
  </si>
  <si>
    <t xml:space="preserve">https://biocodex6--c.vf.force.com/0014L00000KFcW1QAL</t>
  </si>
  <si>
    <t xml:space="preserve">https://annuairesante.ameli.fr/professionnels-de-sante/recherche/fiche-detaillee-B7c1lTYyNzqw.html</t>
  </si>
  <si>
    <t xml:space="preserve">MATHIEU DENIS</t>
  </si>
  <si>
    <t xml:space="preserve">01 44 49 27 77</t>
  </si>
  <si>
    <t xml:space="preserve">https://biocodex6--c.vf.force.com/0014L00000KFrnjQAD</t>
  </si>
  <si>
    <t xml:space="preserve">CLERY MELIN</t>
  </si>
  <si>
    <t xml:space="preserve">MARIE LAURE</t>
  </si>
  <si>
    <t xml:space="preserve">CLERY MELIN MARIE LAURE</t>
  </si>
  <si>
    <t xml:space="preserve">01 75 57 68 60</t>
  </si>
  <si>
    <t xml:space="preserve">https://biocodex6--c.vf.force.com/0014L00000KFjZfQAL</t>
  </si>
  <si>
    <t xml:space="preserve">BENOIT ALAIN</t>
  </si>
  <si>
    <t xml:space="preserve">01 46 08 21 05</t>
  </si>
  <si>
    <t xml:space="preserve">https://biocodex6--c.vf.force.com/0014L00000KFSbNQAX</t>
  </si>
  <si>
    <t xml:space="preserve">SIOBUD DOROCANT</t>
  </si>
  <si>
    <t xml:space="preserve">ERYC</t>
  </si>
  <si>
    <t xml:space="preserve">SIOBUD DOROCANT ERYC</t>
  </si>
  <si>
    <t xml:space="preserve">01 40 72 84 81</t>
  </si>
  <si>
    <t xml:space="preserve">https://biocodex6--c.vf.force.com/0014L00000KG2vAQAT</t>
  </si>
  <si>
    <t xml:space="preserve">MANDHOUJ</t>
  </si>
  <si>
    <t xml:space="preserve">OLFA</t>
  </si>
  <si>
    <t xml:space="preserve">MANDHOUJ OLFA</t>
  </si>
  <si>
    <t xml:space="preserve">PUB</t>
  </si>
  <si>
    <t xml:space="preserve">1 VILLA JOCELYN</t>
  </si>
  <si>
    <t xml:space="preserve">VILLA JOCELYN</t>
  </si>
  <si>
    <t xml:space="preserve">08 26 20 70 32</t>
  </si>
  <si>
    <t xml:space="preserve">https://biocodex6--c.vf.force.com/0014L00000KFqPbQAL</t>
  </si>
  <si>
    <t xml:space="preserve">GODET</t>
  </si>
  <si>
    <t xml:space="preserve">GODET SYLVIE</t>
  </si>
  <si>
    <t xml:space="preserve">165 RUE DE COURCELLES</t>
  </si>
  <si>
    <t xml:space="preserve">01 40 09 06 93</t>
  </si>
  <si>
    <t xml:space="preserve">https://biocodex6--c.vf.force.com/0014L00000KFgObQAL</t>
  </si>
  <si>
    <t xml:space="preserve">BILLE</t>
  </si>
  <si>
    <t xml:space="preserve">ARNAUD</t>
  </si>
  <si>
    <t xml:space="preserve">BILLE ARNAUD</t>
  </si>
  <si>
    <t xml:space="preserve">12 RUE EMILE ALLEZ</t>
  </si>
  <si>
    <t xml:space="preserve">RUE EMILE ALLEZ</t>
  </si>
  <si>
    <t xml:space="preserve">01 45 74 48 81</t>
  </si>
  <si>
    <t xml:space="preserve">https://biocodex6--c.vf.force.com/0014L00000KFUNHQA5</t>
  </si>
  <si>
    <t xml:space="preserve">BRATTER</t>
  </si>
  <si>
    <t xml:space="preserve">BRATTER SYLVIE</t>
  </si>
  <si>
    <t xml:space="preserve">62 RUE PIERRE DEMOURS</t>
  </si>
  <si>
    <t xml:space="preserve">09 81 36 98 36</t>
  </si>
  <si>
    <t xml:space="preserve">https://biocodex6--c.vf.force.com/0014L00000KFUfFQAX</t>
  </si>
  <si>
    <t xml:space="preserve">LE DORIOL</t>
  </si>
  <si>
    <t xml:space="preserve">LE DORIOL ANNE LAURE</t>
  </si>
  <si>
    <t xml:space="preserve">01 45 53 85 17</t>
  </si>
  <si>
    <t xml:space="preserve">https://biocodex6--c.vf.force.com/0014L00000KFnNUQA1</t>
  </si>
  <si>
    <t xml:space="preserve">GARNIER</t>
  </si>
  <si>
    <t xml:space="preserve">GARNIER BERTRAND</t>
  </si>
  <si>
    <t xml:space="preserve">01 45 65 61 23</t>
  </si>
  <si>
    <t xml:space="preserve">https://biocodex6--c.vf.force.com/0014L00000KFf8LQAT</t>
  </si>
  <si>
    <t xml:space="preserve">RIM</t>
  </si>
  <si>
    <t xml:space="preserve">HASSAN RIM</t>
  </si>
  <si>
    <t xml:space="preserve">01 40 45 37 11</t>
  </si>
  <si>
    <t xml:space="preserve">https://biocodex6--c.vf.force.com/0014L00000KFSAZQA5</t>
  </si>
  <si>
    <t xml:space="preserve">https://annuairesante.ameli.fr/professionnels-de-sante/recherche/fiche-detaillee-B7c1mjA2MTO2.html</t>
  </si>
  <si>
    <t xml:space="preserve">BAROIS</t>
  </si>
  <si>
    <t xml:space="preserve">BAROIS CHRISTINE</t>
  </si>
  <si>
    <t xml:space="preserve">54 AVENUE KLEBER</t>
  </si>
  <si>
    <t xml:space="preserve">01 45 20 20 28</t>
  </si>
  <si>
    <t xml:space="preserve">https://biocodex6--c.vf.force.com/0014L00000KFRlqQAH</t>
  </si>
  <si>
    <t xml:space="preserve">[Timestamp('2023-07-24 10:30:00'), Timestamp('2024-02-23 14:30:00')]</t>
  </si>
  <si>
    <t xml:space="preserve">MADELIN</t>
  </si>
  <si>
    <t xml:space="preserve">CLAUDE JEANNE</t>
  </si>
  <si>
    <t xml:space="preserve">MADELIN CLAUDE JEANNE</t>
  </si>
  <si>
    <t xml:space="preserve">https://biocodex6--c.vf.force.com/0014L00000KFpBEQA1</t>
  </si>
  <si>
    <t xml:space="preserve">[Timestamp('2024-01-16 15:30:00'), Timestamp('2024-06-07 12:00:00')]</t>
  </si>
  <si>
    <t xml:space="preserve">via TEL</t>
  </si>
  <si>
    <t xml:space="preserve">PAPELIER</t>
  </si>
  <si>
    <t xml:space="preserve">PAPELIER JEAN MARC</t>
  </si>
  <si>
    <t xml:space="preserve">62 RUE MICHEL ANGE</t>
  </si>
  <si>
    <t xml:space="preserve">cmpvelizy@arisse-asso.fr</t>
  </si>
  <si>
    <t xml:space="preserve">https://biocodex6--c.vf.force.com/0014L00000KFubaQAD</t>
  </si>
  <si>
    <t xml:space="preserve">BERRIAU</t>
  </si>
  <si>
    <t xml:space="preserve">BERRIAU PATRICIA</t>
  </si>
  <si>
    <t xml:space="preserve">https://biocodex6--c.vf.force.com/0014L00000KFT4QQAX</t>
  </si>
  <si>
    <t xml:space="preserve">BRETON</t>
  </si>
  <si>
    <t xml:space="preserve">BRETON ISABELLE</t>
  </si>
  <si>
    <t xml:space="preserve">CMP VARENNE</t>
  </si>
  <si>
    <t xml:space="preserve">39 RUE DE VARENNE</t>
  </si>
  <si>
    <t xml:space="preserve">01 45 65 64 00</t>
  </si>
  <si>
    <t xml:space="preserve">BOUCHE</t>
  </si>
  <si>
    <t xml:space="preserve">MARIE CELINE</t>
  </si>
  <si>
    <t xml:space="preserve">BOUCHE MARIE CELINE</t>
  </si>
  <si>
    <t xml:space="preserve">01 45 48 83 05</t>
  </si>
  <si>
    <t xml:space="preserve">https://biocodex6--c.vf.force.com/0014L00000KFVnuQAH</t>
  </si>
  <si>
    <t xml:space="preserve">ADAM</t>
  </si>
  <si>
    <t xml:space="preserve">ADAM PERRINE</t>
  </si>
  <si>
    <t xml:space="preserve">36 RUE SCHEFFER</t>
  </si>
  <si>
    <t xml:space="preserve">07 61 29 83 04</t>
  </si>
  <si>
    <t xml:space="preserve">https://biocodex6--c.vf.force.com/0014L00000KFR6gQAH</t>
  </si>
  <si>
    <t xml:space="preserve">GOZLAN</t>
  </si>
  <si>
    <t xml:space="preserve">GOZLAN GUY</t>
  </si>
  <si>
    <t xml:space="preserve">https://biocodex6--c.vf.force.com/0014L00000KFglHQAT</t>
  </si>
  <si>
    <t xml:space="preserve">LEMONNIER</t>
  </si>
  <si>
    <t xml:space="preserve">MORGAN</t>
  </si>
  <si>
    <t xml:space="preserve">LEMONNIER MORGAN</t>
  </si>
  <si>
    <t xml:space="preserve">32 RUE DES RENAUDES</t>
  </si>
  <si>
    <t xml:space="preserve">01 46 22 26 13</t>
  </si>
  <si>
    <t xml:space="preserve">https://biocodex6--c.vf.force.com/0014L00000KFmiCQAT</t>
  </si>
  <si>
    <t xml:space="preserve">SIARI MACQUERON</t>
  </si>
  <si>
    <t xml:space="preserve">SIARI MACQUERON VALERIE</t>
  </si>
  <si>
    <t xml:space="preserve">https://biocodex6--c.vf.force.com/0014L00000KG2u8QAD</t>
  </si>
  <si>
    <t xml:space="preserve">LAGODKA</t>
  </si>
  <si>
    <t xml:space="preserve">AURELIE</t>
  </si>
  <si>
    <t xml:space="preserve">LAGODKA AURELIE</t>
  </si>
  <si>
    <t xml:space="preserve">https://biocodex6--c.vf.force.com/0014L00000KFo47QAD</t>
  </si>
  <si>
    <t xml:space="preserve">GAUTIER</t>
  </si>
  <si>
    <t xml:space="preserve">GAUTIER ISABELLE</t>
  </si>
  <si>
    <t xml:space="preserve">89 RUE DES MORILLONS</t>
  </si>
  <si>
    <t xml:space="preserve">01 45 33 70 71</t>
  </si>
  <si>
    <t xml:space="preserve">https://biocodex6--c.vf.force.com/0014L00000KFfP1QAL</t>
  </si>
  <si>
    <t xml:space="preserve">BENKACI</t>
  </si>
  <si>
    <t xml:space="preserve">BENKACI RACHID</t>
  </si>
  <si>
    <t xml:space="preserve">12 RUE LERICHE</t>
  </si>
  <si>
    <t xml:space="preserve">RUE LERICHE</t>
  </si>
  <si>
    <t xml:space="preserve">01 56 08 01 19</t>
  </si>
  <si>
    <t xml:space="preserve">https://biocodex6--c.vf.force.com/0014L00000KFSZDQA5</t>
  </si>
  <si>
    <t xml:space="preserve">LANSIER</t>
  </si>
  <si>
    <t xml:space="preserve">CYRILE</t>
  </si>
  <si>
    <t xml:space="preserve">LANSIER CYRILE</t>
  </si>
  <si>
    <t xml:space="preserve">01 56 08 00 66</t>
  </si>
  <si>
    <t xml:space="preserve">https://biocodex6--c.vf.force.com/0014L00000KFlxtQAD</t>
  </si>
  <si>
    <t xml:space="preserve">CUSIN</t>
  </si>
  <si>
    <t xml:space="preserve">CUSIN GENEVIEVE</t>
  </si>
  <si>
    <t xml:space="preserve">6 RUE DELABORDERE</t>
  </si>
  <si>
    <t xml:space="preserve">RUE DELABORDERE</t>
  </si>
  <si>
    <t xml:space="preserve">https://biocodex6--c.vf.force.com/0014L00000KFYHCQA5</t>
  </si>
  <si>
    <t xml:space="preserve">ST MARD</t>
  </si>
  <si>
    <t xml:space="preserve">ST MARD GENEVIEVE</t>
  </si>
  <si>
    <t xml:space="preserve">119 RUE DE LA POMPE</t>
  </si>
  <si>
    <t xml:space="preserve">01 47 27 33 90</t>
  </si>
  <si>
    <t xml:space="preserve">BLANCARD</t>
  </si>
  <si>
    <t xml:space="preserve">BLANCARD MATHILDE</t>
  </si>
  <si>
    <t xml:space="preserve">https://biocodex6--c.vf.force.com/0014L00000KFUQzQAP</t>
  </si>
  <si>
    <t xml:space="preserve">SOUSSAN NATHALIE</t>
  </si>
  <si>
    <t xml:space="preserve">21 RUE PIERRE GUERIN</t>
  </si>
  <si>
    <t xml:space="preserve">01 46 51 08 88</t>
  </si>
  <si>
    <t xml:space="preserve">nathaliesoussan@yahoo.fr</t>
  </si>
  <si>
    <t xml:space="preserve">https://biocodex6--c.vf.force.com/0014L00000KG3CBQA1</t>
  </si>
  <si>
    <t xml:space="preserve">GERVAT</t>
  </si>
  <si>
    <t xml:space="preserve">OCEANE</t>
  </si>
  <si>
    <t xml:space="preserve">GERVAT OCEANE</t>
  </si>
  <si>
    <t xml:space="preserve">doc.oceane.gervat@gmail.com</t>
  </si>
  <si>
    <t xml:space="preserve">https://biocodex6--c.vf.force.com/0014L00000KFgTOQA1</t>
  </si>
  <si>
    <t xml:space="preserve">MARONIAN</t>
  </si>
  <si>
    <t xml:space="preserve">MARONIAN SOPHIE</t>
  </si>
  <si>
    <t xml:space="preserve">doc.maro@orange.fr</t>
  </si>
  <si>
    <t xml:space="preserve">https://biocodex6--c.vf.force.com/0014L00000KFr2BQAT</t>
  </si>
  <si>
    <t xml:space="preserve">TARDY</t>
  </si>
  <si>
    <t xml:space="preserve">TARDY MARIE NOELLE</t>
  </si>
  <si>
    <t xml:space="preserve">50 RUE POUSSIN</t>
  </si>
  <si>
    <t xml:space="preserve">RUE POUSSIN</t>
  </si>
  <si>
    <t xml:space="preserve">01 40 71 81 79</t>
  </si>
  <si>
    <t xml:space="preserve">https://biocodex6--c.vf.force.com/0014L00000KFf16QAD</t>
  </si>
  <si>
    <t xml:space="preserve">PEZOUS</t>
  </si>
  <si>
    <t xml:space="preserve">PEZOUS ANNE MARIE</t>
  </si>
  <si>
    <t xml:space="preserve">8 BOULEVARD DE LA MADELEINE</t>
  </si>
  <si>
    <t xml:space="preserve">BOULEVARD DE LA MADELEINE</t>
  </si>
  <si>
    <t xml:space="preserve">https://biocodex6--c.vf.force.com/0014L00000KFvpMQAT</t>
  </si>
  <si>
    <t xml:space="preserve">BENCHETRIT BRIGITTE</t>
  </si>
  <si>
    <t xml:space="preserve">https://biocodex6--c.vf.force.com/0014L00000KFTXoQAP</t>
  </si>
  <si>
    <t xml:space="preserve">REGNAUT</t>
  </si>
  <si>
    <t xml:space="preserve">REGNAUT NATHALIE</t>
  </si>
  <si>
    <t xml:space="preserve">47 RUE DE COURCELLES</t>
  </si>
  <si>
    <t xml:space="preserve">01 42 89 34 10</t>
  </si>
  <si>
    <t xml:space="preserve">https://biocodex6--c.vf.force.com/0014L00000KFjx0QAD</t>
  </si>
  <si>
    <t xml:space="preserve">NOBLINSKI</t>
  </si>
  <si>
    <t xml:space="preserve">JOANNA</t>
  </si>
  <si>
    <t xml:space="preserve">NOBLINSKI JOANNA</t>
  </si>
  <si>
    <t xml:space="preserve">7 RUE MARBEUF</t>
  </si>
  <si>
    <t xml:space="preserve">01 47 23 58 04</t>
  </si>
  <si>
    <t xml:space="preserve">jnoblinski@gmail.com</t>
  </si>
  <si>
    <t xml:space="preserve">https://biocodex6--c.vf.force.com/0014L00000KFuQFQA1</t>
  </si>
  <si>
    <t xml:space="preserve">GUILLARD</t>
  </si>
  <si>
    <t xml:space="preserve">GUILLARD ODILE</t>
  </si>
  <si>
    <t xml:space="preserve">21 RUE TRONCHET</t>
  </si>
  <si>
    <t xml:space="preserve">https://biocodex6--c.vf.force.com/0014L00000KFhZcQAL</t>
  </si>
  <si>
    <t xml:space="preserve">WOLMARK TORGEMEN</t>
  </si>
  <si>
    <t xml:space="preserve">WOLMARK TORGEMEN GENEVIEVE</t>
  </si>
  <si>
    <t xml:space="preserve">91 RUE DE LOURMEL</t>
  </si>
  <si>
    <t xml:space="preserve">01 43 06 67 37</t>
  </si>
  <si>
    <t xml:space="preserve">https://biocodex6--c.vf.force.com/0014L00000KG5zKQAT</t>
  </si>
  <si>
    <t xml:space="preserve">LEHALLE</t>
  </si>
  <si>
    <t xml:space="preserve">LEHALLE BEATRICE</t>
  </si>
  <si>
    <t xml:space="preserve">6 RUE GEORGES CITERNE</t>
  </si>
  <si>
    <t xml:space="preserve">RUE GEORGES CITERNE</t>
  </si>
  <si>
    <t xml:space="preserve">01 40 59 86 01</t>
  </si>
  <si>
    <t xml:space="preserve">https://biocodex6--c.vf.force.com/0014L00000KGCOdQAP</t>
  </si>
  <si>
    <t xml:space="preserve">GAVARD</t>
  </si>
  <si>
    <t xml:space="preserve">GAVARD MARIE CLAUDE</t>
  </si>
  <si>
    <t xml:space="preserve">40 RUE SEBASTIEN MERCIER</t>
  </si>
  <si>
    <t xml:space="preserve">RUE SEBASTIEN MERCIER</t>
  </si>
  <si>
    <t xml:space="preserve">01 40 71 08 68</t>
  </si>
  <si>
    <t xml:space="preserve">https://biocodex6--c.vf.force.com/0014L00000KFfPeQAL</t>
  </si>
  <si>
    <t xml:space="preserve">CALL MON TOE THU</t>
  </si>
  <si>
    <t xml:space="preserve">MARIE LOUISE</t>
  </si>
  <si>
    <t xml:space="preserve">SCEMAMA MARIE LOUISE</t>
  </si>
  <si>
    <t xml:space="preserve">38 AVENUE DE LA MOTTE PICQUET</t>
  </si>
  <si>
    <t xml:space="preserve">01 47 05 68 57</t>
  </si>
  <si>
    <t xml:space="preserve">https://biocodex6--c.vf.force.com/0014L00000KG0iBQAT</t>
  </si>
  <si>
    <t xml:space="preserve">BENADON</t>
  </si>
  <si>
    <t xml:space="preserve">BENADON VERONIQUE</t>
  </si>
  <si>
    <t xml:space="preserve">49 AVENUE DE SEGUR</t>
  </si>
  <si>
    <t xml:space="preserve">01 42 19 97 98</t>
  </si>
  <si>
    <t xml:space="preserve">https://biocodex6--c.vf.force.com/0014L00000KFSRFQA5</t>
  </si>
  <si>
    <t xml:space="preserve">OLIVIER PERZO</t>
  </si>
  <si>
    <t xml:space="preserve">OLIVIER PERZO VERONIQUE</t>
  </si>
  <si>
    <t xml:space="preserve">https://biocodex6--c.vf.force.com/0014L00000KFv94QAD</t>
  </si>
  <si>
    <t xml:space="preserve">ST ANDRE</t>
  </si>
  <si>
    <t xml:space="preserve">ST ANDRE CLAIRE</t>
  </si>
  <si>
    <t xml:space="preserve">DALBET</t>
  </si>
  <si>
    <t xml:space="preserve">DALBET FRANCOISE</t>
  </si>
  <si>
    <t xml:space="preserve">https://biocodex6--c.vf.force.com/0014L00000KFYRMQA5</t>
  </si>
  <si>
    <t xml:space="preserve">SAIAG</t>
  </si>
  <si>
    <t xml:space="preserve">SAIAG MARIE CLAUDE</t>
  </si>
  <si>
    <t xml:space="preserve">4 RUE LEON VAUDOYER</t>
  </si>
  <si>
    <t xml:space="preserve">01 44 49 99 19</t>
  </si>
  <si>
    <t xml:space="preserve">marieclaude.saiag@gmail.com</t>
  </si>
  <si>
    <t xml:space="preserve">https://biocodex6--c.vf.force.com/0014L00000KG07zQAD</t>
  </si>
  <si>
    <t xml:space="preserve">BLUMENTHAL</t>
  </si>
  <si>
    <t xml:space="preserve">BLUMENTHAL CHRISTIAN</t>
  </si>
  <si>
    <t xml:space="preserve">4 RUE OUDINOT</t>
  </si>
  <si>
    <t xml:space="preserve">https://biocodex6--c.vf.force.com/0014L00000KFTiWQAX</t>
  </si>
  <si>
    <t xml:space="preserve">JACQ VIGNE</t>
  </si>
  <si>
    <t xml:space="preserve">JACQ VIGNE FANNY</t>
  </si>
  <si>
    <t xml:space="preserve">https://biocodex6--c.vf.force.com/0014L00000KFgjKQAT</t>
  </si>
  <si>
    <t xml:space="preserve">HAMMACHE EL KHATIB</t>
  </si>
  <si>
    <t xml:space="preserve">HAMMACHE EL KHATIB ANNE MARIE</t>
  </si>
  <si>
    <t xml:space="preserve">84 BOULEVARD GARIBALDI</t>
  </si>
  <si>
    <t xml:space="preserve">01 47 83 65 40</t>
  </si>
  <si>
    <t xml:space="preserve">https://biocodex6--c.vf.force.com/0014L00000KFcWtQAL</t>
  </si>
  <si>
    <t xml:space="preserve">WONG</t>
  </si>
  <si>
    <t xml:space="preserve">WONG CATHERINE</t>
  </si>
  <si>
    <t xml:space="preserve">https://biocodex6--c.vf.force.com/0014L00000KG6dxQAD</t>
  </si>
  <si>
    <t xml:space="preserve">IONITA</t>
  </si>
  <si>
    <t xml:space="preserve">ADELA</t>
  </si>
  <si>
    <t xml:space="preserve">IONITA ADELA</t>
  </si>
  <si>
    <t xml:space="preserve">INS DU CERVEAU TROCA</t>
  </si>
  <si>
    <t xml:space="preserve">https://biocodex6--c.vf.force.com/0014L00000KG6qLQAT</t>
  </si>
  <si>
    <t xml:space="preserve">COO. AU SECRÉTARIAT</t>
  </si>
  <si>
    <t xml:space="preserve">SLAMA</t>
  </si>
  <si>
    <t xml:space="preserve">SLAMA ALICE</t>
  </si>
  <si>
    <t xml:space="preserve">60 RUE DU RANELAGH</t>
  </si>
  <si>
    <t xml:space="preserve">01 45 25 36 96</t>
  </si>
  <si>
    <t xml:space="preserve">https://biocodex6--c.vf.force.com/0014L00000KG1luQAD</t>
  </si>
  <si>
    <t xml:space="preserve">FALLAS</t>
  </si>
  <si>
    <t xml:space="preserve">FALLAS ELENA</t>
  </si>
  <si>
    <t xml:space="preserve">127 RUE DU RANELAGH</t>
  </si>
  <si>
    <t xml:space="preserve">01 56 72 15 10</t>
  </si>
  <si>
    <t xml:space="preserve">https://biocodex6--c.vf.force.com/0014L00000KFd3uQAD</t>
  </si>
  <si>
    <t xml:space="preserve">WAJNTRAUB</t>
  </si>
  <si>
    <t xml:space="preserve">WAJNTRAUB VALERIE</t>
  </si>
  <si>
    <t xml:space="preserve">15 RUE PETRARQUE</t>
  </si>
  <si>
    <t xml:space="preserve">01 47 66 23 50</t>
  </si>
  <si>
    <t xml:space="preserve">https://biocodex6--c.vf.force.com/0014L00000KG5iQQAT</t>
  </si>
  <si>
    <t xml:space="preserve">FOURNIER MATHILDE</t>
  </si>
  <si>
    <t xml:space="preserve">01 58 41 24 24</t>
  </si>
  <si>
    <t xml:space="preserve">https://biocodex6--c.vf.force.com/0014L00000KFeGbQAL</t>
  </si>
  <si>
    <t xml:space="preserve">LAGACHE</t>
  </si>
  <si>
    <t xml:space="preserve">CORINE</t>
  </si>
  <si>
    <t xml:space="preserve">LAGACHE CORINE</t>
  </si>
  <si>
    <t xml:space="preserve">7 AVENUE DE VILLIERS</t>
  </si>
  <si>
    <t xml:space="preserve">01 40 53 93 88</t>
  </si>
  <si>
    <t xml:space="preserve">https://biocodex6--c.vf.force.com/0014L00000KFlUEQA1</t>
  </si>
  <si>
    <t xml:space="preserve">DECOURT</t>
  </si>
  <si>
    <t xml:space="preserve">DECOURT ELISABETH</t>
  </si>
  <si>
    <t xml:space="preserve">110 AVENUE DE VILLIERS</t>
  </si>
  <si>
    <t xml:space="preserve">01 42 27 97 67</t>
  </si>
  <si>
    <t xml:space="preserve">https://biocodex6--c.vf.force.com/0014L00000KFZURQA5</t>
  </si>
  <si>
    <t xml:space="preserve">DECUP</t>
  </si>
  <si>
    <t xml:space="preserve">DECUP ANNE</t>
  </si>
  <si>
    <t xml:space="preserve">172 BOULEVARD BERTHIER</t>
  </si>
  <si>
    <t xml:space="preserve">BOULEVARD BERTHIER</t>
  </si>
  <si>
    <t xml:space="preserve">01 40 68 77 73</t>
  </si>
  <si>
    <t xml:space="preserve">https://biocodex6--c.vf.force.com/0014L00000KFZUmQAP</t>
  </si>
  <si>
    <t xml:space="preserve">DE CHOULY DE LENCLAVE</t>
  </si>
  <si>
    <t xml:space="preserve">MARIE BERANGERE</t>
  </si>
  <si>
    <t xml:space="preserve">DE CHOULY DE LENCLAVE MARIE BERANGERE</t>
  </si>
  <si>
    <t xml:space="preserve">72 BOULEVARD DE COURCELLES</t>
  </si>
  <si>
    <t xml:space="preserve">01 47 66 42 51</t>
  </si>
  <si>
    <t xml:space="preserve">https://biocodex6--c.vf.force.com/0014L00000KFWOgQAP</t>
  </si>
  <si>
    <t xml:space="preserve">ALBERT DOMINIQUE</t>
  </si>
  <si>
    <t xml:space="preserve">01 42 67 69 57</t>
  </si>
  <si>
    <t xml:space="preserve">https://biocodex6--c.vf.force.com/0014L00000KFQ7fQAH</t>
  </si>
  <si>
    <t xml:space="preserve">RACKOW</t>
  </si>
  <si>
    <t xml:space="preserve">RACKOW CHLOE</t>
  </si>
  <si>
    <t xml:space="preserve">27 RUE DE TOCQUEVILLE</t>
  </si>
  <si>
    <t xml:space="preserve">01 43 18 09 90</t>
  </si>
  <si>
    <t xml:space="preserve">https://biocodex6--c.vf.force.com/0014L00000KFywoQAD</t>
  </si>
  <si>
    <t xml:space="preserve">MEUNIER HERMAN</t>
  </si>
  <si>
    <t xml:space="preserve">MEUNIER HERMAN CLAIRE</t>
  </si>
  <si>
    <t xml:space="preserve">01 83 95 57 71</t>
  </si>
  <si>
    <t xml:space="preserve">https://biocodex6--c.vf.force.com/0014L00000KFs4MQAT</t>
  </si>
  <si>
    <t xml:space="preserve">TOTAH</t>
  </si>
  <si>
    <t xml:space="preserve">TOTAH MONIQUE</t>
  </si>
  <si>
    <t xml:space="preserve">01 43 22 33 25</t>
  </si>
  <si>
    <t xml:space="preserve">https://biocodex6--c.vf.force.com/0014L00000KG3VaQAL</t>
  </si>
  <si>
    <t xml:space="preserve">BARBEAU</t>
  </si>
  <si>
    <t xml:space="preserve">MARTHE</t>
  </si>
  <si>
    <t xml:space="preserve">BARBEAU MARTHE</t>
  </si>
  <si>
    <t xml:space="preserve">14 AVENUE DE WAGRAM</t>
  </si>
  <si>
    <t xml:space="preserve">01 46 22 47 92</t>
  </si>
  <si>
    <t xml:space="preserve">https://biocodex6--c.vf.force.com/0014L00000KFRWMQA5</t>
  </si>
  <si>
    <t xml:space="preserve">GISELE</t>
  </si>
  <si>
    <t xml:space="preserve">GEORGE GISELE</t>
  </si>
  <si>
    <t xml:space="preserve">7 RUE ALFRED DE VIGNY</t>
  </si>
  <si>
    <t xml:space="preserve">RUE ALFRED DE VIGNY</t>
  </si>
  <si>
    <t xml:space="preserve">01 42 67 11 11</t>
  </si>
  <si>
    <t xml:space="preserve">https://biocodex6--c.vf.force.com/0014L00000KFffRQAT</t>
  </si>
  <si>
    <t xml:space="preserve">NATHAN</t>
  </si>
  <si>
    <t xml:space="preserve">MARIA LAURA</t>
  </si>
  <si>
    <t xml:space="preserve">NATHAN MARIA LAURA</t>
  </si>
  <si>
    <t xml:space="preserve">7 RUE MARCEL RENAULT</t>
  </si>
  <si>
    <t xml:space="preserve">RUE MARCEL RENAULT</t>
  </si>
  <si>
    <t xml:space="preserve">01 42 58 97 74</t>
  </si>
  <si>
    <t xml:space="preserve">https://biocodex6--c.vf.force.com/0014L00000KFRtqQAH</t>
  </si>
  <si>
    <t xml:space="preserve">BURSZTYN</t>
  </si>
  <si>
    <t xml:space="preserve">BURSZTYN JOELLE</t>
  </si>
  <si>
    <t xml:space="preserve">51 RUE PIERRE DEMOURS</t>
  </si>
  <si>
    <t xml:space="preserve">01 40 53 05 71</t>
  </si>
  <si>
    <t xml:space="preserve">https://biocodex6--c.vf.force.com/0014L00000KFV62QAH</t>
  </si>
  <si>
    <t xml:space="preserve">DURET FOURQUET</t>
  </si>
  <si>
    <t xml:space="preserve">DURET FOURQUET CAROLINE</t>
  </si>
  <si>
    <t xml:space="preserve">01 45 03 26 38</t>
  </si>
  <si>
    <t xml:space="preserve">https://biocodex6--c.vf.force.com/0014L00000KFZemQAH</t>
  </si>
  <si>
    <t xml:space="preserve">CASTEL MENDAK</t>
  </si>
  <si>
    <t xml:space="preserve">CASTEL MENDAK CELINE</t>
  </si>
  <si>
    <t xml:space="preserve">2 VILLA BOISSIERE</t>
  </si>
  <si>
    <t xml:space="preserve">01 44 05 96 37</t>
  </si>
  <si>
    <t xml:space="preserve">https://biocodex6--c.vf.force.com/0014L00000KFqP4QAL</t>
  </si>
  <si>
    <t xml:space="preserve">KOWAL</t>
  </si>
  <si>
    <t xml:space="preserve">KOWAL PASCALE</t>
  </si>
  <si>
    <t xml:space="preserve">15 RUE GEORGES PITARD</t>
  </si>
  <si>
    <t xml:space="preserve">RUE GEORGES PITARD</t>
  </si>
  <si>
    <t xml:space="preserve">01 42 50 32 69</t>
  </si>
  <si>
    <t xml:space="preserve">https://biocodex6--c.vf.force.com/0014L00000KFkx5QAD</t>
  </si>
  <si>
    <t xml:space="preserve">RAAB</t>
  </si>
  <si>
    <t xml:space="preserve">RAAB ALAIN</t>
  </si>
  <si>
    <t xml:space="preserve">01 46 41 27 70</t>
  </si>
  <si>
    <t xml:space="preserve">https://biocodex6--c.vf.force.com/0014L00000KFxOHQA1</t>
  </si>
  <si>
    <t xml:space="preserve">GIROULT</t>
  </si>
  <si>
    <t xml:space="preserve">GIROULT PATRICK</t>
  </si>
  <si>
    <t xml:space="preserve">https://biocodex6--c.vf.force.com/0014L00000KFgAiQAL</t>
  </si>
  <si>
    <t xml:space="preserve">LAURY</t>
  </si>
  <si>
    <t xml:space="preserve">LAURY MELANIE</t>
  </si>
  <si>
    <t xml:space="preserve">https://biocodex6--c.vf.force.com/0014L00000KG2xuQAD</t>
  </si>
  <si>
    <t xml:space="preserve">LEGRIS PASCAL</t>
  </si>
  <si>
    <t xml:space="preserve">50 BOULEVARD DE LA TOUR MAUBOURG</t>
  </si>
  <si>
    <t xml:space="preserve">01 47 05 18 22</t>
  </si>
  <si>
    <t xml:space="preserve">https://biocodex6--c.vf.force.com/0014L00000KFna7QAD</t>
  </si>
  <si>
    <t xml:space="preserve">GAUMONT</t>
  </si>
  <si>
    <t xml:space="preserve">GAUMONT CHRISTOPHE</t>
  </si>
  <si>
    <t xml:space="preserve">https://biocodex6--c.vf.force.com/0014L00000KFdbVQAT</t>
  </si>
  <si>
    <t xml:space="preserve">DA COSTA</t>
  </si>
  <si>
    <t xml:space="preserve">SABRINA</t>
  </si>
  <si>
    <t xml:space="preserve">DA COSTA SABRINA</t>
  </si>
  <si>
    <t xml:space="preserve">https://biocodex6--c.vf.force.com/0014L00000KG9LaQAL</t>
  </si>
  <si>
    <t xml:space="preserve">SANT ANA SIMAS</t>
  </si>
  <si>
    <t xml:space="preserve">ROBERTA</t>
  </si>
  <si>
    <t xml:space="preserve">SANT ANA SIMAS ROBERTA</t>
  </si>
  <si>
    <t xml:space="preserve">https://biocodex6--c.vf.force.com/0014L00000KG1E2QAL</t>
  </si>
  <si>
    <t xml:space="preserve">BENTIVEGNA</t>
  </si>
  <si>
    <t xml:space="preserve">ENRICA</t>
  </si>
  <si>
    <t xml:space="preserve">BENTIVEGNA ENRICA</t>
  </si>
  <si>
    <t xml:space="preserve">https://biocodex6--c.vf.force.com/0014L00000KFTeEQAX</t>
  </si>
  <si>
    <t xml:space="preserve">ABGRALL BARBRY</t>
  </si>
  <si>
    <t xml:space="preserve">ABGRALL BARBRY GAELLE</t>
  </si>
  <si>
    <t xml:space="preserve">https://biocodex6--c.vf.force.com/0014L00000KFR0XQAX</t>
  </si>
  <si>
    <t xml:space="preserve">COHEN MOULY</t>
  </si>
  <si>
    <t xml:space="preserve">COHEN MOULY SANDRA</t>
  </si>
  <si>
    <t xml:space="preserve">CLI INT PARC MONCEAU</t>
  </si>
  <si>
    <t xml:space="preserve">01 48 88 26 60 // 01 48 88 25 25</t>
  </si>
  <si>
    <t xml:space="preserve">https://biocodex6--c.vf.force.com/0014L00000KFjoyQAD</t>
  </si>
  <si>
    <t xml:space="preserve">https://annuairesante.ameli.fr/professionnels-de-sante/recherche/fiche-detaillee-B7c1mzYxNzS6.html</t>
  </si>
  <si>
    <t xml:space="preserve">CHAMPAULT</t>
  </si>
  <si>
    <t xml:space="preserve">CHAMPAULT PHILIPPE</t>
  </si>
  <si>
    <t xml:space="preserve">200 RUE DE LA CONVENTION</t>
  </si>
  <si>
    <t xml:space="preserve">01 56 56 06 44</t>
  </si>
  <si>
    <t xml:space="preserve">https://biocodex6--c.vf.force.com/0014L00000KFey5QAD</t>
  </si>
  <si>
    <t xml:space="preserve">MOISE</t>
  </si>
  <si>
    <t xml:space="preserve">HASSAN MOISE</t>
  </si>
  <si>
    <t xml:space="preserve">18 RUE DUPHOT</t>
  </si>
  <si>
    <t xml:space="preserve">01 42 40 20 00</t>
  </si>
  <si>
    <t xml:space="preserve">https://biocodex6--c.vf.force.com/0014L00000NC09QQAT</t>
  </si>
  <si>
    <t xml:space="preserve">HOZER</t>
  </si>
  <si>
    <t xml:space="preserve">FRANZ</t>
  </si>
  <si>
    <t xml:space="preserve">HOZER FRANZ</t>
  </si>
  <si>
    <t xml:space="preserve">61 BOULEVARD DES INVALIDES</t>
  </si>
  <si>
    <t xml:space="preserve">09 53 38 17 56</t>
  </si>
  <si>
    <t xml:space="preserve">https://biocodex6--c.vf.force.com/0014L00000KFvO6QAL</t>
  </si>
  <si>
    <t xml:space="preserve">PAGANO</t>
  </si>
  <si>
    <t xml:space="preserve">PAGANO MICHELE</t>
  </si>
  <si>
    <t xml:space="preserve">45 RUE DES BERGERS</t>
  </si>
  <si>
    <t xml:space="preserve">01 40 60 49 00</t>
  </si>
  <si>
    <t xml:space="preserve">https://biocodex6--c.vf.force.com/0014L00000KGCjmQAH</t>
  </si>
  <si>
    <t xml:space="preserve">AIRAGNES</t>
  </si>
  <si>
    <t xml:space="preserve">AIRAGNES GUILLAUME</t>
  </si>
  <si>
    <t xml:space="preserve">01 56 09 33 71</t>
  </si>
  <si>
    <t xml:space="preserve">https://biocodex6--c.vf.force.com/0014L00000KFQFnQAP</t>
  </si>
  <si>
    <t xml:space="preserve">LAHLOU LAFORET</t>
  </si>
  <si>
    <t xml:space="preserve">KHADIJA</t>
  </si>
  <si>
    <t xml:space="preserve">LAHLOU LAFORET KHADIJA</t>
  </si>
  <si>
    <t xml:space="preserve">https://biocodex6--c.vf.force.com/0014L00000KFlaCQAT</t>
  </si>
  <si>
    <t xml:space="preserve">ORIZET</t>
  </si>
  <si>
    <t xml:space="preserve">ORIZET CYRILLE</t>
  </si>
  <si>
    <t xml:space="preserve">01 56 09 26 91</t>
  </si>
  <si>
    <t xml:space="preserve">https://biocodex6--c.vf.force.com/0014L00000KFuCJQA1</t>
  </si>
  <si>
    <t xml:space="preserve">THAUVIN ISABELLE</t>
  </si>
  <si>
    <t xml:space="preserve">01 56 09 32 18</t>
  </si>
  <si>
    <t xml:space="preserve">https://biocodex6--c.vf.force.com/0014L00000KFtdIQAT</t>
  </si>
  <si>
    <t xml:space="preserve">KETABI</t>
  </si>
  <si>
    <t xml:space="preserve">KARIM</t>
  </si>
  <si>
    <t xml:space="preserve">KETABI KARIM</t>
  </si>
  <si>
    <t xml:space="preserve">https://biocodex6--c.vf.force.com/0014L00000KFi6sQAD</t>
  </si>
  <si>
    <t xml:space="preserve">CLOSTRE</t>
  </si>
  <si>
    <t xml:space="preserve">CLOSTRE MATHILDE</t>
  </si>
  <si>
    <t xml:space="preserve">https://biocodex6--c.vf.force.com/0014L00000KFjj2QAD</t>
  </si>
  <si>
    <t xml:space="preserve">BARBOTIN</t>
  </si>
  <si>
    <t xml:space="preserve">BARBOTIN BENEDICTE</t>
  </si>
  <si>
    <t xml:space="preserve">https://biocodex6--c.vf.force.com/0014L00000KGBKRQA5</t>
  </si>
  <si>
    <t xml:space="preserve">LECENDREUX</t>
  </si>
  <si>
    <t xml:space="preserve">LECENDREUX MICHEL</t>
  </si>
  <si>
    <t xml:space="preserve">11 RUE DES PERCHAMPS</t>
  </si>
  <si>
    <t xml:space="preserve">RUE DES PERCHAMPS</t>
  </si>
  <si>
    <t xml:space="preserve">01 42 15 15 75</t>
  </si>
  <si>
    <t xml:space="preserve">michel.lecendreux@aphp.fr</t>
  </si>
  <si>
    <t xml:space="preserve">https://biocodex6--c.vf.force.com/0014L00000KFmkTQAT</t>
  </si>
  <si>
    <t xml:space="preserve">VM ROBERT DEBRÉ</t>
  </si>
  <si>
    <t xml:space="preserve">ABERKANE</t>
  </si>
  <si>
    <t xml:space="preserve">ABERKANE FATIMA</t>
  </si>
  <si>
    <t xml:space="preserve">https://biocodex6--c.vf.force.com/0014L00000KFQvNQAX</t>
  </si>
  <si>
    <t xml:space="preserve">RAHIOUI</t>
  </si>
  <si>
    <t xml:space="preserve">RAHIOUI HASSAN</t>
  </si>
  <si>
    <t xml:space="preserve">https://biocodex6--c.vf.force.com/0014L00000KFz8HQAT</t>
  </si>
  <si>
    <t xml:space="preserve">BAUP EMILIE</t>
  </si>
  <si>
    <t xml:space="preserve">65 RUE NICOLO</t>
  </si>
  <si>
    <t xml:space="preserve">01 45 25 60 02</t>
  </si>
  <si>
    <t xml:space="preserve">https://biocodex6--c.vf.force.com/0014L00000KFUZQQA5</t>
  </si>
  <si>
    <t xml:space="preserve">GEORGES PICOT</t>
  </si>
  <si>
    <t xml:space="preserve">GEORGES PICOT PAULINE</t>
  </si>
  <si>
    <t xml:space="preserve">https://biocodex6--c.vf.force.com/0014L00000KFPP0QAP</t>
  </si>
  <si>
    <t xml:space="preserve">BACHA</t>
  </si>
  <si>
    <t xml:space="preserve">BACHA MOHAMED</t>
  </si>
  <si>
    <t xml:space="preserve">https://biocodex6--c.vf.force.com/0014L00000KFg5lQAD</t>
  </si>
  <si>
    <t xml:space="preserve">DUMONT NOWAK</t>
  </si>
  <si>
    <t xml:space="preserve">DUMONT NOWAK ANNE MARIE</t>
  </si>
  <si>
    <t xml:space="preserve">12 RUE CHOMEL</t>
  </si>
  <si>
    <t xml:space="preserve">RUE CHOMEL</t>
  </si>
  <si>
    <t xml:space="preserve">01 42 22 70 70</t>
  </si>
  <si>
    <t xml:space="preserve">https://biocodex6--c.vf.force.com/0014L00000KFZRuQAP</t>
  </si>
  <si>
    <t xml:space="preserve">MOINS</t>
  </si>
  <si>
    <t xml:space="preserve">MOINS PASCALE</t>
  </si>
  <si>
    <t xml:space="preserve">https://biocodex6--c.vf.force.com/0014L00000KFsBuQAL</t>
  </si>
  <si>
    <t xml:space="preserve">DE MARCELLUS</t>
  </si>
  <si>
    <t xml:space="preserve">DE MARCELLUS CHARLES</t>
  </si>
  <si>
    <t xml:space="preserve">https://biocodex6--c.vf.force.com/0014L00000KG9iHQAT</t>
  </si>
  <si>
    <t xml:space="preserve">BEAUQUIER MACCOTTA</t>
  </si>
  <si>
    <t xml:space="preserve">BERANGERE</t>
  </si>
  <si>
    <t xml:space="preserve">BEAUQUIER MACCOTTA BERANGERE</t>
  </si>
  <si>
    <t xml:space="preserve">berengere.beauquier@aphp.fr</t>
  </si>
  <si>
    <t xml:space="preserve">https://biocodex6--c.vf.force.com/0014L00000KFUgPQAX</t>
  </si>
  <si>
    <t xml:space="preserve">OUSS RYNGAERT</t>
  </si>
  <si>
    <t xml:space="preserve">OUSS RYNGAERT ELISABETH</t>
  </si>
  <si>
    <t xml:space="preserve">lisa.ouss@aphp.fr</t>
  </si>
  <si>
    <t xml:space="preserve">https://biocodex6--c.vf.force.com/0014L00000KFuIlQAL</t>
  </si>
  <si>
    <t xml:space="preserve">VELASQUEZ</t>
  </si>
  <si>
    <t xml:space="preserve">PAOLA</t>
  </si>
  <si>
    <t xml:space="preserve">VELASQUEZ PAOLA</t>
  </si>
  <si>
    <t xml:space="preserve">https://biocodex6--c.vf.force.com/0014L00000KG5A1QAL</t>
  </si>
  <si>
    <t xml:space="preserve">PELLEGRIN TOUATI</t>
  </si>
  <si>
    <t xml:space="preserve">PELLEGRIN TOUATI MARIE</t>
  </si>
  <si>
    <t xml:space="preserve">marie.touati-pellegrin@aphp.fr</t>
  </si>
  <si>
    <t xml:space="preserve">https://biocodex6--c.vf.force.com/0014L00000KFvVYQA1</t>
  </si>
  <si>
    <t xml:space="preserve">ACCORD DONNÉ PAR MAIL</t>
  </si>
  <si>
    <t xml:space="preserve">BRACHET</t>
  </si>
  <si>
    <t xml:space="preserve">BRACHET ISABELLE</t>
  </si>
  <si>
    <t xml:space="preserve">https://biocodex6--c.vf.force.com/0014L00000KFUd6QAH</t>
  </si>
  <si>
    <t xml:space="preserve">GAUCI</t>
  </si>
  <si>
    <t xml:space="preserve">GAUCI JEAN LUC</t>
  </si>
  <si>
    <t xml:space="preserve">https://biocodex6--c.vf.force.com/0014L00000KFdfbQAD</t>
  </si>
  <si>
    <t xml:space="preserve">MIOCQUE</t>
  </si>
  <si>
    <t xml:space="preserve">MIOCQUE DELPHINE</t>
  </si>
  <si>
    <t xml:space="preserve">https://biocodex6--c.vf.force.com/0014L00000KFtK4QAL</t>
  </si>
  <si>
    <t xml:space="preserve">PERDEREAU</t>
  </si>
  <si>
    <t xml:space="preserve">PERDEREAU FABIENNE</t>
  </si>
  <si>
    <t xml:space="preserve">01 82 01 26 00</t>
  </si>
  <si>
    <t xml:space="preserve">https://biocodex6--c.vf.force.com/0014L00000KFvdiQAD</t>
  </si>
  <si>
    <t xml:space="preserve">REMY LEVI STRAUSS</t>
  </si>
  <si>
    <t xml:space="preserve">REMY LEVI STRAUSS BRIGITTE</t>
  </si>
  <si>
    <t xml:space="preserve">https://biocodex6--c.vf.force.com/0014L00000KFy35QAD</t>
  </si>
  <si>
    <t xml:space="preserve">ZERBIB</t>
  </si>
  <si>
    <t xml:space="preserve">ZERBIB JEAN PAUL</t>
  </si>
  <si>
    <t xml:space="preserve">https://biocodex6--c.vf.force.com/0014L00000KG6ASQA1</t>
  </si>
  <si>
    <t xml:space="preserve">MARTINOT</t>
  </si>
  <si>
    <t xml:space="preserve">MARTINOT CELINE</t>
  </si>
  <si>
    <t xml:space="preserve">18 RUE ST SAENS</t>
  </si>
  <si>
    <t xml:space="preserve">RUE ST SAENS</t>
  </si>
  <si>
    <t xml:space="preserve">09 86 52 59 17</t>
  </si>
  <si>
    <t xml:space="preserve">https://biocodex6--c.vf.force.com/0014L00000KFrE3QAL</t>
  </si>
  <si>
    <t xml:space="preserve">LAUNAY CORINNE</t>
  </si>
  <si>
    <t xml:space="preserve">https://biocodex6--c.vf.force.com/0014L00000KFmLNQA1</t>
  </si>
  <si>
    <t xml:space="preserve">VIOT BLANC</t>
  </si>
  <si>
    <t xml:space="preserve">VIOT BLANC VERONIQUE</t>
  </si>
  <si>
    <t xml:space="preserve">6 RUE DE MONCEAU</t>
  </si>
  <si>
    <t xml:space="preserve">01 47 20 42 45</t>
  </si>
  <si>
    <t xml:space="preserve">https://biocodex6--c.vf.force.com/0014L00000KG5NFQA1</t>
  </si>
  <si>
    <t xml:space="preserve">CRETU</t>
  </si>
  <si>
    <t xml:space="preserve">LAURA DANIELA</t>
  </si>
  <si>
    <t xml:space="preserve">CRETU LAURA DANIELA</t>
  </si>
  <si>
    <t xml:space="preserve">https://biocodex6--c.vf.force.com/0014L00000KFkkFQAT</t>
  </si>
  <si>
    <t xml:space="preserve">ALCARAZ</t>
  </si>
  <si>
    <t xml:space="preserve">ALCARAZ GEORGES</t>
  </si>
  <si>
    <t xml:space="preserve">31 RUE HENRI ROCHEFORT</t>
  </si>
  <si>
    <t xml:space="preserve">RUE HENRI ROCHEFORT</t>
  </si>
  <si>
    <t xml:space="preserve">01 58 41 33 01</t>
  </si>
  <si>
    <t xml:space="preserve">https://biocodex6--c.vf.force.com/0014L00000KFQ9JQAX</t>
  </si>
  <si>
    <t xml:space="preserve">LEFORT</t>
  </si>
  <si>
    <t xml:space="preserve">LEFORT AGNES</t>
  </si>
  <si>
    <t xml:space="preserve">01 47 66 04 50</t>
  </si>
  <si>
    <t xml:space="preserve">https://biocodex6--c.vf.force.com/0014L00000KFnRDQA1</t>
  </si>
  <si>
    <t xml:space="preserve">MARIO</t>
  </si>
  <si>
    <t xml:space="preserve">BLAISE MARIO</t>
  </si>
  <si>
    <t xml:space="preserve">https://biocodex6--c.vf.force.com/0014L00000KFUOwQAP</t>
  </si>
  <si>
    <t xml:space="preserve">HAUTEFEUILLE</t>
  </si>
  <si>
    <t xml:space="preserve">HAUTEFEUILLE MICHEL</t>
  </si>
  <si>
    <t xml:space="preserve">https://biocodex6--c.vf.force.com/0014L00000KFvJDQA1</t>
  </si>
  <si>
    <t xml:space="preserve">HECQUET</t>
  </si>
  <si>
    <t xml:space="preserve">HECQUET GUILLAUME</t>
  </si>
  <si>
    <t xml:space="preserve">https://biocodex6--c.vf.force.com/0014L00000KFOv4QAH</t>
  </si>
  <si>
    <t xml:space="preserve">CHOUIK MEZRAR</t>
  </si>
  <si>
    <t xml:space="preserve">MESSAOUDA</t>
  </si>
  <si>
    <t xml:space="preserve">CHOUIK MEZRAR MESSAOUDA</t>
  </si>
  <si>
    <t xml:space="preserve">https://biocodex6--c.vf.force.com/0014L00000KG7L6QAL</t>
  </si>
  <si>
    <t xml:space="preserve">TURPIN</t>
  </si>
  <si>
    <t xml:space="preserve">TURPIN ELENA</t>
  </si>
  <si>
    <t xml:space="preserve">https://biocodex6--c.vf.force.com/0014L00000KG4bEQAT</t>
  </si>
  <si>
    <t xml:space="preserve">GARGAUN URSACHE</t>
  </si>
  <si>
    <t xml:space="preserve">GARGAUN URSACHE ELENA</t>
  </si>
  <si>
    <t xml:space="preserve">01 44 49 52 74</t>
  </si>
  <si>
    <t xml:space="preserve">https://biocodex6--c.vf.force.com/0014L00000KFckGQAT</t>
  </si>
  <si>
    <t xml:space="preserve">DOURI</t>
  </si>
  <si>
    <t xml:space="preserve">DOURI ALEXANDRA</t>
  </si>
  <si>
    <t xml:space="preserve">https://biocodex6--c.vf.force.com/0014L00000KFPOSQA5</t>
  </si>
  <si>
    <t xml:space="preserve">CALLET AFDJEI</t>
  </si>
  <si>
    <t xml:space="preserve">NASRINE</t>
  </si>
  <si>
    <t xml:space="preserve">CALLET AFDJEI NASRINE</t>
  </si>
  <si>
    <t xml:space="preserve">n.callet@hotmail.fr</t>
  </si>
  <si>
    <t xml:space="preserve">https://biocodex6--c.vf.force.com/0014L00000KFVHkQAP</t>
  </si>
  <si>
    <t xml:space="preserve">DEBRUN</t>
  </si>
  <si>
    <t xml:space="preserve">DEBRUN REMY</t>
  </si>
  <si>
    <t xml:space="preserve">25 RUE DECAMPS</t>
  </si>
  <si>
    <t xml:space="preserve">06 84 84 04 50</t>
  </si>
  <si>
    <t xml:space="preserve">https://biocodex6--c.vf.force.com/0014L00000KFZRFQA5</t>
  </si>
  <si>
    <t xml:space="preserve">SMS 01/02/24  LU</t>
  </si>
  <si>
    <t xml:space="preserve">DEL CUL</t>
  </si>
  <si>
    <t xml:space="preserve">DEL CUL ANTOINE</t>
  </si>
  <si>
    <t xml:space="preserve">18 RUE GREUZE</t>
  </si>
  <si>
    <t xml:space="preserve">06 75 16 53 76</t>
  </si>
  <si>
    <t xml:space="preserve">https://biocodex6--c.vf.force.com/0014L00000KFWdSQAX</t>
  </si>
  <si>
    <t xml:space="preserve">REÇOIT À LA PÎTIÉ</t>
  </si>
  <si>
    <t xml:space="preserve">VINANT</t>
  </si>
  <si>
    <t xml:space="preserve">VINANT VICTOIRE</t>
  </si>
  <si>
    <t xml:space="preserve">https://biocodex6--c.vf.force.com/0014L00000KGBlaQAH</t>
  </si>
  <si>
    <t xml:space="preserve">DAMMAK</t>
  </si>
  <si>
    <t xml:space="preserve">AMIRA</t>
  </si>
  <si>
    <t xml:space="preserve">DAMMAK AMIRA</t>
  </si>
  <si>
    <t xml:space="preserve">7 RUE MASSENET</t>
  </si>
  <si>
    <t xml:space="preserve">RUE MASSENET</t>
  </si>
  <si>
    <t xml:space="preserve">01 45 25 16 14</t>
  </si>
  <si>
    <t xml:space="preserve">https://biocodex6--c.vf.force.com/0014L00000KFXysQAH</t>
  </si>
  <si>
    <t xml:space="preserve">TISSERAND</t>
  </si>
  <si>
    <t xml:space="preserve">TISSERAND LUC</t>
  </si>
  <si>
    <t xml:space="preserve">01 47 63 06 83</t>
  </si>
  <si>
    <t xml:space="preserve">https://biocodex6--c.vf.force.com/0014L00000KG3LeQAL</t>
  </si>
  <si>
    <t xml:space="preserve">HORREARD</t>
  </si>
  <si>
    <t xml:space="preserve">HORREARD ANNE SOPHIE</t>
  </si>
  <si>
    <t xml:space="preserve">11 RUE DU GENERAL NIOX</t>
  </si>
  <si>
    <t xml:space="preserve">RUE DU GENERAL NIOX</t>
  </si>
  <si>
    <t xml:space="preserve">01 45 65 61 24</t>
  </si>
  <si>
    <t xml:space="preserve">as.horreard@ghu-paris.fr</t>
  </si>
  <si>
    <t xml:space="preserve">https://biocodex6--c.vf.force.com/0014L00000KFvDuQAL</t>
  </si>
  <si>
    <t xml:space="preserve">BONFILS</t>
  </si>
  <si>
    <t xml:space="preserve">BONFILS NICOLAS</t>
  </si>
  <si>
    <t xml:space="preserve">4 RUE CHOMEL</t>
  </si>
  <si>
    <t xml:space="preserve">09 87 74 52 84</t>
  </si>
  <si>
    <t xml:space="preserve">https://biocodex6--c.vf.force.com/0014L00000KGBMiQAP</t>
  </si>
  <si>
    <t xml:space="preserve">TRESOR</t>
  </si>
  <si>
    <t xml:space="preserve">TRESOR LAURENCE</t>
  </si>
  <si>
    <t xml:space="preserve">01 42 27 42 19 // 06 65 69 38 54</t>
  </si>
  <si>
    <t xml:space="preserve">https://biocodex6--c.vf.force.com/0014L00000KG4F1QAL</t>
  </si>
  <si>
    <t xml:space="preserve">https://annuairesante.ameli.fr/professionnels-de-sante/recherche/fiche-detaillee-B7c1kjc3MjG3.html</t>
  </si>
  <si>
    <t xml:space="preserve">GAILLARD</t>
  </si>
  <si>
    <t xml:space="preserve">GAILLARD ADELINE</t>
  </si>
  <si>
    <t xml:space="preserve">https://biocodex6--c.vf.force.com/0014L00000KFcyJQAT</t>
  </si>
  <si>
    <t xml:space="preserve">COHEN SOURDILLE</t>
  </si>
  <si>
    <t xml:space="preserve">COHEN SOURDILLE ISABELLE</t>
  </si>
  <si>
    <t xml:space="preserve">https://biocodex6--c.vf.force.com/0014L00000KFX1wQAH</t>
  </si>
  <si>
    <t xml:space="preserve">RADUSZYNSKI</t>
  </si>
  <si>
    <t xml:space="preserve">IVAN</t>
  </si>
  <si>
    <t xml:space="preserve">RADUSZYNSKI IVAN</t>
  </si>
  <si>
    <t xml:space="preserve">8 RUE SCHEFFER</t>
  </si>
  <si>
    <t xml:space="preserve">https://biocodex6--c.vf.force.com/001Py000001m85yIAA</t>
  </si>
  <si>
    <t xml:space="preserve">CHADLI</t>
  </si>
  <si>
    <t xml:space="preserve">ABDALLAH</t>
  </si>
  <si>
    <t xml:space="preserve">CHADLI ABDALLAH</t>
  </si>
  <si>
    <t xml:space="preserve">https://biocodex6--c.vf.force.com/0014L00000bOm2oQAC</t>
  </si>
  <si>
    <t xml:space="preserve">PICARD</t>
  </si>
  <si>
    <t xml:space="preserve">PICARD CAPUCINE</t>
  </si>
  <si>
    <t xml:space="preserve">https://biocodex6--c.vf.force.com/0014L00000KFwq0QAD</t>
  </si>
  <si>
    <t xml:space="preserve">ACHE</t>
  </si>
  <si>
    <t xml:space="preserve">ACHE SANDRINE</t>
  </si>
  <si>
    <t xml:space="preserve">3 RUE DE MONTEVIDEO</t>
  </si>
  <si>
    <t xml:space="preserve">RUE DE MONTEVIDEO</t>
  </si>
  <si>
    <t xml:space="preserve">09 80 31 67 15</t>
  </si>
  <si>
    <t xml:space="preserve">https://biocodex6--c.vf.force.com/0014L00000KFRFGQA5</t>
  </si>
  <si>
    <t xml:space="preserve">https://annuairesante.ameli.fr/professionnels-de-sante/recherche/fiche-detaillee-B7c1mzY4MDS0.html</t>
  </si>
  <si>
    <t xml:space="preserve">ATLAN</t>
  </si>
  <si>
    <t xml:space="preserve">ATLAN ALEXANDRA</t>
  </si>
  <si>
    <t xml:space="preserve">129 RUE LAURISTON</t>
  </si>
  <si>
    <t xml:space="preserve">https://biocodex6--c.vf.force.com/0014L00000KFSHwQAP</t>
  </si>
  <si>
    <t xml:space="preserve">https://annuairesante.ameli.fr/professionnels-de-sante/recherche/fiche-detaillee-B7c1mzY5NDa7.html</t>
  </si>
  <si>
    <t xml:space="preserve">DESVAUX</t>
  </si>
  <si>
    <t xml:space="preserve">DESVAUX PIERRE</t>
  </si>
  <si>
    <t xml:space="preserve">https://biocodex6--c.vf.force.com/0014L00000YtsWeQAJ</t>
  </si>
  <si>
    <t xml:space="preserve">CHANTALAT</t>
  </si>
  <si>
    <t xml:space="preserve">CHANTALAT LAURA</t>
  </si>
  <si>
    <t xml:space="preserve">01 45 30 83 30</t>
  </si>
  <si>
    <t xml:space="preserve">https://biocodex6--c.vf.force.com/0014L00000KGGfHQAX</t>
  </si>
  <si>
    <t xml:space="preserve">GUYOT CAROLINE</t>
  </si>
  <si>
    <t xml:space="preserve">LAMBOURION</t>
  </si>
  <si>
    <t xml:space="preserve">ARTHUR</t>
  </si>
  <si>
    <t xml:space="preserve">LAMBOURION ARTHUR</t>
  </si>
  <si>
    <t xml:space="preserve">01 45 65 82 20</t>
  </si>
  <si>
    <t xml:space="preserve">https://biocodex6--c.vf.force.com/0014L00000KGC1DQAX</t>
  </si>
  <si>
    <t xml:space="preserve">OULD RABAH</t>
  </si>
  <si>
    <t xml:space="preserve">MELISSA</t>
  </si>
  <si>
    <t xml:space="preserve">OULD RABAH MELISSA</t>
  </si>
  <si>
    <t xml:space="preserve">01 47 04 63 49 // 01 82 28 12 34</t>
  </si>
  <si>
    <t xml:space="preserve">https://biocodex6--c.vf.force.com/0014L00000KJNHGQA5</t>
  </si>
  <si>
    <t xml:space="preserve">https://annuairesante.ameli.fr/professionnels-de-sante/recherche/fiche-detaillee-B7c1kjc4MDqy.html</t>
  </si>
  <si>
    <t xml:space="preserve">SOUSSY</t>
  </si>
  <si>
    <t xml:space="preserve">SOUSSY NICOLAS</t>
  </si>
  <si>
    <t xml:space="preserve">https://biocodex6--c.vf.force.com/0014L00000efAjQQAU</t>
  </si>
  <si>
    <t xml:space="preserve">https://annuairesante.ameli.fr/professionnels-de-sante/recherche/fiche-detaillee-B7c1kjoyODGx.html</t>
  </si>
  <si>
    <t xml:space="preserve">09:20-14:00(R)</t>
  </si>
  <si>
    <t xml:space="preserve">FORGERIT</t>
  </si>
  <si>
    <t xml:space="preserve">FORGERIT FRANCOIS</t>
  </si>
  <si>
    <t xml:space="preserve">59 RUE CHARDON LAGACHE</t>
  </si>
  <si>
    <t xml:space="preserve">https://biocodex6--c.vf.force.com/0014L00000fcEBZQA2</t>
  </si>
  <si>
    <t xml:space="preserve">https://annuairesante.ameli.fr/professionnels-de-sante/recherche/fiche-detaillee-B7c1lTE5NDC6.html</t>
  </si>
  <si>
    <t xml:space="preserve">SQUILLACE</t>
  </si>
  <si>
    <t xml:space="preserve">GIULIA</t>
  </si>
  <si>
    <t xml:space="preserve">SQUILLACE GIULIA</t>
  </si>
  <si>
    <t xml:space="preserve">https://biocodex6--c.vf.force.com/0014L00000kS3LqQAK</t>
  </si>
  <si>
    <t xml:space="preserve">BASTIEN</t>
  </si>
  <si>
    <t xml:space="preserve">RICHARD BASTIEN</t>
  </si>
  <si>
    <t xml:space="preserve">https://biocodex6--c.vf.force.com/0014L00000hvdv7QAA</t>
  </si>
  <si>
    <t xml:space="preserve">GIANNINI</t>
  </si>
  <si>
    <t xml:space="preserve">MARIE CAMILLE</t>
  </si>
  <si>
    <t xml:space="preserve">GIANNINI MARIE CAMILLE</t>
  </si>
  <si>
    <t xml:space="preserve">https://biocodex6--c.vf.force.com/0014L00000KGIZjQAP</t>
  </si>
  <si>
    <t xml:space="preserve">FOUCOURT</t>
  </si>
  <si>
    <t xml:space="preserve">FOUCOURT ROMAIN</t>
  </si>
  <si>
    <t xml:space="preserve">17 RUE DE LA TREMOILLE</t>
  </si>
  <si>
    <t xml:space="preserve">01 87 04 17 97</t>
  </si>
  <si>
    <t xml:space="preserve">TRAN NGOC</t>
  </si>
  <si>
    <t xml:space="preserve">TRAN NGOC ANNE</t>
  </si>
  <si>
    <t xml:space="preserve">12 RUE DE PONTHIEU</t>
  </si>
  <si>
    <t xml:space="preserve">01 53 53 50 00</t>
  </si>
  <si>
    <t xml:space="preserve">https://biocodex6--c.vf.force.com/0014L00000KGIn4QAH</t>
  </si>
  <si>
    <t xml:space="preserve">CLARET TOURNIER</t>
  </si>
  <si>
    <t xml:space="preserve">CLARET TOURNIER ANNA</t>
  </si>
  <si>
    <t xml:space="preserve">MAIL 26/01/24 – CABINET LAFFONT</t>
  </si>
  <si>
    <t xml:space="preserve">HABRARD</t>
  </si>
  <si>
    <t xml:space="preserve">CLAIRE LISE</t>
  </si>
  <si>
    <t xml:space="preserve">HABRARD CLAIRE LISE</t>
  </si>
  <si>
    <t xml:space="preserve">https://biocodex6--c.vf.force.com/0014L00000NAineQAD</t>
  </si>
  <si>
    <t xml:space="preserve">ABAD</t>
  </si>
  <si>
    <t xml:space="preserve">FLORA</t>
  </si>
  <si>
    <t xml:space="preserve">ABAD FLORA</t>
  </si>
  <si>
    <t xml:space="preserve">https://biocodex6--c.vf.force.com/0014L00000UgG6aQAF</t>
  </si>
  <si>
    <t xml:space="preserve">MIKE</t>
  </si>
  <si>
    <t xml:space="preserve">AMZALLAG MIKE</t>
  </si>
  <si>
    <t xml:space="preserve">https://biocodex6--c.vf.force.com/0014L00000NABqpQAH</t>
  </si>
  <si>
    <t xml:space="preserve">WISNIEWSKI</t>
  </si>
  <si>
    <t xml:space="preserve">WISNIEWSKI MATHILDE</t>
  </si>
  <si>
    <t xml:space="preserve">DE JESUS</t>
  </si>
  <si>
    <t xml:space="preserve">DE JESUS JULIE</t>
  </si>
  <si>
    <t xml:space="preserve">https://biocodex6--c.vf.force.com/0014L00000KGBeBQAX</t>
  </si>
  <si>
    <t xml:space="preserve">KHIDER HANNA</t>
  </si>
  <si>
    <t xml:space="preserve">https://biocodex6--c.vf.force.com/0014L00000KJCorQAH</t>
  </si>
  <si>
    <t xml:space="preserve">LOUISE</t>
  </si>
  <si>
    <t xml:space="preserve">BENOIT LOUISE</t>
  </si>
  <si>
    <t xml:space="preserve">https://biocodex6--c.vf.force.com/0014L00000efAjSQAU</t>
  </si>
  <si>
    <t xml:space="preserve">BLEZ</t>
  </si>
  <si>
    <t xml:space="preserve">BLEZ DAMIEN</t>
  </si>
  <si>
    <t xml:space="preserve">01 56 09 39 51</t>
  </si>
  <si>
    <t xml:space="preserve">https://biocodex6--c.vf.force.com/0014L00000kSGjGQAW</t>
  </si>
  <si>
    <t xml:space="preserve">PATAS D ILLIERS</t>
  </si>
  <si>
    <t xml:space="preserve">PATAS D ILLIERS CLEMENCE</t>
  </si>
  <si>
    <t xml:space="preserve">https://biocodex6--c.vf.force.com/0014L00000NClOaQAL</t>
  </si>
  <si>
    <t xml:space="preserve">ROUGETTE</t>
  </si>
  <si>
    <t xml:space="preserve">KEVIN</t>
  </si>
  <si>
    <t xml:space="preserve">ROUGETTE KEVIN</t>
  </si>
  <si>
    <t xml:space="preserve">https://biocodex6--c.vf.force.com/0014L00000KGIRmQAP</t>
  </si>
  <si>
    <t xml:space="preserve">DE FREMINVILLE</t>
  </si>
  <si>
    <t xml:space="preserve">DE FREMINVILLE JEAN BAPTISTE</t>
  </si>
  <si>
    <t xml:space="preserve">https://biocodex6--c.vf.force.com/0014L00000KGGiVQAX</t>
  </si>
  <si>
    <t xml:space="preserve">HERMANN</t>
  </si>
  <si>
    <t xml:space="preserve">HERMANN BERTRAND</t>
  </si>
  <si>
    <t xml:space="preserve">01 56 09 32 01</t>
  </si>
  <si>
    <t xml:space="preserve">https://biocodex6--c.vf.force.com/0014L00000KG9WjQAL</t>
  </si>
  <si>
    <t xml:space="preserve">CARRAUD</t>
  </si>
  <si>
    <t xml:space="preserve">CARRAUD BEATRICE</t>
  </si>
  <si>
    <t xml:space="preserve">https://biocodex6--c.vf.force.com/0014L00000kUJA4QAO</t>
  </si>
  <si>
    <t xml:space="preserve">FERRAND</t>
  </si>
  <si>
    <t xml:space="preserve">FERRAND LISA</t>
  </si>
  <si>
    <t xml:space="preserve">01 56 09 22 86</t>
  </si>
  <si>
    <t xml:space="preserve">https://biocodex6--c.vf.force.com/0014L00000KGGj5QAH</t>
  </si>
  <si>
    <t xml:space="preserve">SEVERYNS</t>
  </si>
  <si>
    <t xml:space="preserve">SEVERYNS THOMAS</t>
  </si>
  <si>
    <t xml:space="preserve">01 56 09 35 61 // 01 40 61 11 22</t>
  </si>
  <si>
    <t xml:space="preserve">https://biocodex6--c.vf.force.com/0014L00000KGGVDQA5</t>
  </si>
  <si>
    <t xml:space="preserve">https://annuairesante.ameli.fr/professionnels-de-sante/recherche/fiche-detaillee-B7c1kjs4NTGw.html</t>
  </si>
  <si>
    <t xml:space="preserve">LHERMITTE</t>
  </si>
  <si>
    <t xml:space="preserve">MAREVA</t>
  </si>
  <si>
    <t xml:space="preserve">LHERMITTE MAREVA</t>
  </si>
  <si>
    <t xml:space="preserve">23 RUE TIPHAINE</t>
  </si>
  <si>
    <t xml:space="preserve">RUE TIPHAINE</t>
  </si>
  <si>
    <t xml:space="preserve">01 45 75 47 02</t>
  </si>
  <si>
    <t xml:space="preserve">https://biocodex6--c.vf.force.com/0014L00000KGJFQQA5</t>
  </si>
  <si>
    <t xml:space="preserve">WOESTELANDT</t>
  </si>
  <si>
    <t xml:space="preserve">WOESTELANDT LAURE</t>
  </si>
  <si>
    <t xml:space="preserve">83 AVENUE BOSQUET</t>
  </si>
  <si>
    <t xml:space="preserve">https://biocodex6--c.vf.force.com/0014L00000KFP59QAH</t>
  </si>
  <si>
    <t xml:space="preserve">VERA</t>
  </si>
  <si>
    <t xml:space="preserve">VERA LOUIS</t>
  </si>
  <si>
    <t xml:space="preserve">19 AVENUE DE TOURVILLE</t>
  </si>
  <si>
    <t xml:space="preserve">09 85 15 64 27</t>
  </si>
  <si>
    <t xml:space="preserve">https://biocodex6--c.vf.force.com/0014L00000KG5FOQA1</t>
  </si>
  <si>
    <t xml:space="preserve">DE LAAGE DE MEUX</t>
  </si>
  <si>
    <t xml:space="preserve">TRISTAN</t>
  </si>
  <si>
    <t xml:space="preserve">DE LAAGE DE MEUX TRISTAN</t>
  </si>
  <si>
    <t xml:space="preserve">4 RUE CHEVERT</t>
  </si>
  <si>
    <t xml:space="preserve">RUE CHEVERT</t>
  </si>
  <si>
    <t xml:space="preserve">01 81 22 42 04</t>
  </si>
  <si>
    <t xml:space="preserve">https://biocodex6--c.vf.force.com/0014L00000NAgXZQA1</t>
  </si>
  <si>
    <t xml:space="preserve">LACHARD</t>
  </si>
  <si>
    <t xml:space="preserve">MATTHIEU</t>
  </si>
  <si>
    <t xml:space="preserve">LACHARD MATTHIEU</t>
  </si>
  <si>
    <t xml:space="preserve">https://biocodex6--c.vf.force.com/0014L00000kRXwXQAW</t>
  </si>
  <si>
    <t xml:space="preserve">OUJAGIR</t>
  </si>
  <si>
    <t xml:space="preserve">OUJAGIR AUDREY</t>
  </si>
  <si>
    <t xml:space="preserve">https://biocodex6--c.vf.force.com/0014L00000kRJTLQA4</t>
  </si>
  <si>
    <t xml:space="preserve">BOURGON</t>
  </si>
  <si>
    <t xml:space="preserve">BOURGON NICOLAS</t>
  </si>
  <si>
    <t xml:space="preserve">https://biocodex6--c.vf.force.com/0014L00000eeV5YQAU</t>
  </si>
  <si>
    <t xml:space="preserve">DAP</t>
  </si>
  <si>
    <t xml:space="preserve">DAP MATTHIEU</t>
  </si>
  <si>
    <t xml:space="preserve">https://biocodex6--c.vf.force.com/0014L00000hsM71QAE</t>
  </si>
  <si>
    <t xml:space="preserve">DE LA PORTE DES VAUX</t>
  </si>
  <si>
    <t xml:space="preserve">CLEMENTINE</t>
  </si>
  <si>
    <t xml:space="preserve">DE LA PORTE DES VAUX CLEMENTINE</t>
  </si>
  <si>
    <t xml:space="preserve">https://biocodex6--c.vf.force.com/0014L00000VMl0fQAD</t>
  </si>
  <si>
    <t xml:space="preserve">BENICHI</t>
  </si>
  <si>
    <t xml:space="preserve">SANDRO</t>
  </si>
  <si>
    <t xml:space="preserve">BENICHI SANDRO</t>
  </si>
  <si>
    <t xml:space="preserve">https://biocodex6--c.vf.force.com/0014L00000KG9rOQAT</t>
  </si>
  <si>
    <t xml:space="preserve">ADNOT</t>
  </si>
  <si>
    <t xml:space="preserve">ADNOT PAULINE</t>
  </si>
  <si>
    <t xml:space="preserve">https://biocodex6--c.vf.force.com/0014L00000KGESAQA5</t>
  </si>
  <si>
    <t xml:space="preserve">AVRAMESCU</t>
  </si>
  <si>
    <t xml:space="preserve">AVRAMESCU MARINA</t>
  </si>
  <si>
    <t xml:space="preserve">01 44 49 44 62 // 09 78 80 18 79</t>
  </si>
  <si>
    <t xml:space="preserve">https://biocodex6--c.vf.force.com/0014L00000KGDuWQAX</t>
  </si>
  <si>
    <t xml:space="preserve">https://annuairesante.ameli.fr/professionnels-de-sante/recherche/fiche-detaillee-B7c1kjs4MDq0.html</t>
  </si>
  <si>
    <t xml:space="preserve">AVRIL</t>
  </si>
  <si>
    <t xml:space="preserve">SERVANE</t>
  </si>
  <si>
    <t xml:space="preserve">AVRIL SERVANE</t>
  </si>
  <si>
    <t xml:space="preserve">https://biocodex6--c.vf.force.com/0014L00000kSSG8QAO</t>
  </si>
  <si>
    <t xml:space="preserve">BARROIS MULLER</t>
  </si>
  <si>
    <t xml:space="preserve">BARROIS MULLER REMI</t>
  </si>
  <si>
    <t xml:space="preserve">https://biocodex6--c.vf.force.com/0014L00000ht5AWQAY</t>
  </si>
  <si>
    <t xml:space="preserve">BASTARD PHILIPPE</t>
  </si>
  <si>
    <t xml:space="preserve">BASTARD PHILIPPE PAUL</t>
  </si>
  <si>
    <t xml:space="preserve">https://biocodex6--c.vf.force.com/0014L00000kTkN4QAK</t>
  </si>
  <si>
    <t xml:space="preserve">BRUCHET</t>
  </si>
  <si>
    <t xml:space="preserve">NATACHA</t>
  </si>
  <si>
    <t xml:space="preserve">BRUCHET NATACHA</t>
  </si>
  <si>
    <t xml:space="preserve">https://biocodex6--c.vf.force.com/0014L00000NB4mhQAD</t>
  </si>
  <si>
    <t xml:space="preserve">DERRIDJ</t>
  </si>
  <si>
    <t xml:space="preserve">NEIL</t>
  </si>
  <si>
    <t xml:space="preserve">DERRIDJ NEIL</t>
  </si>
  <si>
    <t xml:space="preserve">https://biocodex6--c.vf.force.com/0014L00000KHrPpQAL</t>
  </si>
  <si>
    <t xml:space="preserve">FOUCAMBERT MILLERIOUX</t>
  </si>
  <si>
    <t xml:space="preserve">FOUCAMBERT MILLERIOUX HELOISE</t>
  </si>
  <si>
    <t xml:space="preserve">https://biocodex6--c.vf.force.com/0014L00000KHSorQAH</t>
  </si>
  <si>
    <t xml:space="preserve">MELLUL</t>
  </si>
  <si>
    <t xml:space="preserve">KELLY</t>
  </si>
  <si>
    <t xml:space="preserve">MELLUL KELLY</t>
  </si>
  <si>
    <t xml:space="preserve">https://biocodex6--c.vf.force.com/0014L00000KGDoBQAX</t>
  </si>
  <si>
    <t xml:space="preserve">AN THACH</t>
  </si>
  <si>
    <t xml:space="preserve">NGUYEN AN THACH</t>
  </si>
  <si>
    <t xml:space="preserve">https://biocodex6--c.vf.force.com/0014L00000KGJ0VQAX</t>
  </si>
  <si>
    <t xml:space="preserve">OULD OUALI</t>
  </si>
  <si>
    <t xml:space="preserve">KAHENA</t>
  </si>
  <si>
    <t xml:space="preserve">OULD OUALI KAHENA</t>
  </si>
  <si>
    <t xml:space="preserve">https://biocodex6--c.vf.force.com/0014L00000KGBLKQA5</t>
  </si>
  <si>
    <t xml:space="preserve">PAGNIER CAUMONT</t>
  </si>
  <si>
    <t xml:space="preserve">PAGNIER CAUMONT MARYSE</t>
  </si>
  <si>
    <t xml:space="preserve">https://biocodex6--c.vf.force.com/0014L00000KGFwEQAX</t>
  </si>
  <si>
    <t xml:space="preserve">PAYEN</t>
  </si>
  <si>
    <t xml:space="preserve">PAYEN ELISE</t>
  </si>
  <si>
    <t xml:space="preserve">https://biocodex6--c.vf.force.com/0014L00000KGE3UQAX</t>
  </si>
  <si>
    <t xml:space="preserve">PEKIN</t>
  </si>
  <si>
    <t xml:space="preserve">KAAN</t>
  </si>
  <si>
    <t xml:space="preserve">PEKIN KAAN</t>
  </si>
  <si>
    <t xml:space="preserve">https://biocodex6--c.vf.force.com/0014L00000KGInNQAX</t>
  </si>
  <si>
    <t xml:space="preserve">SCHMARTZ</t>
  </si>
  <si>
    <t xml:space="preserve">SCHMARTZ SOPHIE</t>
  </si>
  <si>
    <t xml:space="preserve">https://biocodex6--c.vf.force.com/0014L00000fbACnQAM</t>
  </si>
  <si>
    <t xml:space="preserve">TOLEDANO</t>
  </si>
  <si>
    <t xml:space="preserve">BETSALEL</t>
  </si>
  <si>
    <t xml:space="preserve">TOLEDANO BETSALEL</t>
  </si>
  <si>
    <t xml:space="preserve">https://biocodex6--c.vf.force.com/0014L00000htPjUQAU</t>
  </si>
  <si>
    <t xml:space="preserve">HASSEN JUTTEAU</t>
  </si>
  <si>
    <t xml:space="preserve">WIEM</t>
  </si>
  <si>
    <t xml:space="preserve">HASSEN JUTTEAU WIEM</t>
  </si>
  <si>
    <t xml:space="preserve">https://biocodex6--c.vf.force.com/0014L00000KGGuVQAX</t>
  </si>
  <si>
    <t xml:space="preserve">NGUYEN QUOC</t>
  </si>
  <si>
    <t xml:space="preserve">ADRIEN</t>
  </si>
  <si>
    <t xml:space="preserve">NGUYEN QUOC ADRIEN</t>
  </si>
  <si>
    <t xml:space="preserve">https://biocodex6--c.vf.force.com/0014L00000KJCouQAH</t>
  </si>
  <si>
    <t xml:space="preserve">HIEGEL</t>
  </si>
  <si>
    <t xml:space="preserve">ALINE</t>
  </si>
  <si>
    <t xml:space="preserve">HIEGEL ALINE</t>
  </si>
  <si>
    <t xml:space="preserve">https://biocodex6--c.vf.force.com/0014L00000KGIaqQAH</t>
  </si>
  <si>
    <t xml:space="preserve">ITANI</t>
  </si>
  <si>
    <t xml:space="preserve">OULA</t>
  </si>
  <si>
    <t xml:space="preserve">ITANI OULA</t>
  </si>
  <si>
    <t xml:space="preserve">https://biocodex6--c.vf.force.com/0014L00000KGIb3QAH</t>
  </si>
  <si>
    <t xml:space="preserve">PONDAVEN</t>
  </si>
  <si>
    <t xml:space="preserve">PONDAVEN SOPHIE</t>
  </si>
  <si>
    <t xml:space="preserve">11 RUE STE FELICITE</t>
  </si>
  <si>
    <t xml:space="preserve">RUE STE FELICITE</t>
  </si>
  <si>
    <t xml:space="preserve">01 39 07 91 07 // 01 39 07 97 07</t>
  </si>
  <si>
    <t xml:space="preserve">https://biocodex6--c.vf.force.com/0014L00000kTPgaQAG</t>
  </si>
  <si>
    <t xml:space="preserve">https://annuairesante.ameli.fr/professionnels-de-sante/recherche/fiche-detaillee-B7c1kzE4Nzaw.html</t>
  </si>
  <si>
    <t xml:space="preserve">KAHAN EDERY</t>
  </si>
  <si>
    <t xml:space="preserve">KAHAN EDERY ALEXANDRA</t>
  </si>
  <si>
    <t xml:space="preserve">8 RUE BENJAMIN GODARD</t>
  </si>
  <si>
    <t xml:space="preserve">RUE BENJAMIN GODARD</t>
  </si>
  <si>
    <t xml:space="preserve">01 89 86 15 62</t>
  </si>
  <si>
    <t xml:space="preserve">https://biocodex6--c.vf.force.com/0014L00000KGGgzQAH</t>
  </si>
  <si>
    <t xml:space="preserve">https://annuairesante.ameli.fr/professionnels-de-sante/recherche/fiche-detaillee-B7c1kzc1MjK2.html</t>
  </si>
  <si>
    <t xml:space="preserve">SADOUN</t>
  </si>
  <si>
    <t xml:space="preserve">SADOUN MERYL</t>
  </si>
  <si>
    <t xml:space="preserve">https://biocodex6--c.vf.force.com/0014L00000KGEP3QAP</t>
  </si>
  <si>
    <t xml:space="preserve">https://annuairesante.ameli.fr/professionnels-de-sante/recherche/fiche-detaillee-B7c1kzE5OTG2.html</t>
  </si>
  <si>
    <t xml:space="preserve">08:00-14:00(?)</t>
  </si>
  <si>
    <t xml:space="preserve">SELLEM HABIB</t>
  </si>
  <si>
    <t xml:space="preserve">SELLEM HABIB ELODIE</t>
  </si>
  <si>
    <t xml:space="preserve">7 AVENUE PAUL ADAM</t>
  </si>
  <si>
    <t xml:space="preserve">AVENUE PAUL ADAM</t>
  </si>
  <si>
    <t xml:space="preserve">https://biocodex6--c.vf.force.com/0014L00000KGFYIQA5</t>
  </si>
  <si>
    <t xml:space="preserve">VIORRAIN</t>
  </si>
  <si>
    <t xml:space="preserve">VIORRAIN MARIE</t>
  </si>
  <si>
    <t xml:space="preserve">marie.viorrain@aphp.fr</t>
  </si>
  <si>
    <t xml:space="preserve">https://biocodex6--c.vf.force.com/0014L00000KFOdEQAX</t>
  </si>
  <si>
    <t xml:space="preserve">SALVATORE</t>
  </si>
  <si>
    <t xml:space="preserve">ORNELLA</t>
  </si>
  <si>
    <t xml:space="preserve">SALVATORE ORNELLA</t>
  </si>
  <si>
    <t xml:space="preserve">01 45 74 75 15</t>
  </si>
  <si>
    <t xml:space="preserve">https://biocodex6--c.vf.force.com/0014L00000KG9MbQAL</t>
  </si>
  <si>
    <t xml:space="preserve">https://annuairesante.ameli.fr/professionnels-de-sante/recherche/fiche-detaillee-B7c1kjswMzCx.html</t>
  </si>
  <si>
    <t xml:space="preserve">LORBER</t>
  </si>
  <si>
    <t xml:space="preserve">EVE MARIE</t>
  </si>
  <si>
    <t xml:space="preserve">LORBER EVE MARIE</t>
  </si>
  <si>
    <t xml:space="preserve">https://biocodex6--c.vf.force.com/0014L00000KGEKKQA5</t>
  </si>
  <si>
    <t xml:space="preserve">BERDUGO VANESSA</t>
  </si>
  <si>
    <t xml:space="preserve">SF</t>
  </si>
  <si>
    <t xml:space="preserve">GRAND</t>
  </si>
  <si>
    <t xml:space="preserve">GRAND CELINE</t>
  </si>
  <si>
    <t xml:space="preserve">01 80 27 54 20</t>
  </si>
  <si>
    <t xml:space="preserve">https://biocodex6--c.vf.force.com/0014L00000NDfjXQAT</t>
  </si>
  <si>
    <t xml:space="preserve">https://annuairesante.ameli.fr/professionnels-de-sante/recherche/fiche-detaillee-B7c1kzcxNTGx.html</t>
  </si>
  <si>
    <t xml:space="preserve">MONMART</t>
  </si>
  <si>
    <t xml:space="preserve">MONMART MELANIE</t>
  </si>
  <si>
    <t xml:space="preserve">https://biocodex6--c.vf.force.com/0014L00000hv5cBQAQ</t>
  </si>
  <si>
    <t xml:space="preserve">STELLA</t>
  </si>
  <si>
    <t xml:space="preserve">FRANCESCA</t>
  </si>
  <si>
    <t xml:space="preserve">STELLA FRANCESCA</t>
  </si>
  <si>
    <t xml:space="preserve">https://biocodex6--c.vf.force.com/0014L00000hrgfgQAA</t>
  </si>
  <si>
    <t xml:space="preserve">DE BARY</t>
  </si>
  <si>
    <t xml:space="preserve">DE BARY LOUISE</t>
  </si>
  <si>
    <t xml:space="preserve">5 RUE THEODULE RIBOT</t>
  </si>
  <si>
    <t xml:space="preserve">01 42 27 79 74</t>
  </si>
  <si>
    <t xml:space="preserve">https://biocodex6--c.vf.force.com/0014L00000KGFYPQA5</t>
  </si>
  <si>
    <t xml:space="preserve">ISMAIL</t>
  </si>
  <si>
    <t xml:space="preserve">MARIEM</t>
  </si>
  <si>
    <t xml:space="preserve">ISMAIL MARIEM</t>
  </si>
  <si>
    <t xml:space="preserve">01 53 77 25 88 // 07 67 93 92 94</t>
  </si>
  <si>
    <t xml:space="preserve">https://biocodex6--c.vf.force.com/0014L00000hsPiCQAU</t>
  </si>
  <si>
    <t xml:space="preserve">https://annuairesante.ameli.fr/professionnels-de-sante/recherche/fiche-detaillee-B7c1kzc1NTC1.html</t>
  </si>
  <si>
    <t xml:space="preserve">SABAILA OLLIER</t>
  </si>
  <si>
    <t xml:space="preserve">SABAILA OLLIER ANNE VALERIE</t>
  </si>
  <si>
    <t xml:space="preserve">GER
OBS</t>
  </si>
  <si>
    <t xml:space="preserve">9 AVENUE MAC MAHON</t>
  </si>
  <si>
    <t xml:space="preserve">01 45 63 00 00 // 01 40 69 35 89</t>
  </si>
  <si>
    <t xml:space="preserve">https://annuairesante.ameli.fr/professionnels-de-sante/recherche/fiche-detaillee-B7c1lTA5MjWy.html</t>
  </si>
  <si>
    <t xml:space="preserve">BOCRIE</t>
  </si>
  <si>
    <t xml:space="preserve">OLIVIER JACQUES</t>
  </si>
  <si>
    <t xml:space="preserve">BOCRIE OLIVIER JACQUES</t>
  </si>
  <si>
    <t xml:space="preserve">https://biocodex6--c.vf.force.com/0014L00000htPiqQAE</t>
  </si>
  <si>
    <t xml:space="preserve">CORTES</t>
  </si>
  <si>
    <t xml:space="preserve">CORTES LAURA</t>
  </si>
  <si>
    <t xml:space="preserve">01 45 78 36 00 // 01 43 31 57 24</t>
  </si>
  <si>
    <t xml:space="preserve">https://biocodex6--c.vf.force.com/0014L00000KGIO9QAP</t>
  </si>
  <si>
    <t xml:space="preserve">https://annuairesante.ameli.fr/professionnels-de-sante/recherche/fiche-detaillee-B7c1mzczNDC3.html</t>
  </si>
  <si>
    <t xml:space="preserve">LOCHET</t>
  </si>
  <si>
    <t xml:space="preserve">NOLWENN</t>
  </si>
  <si>
    <t xml:space="preserve">LOCHET NOLWENN</t>
  </si>
  <si>
    <t xml:space="preserve">https://biocodex6--c.vf.force.com/0014L00000htPjGQAU</t>
  </si>
  <si>
    <t xml:space="preserve">DOUBININE</t>
  </si>
  <si>
    <t xml:space="preserve">DOUBININE LEA</t>
  </si>
  <si>
    <t xml:space="preserve">https://biocodex6--c.vf.force.com/0014L00000kRGflQAG</t>
  </si>
  <si>
    <t xml:space="preserve">PALVAIR</t>
  </si>
  <si>
    <t xml:space="preserve">PALVAIR AUDREY</t>
  </si>
  <si>
    <t xml:space="preserve">01 85 73 01 31</t>
  </si>
  <si>
    <t xml:space="preserve">https://biocodex6--c.vf.force.com/0014L00000KFO7eQAH</t>
  </si>
  <si>
    <t xml:space="preserve">SOUAMI</t>
  </si>
  <si>
    <t xml:space="preserve">KAHINA DAYANA</t>
  </si>
  <si>
    <t xml:space="preserve">SOUAMI KAHINA DAYANA</t>
  </si>
  <si>
    <t xml:space="preserve">https://biocodex6--c.vf.force.com/0014L00000KG9blQAD</t>
  </si>
  <si>
    <t xml:space="preserve">ABITBOL BENACIN</t>
  </si>
  <si>
    <t xml:space="preserve">TIFANIE</t>
  </si>
  <si>
    <t xml:space="preserve">ABITBOL BENACIN TIFANIE</t>
  </si>
  <si>
    <t xml:space="preserve">6 RUE LEONCE REYNAUD</t>
  </si>
  <si>
    <t xml:space="preserve">01 85 73 56 99</t>
  </si>
  <si>
    <t xml:space="preserve">https://biocodex6--c.vf.force.com/0014L00000bN1VsQAK</t>
  </si>
  <si>
    <t xml:space="preserve">CIUP LEON</t>
  </si>
  <si>
    <t xml:space="preserve">SHARON</t>
  </si>
  <si>
    <t xml:space="preserve">CIUP LEON SHARON</t>
  </si>
  <si>
    <t xml:space="preserve">https://biocodex6--c.vf.force.com/0014L00000KHyzoQAD</t>
  </si>
  <si>
    <t xml:space="preserve">LEON</t>
  </si>
  <si>
    <t xml:space="preserve">SAUL</t>
  </si>
  <si>
    <t xml:space="preserve">LEON SAUL</t>
  </si>
  <si>
    <t xml:space="preserve">https://biocodex6--c.vf.force.com/0014L00000KGIPSQA5</t>
  </si>
  <si>
    <t xml:space="preserve">https://annuairesante.ameli.fr/professionnels-de-sante/recherche/fiche-detaillee-B7c1kzE0NjW2.html</t>
  </si>
  <si>
    <t xml:space="preserve">PECHAUD</t>
  </si>
  <si>
    <t xml:space="preserve">PECHAUD LOUISE</t>
  </si>
  <si>
    <t xml:space="preserve">https://biocodex6--c.vf.force.com/0014L00000NCY0qQAH</t>
  </si>
  <si>
    <t xml:space="preserve">DE SEVIN</t>
  </si>
  <si>
    <t xml:space="preserve">AURIANE</t>
  </si>
  <si>
    <t xml:space="preserve">DE SEVIN AURIANE</t>
  </si>
  <si>
    <t xml:space="preserve">https://biocodex6--c.vf.force.com/001Py000001q9YGIAY</t>
  </si>
  <si>
    <t xml:space="preserve">https://annuairesante.ameli.fr/professionnels-de-sante/recherche/fiche-detaillee-B7c1kzE3NTS3.html</t>
  </si>
  <si>
    <t xml:space="preserve">SIDALI</t>
  </si>
  <si>
    <t xml:space="preserve">DALILA</t>
  </si>
  <si>
    <t xml:space="preserve">SIDALI DALILA</t>
  </si>
  <si>
    <t xml:space="preserve">https://biocodex6--c.vf.force.com/0014L00000KGIQoQAP</t>
  </si>
  <si>
    <t xml:space="preserve">https://annuairesante.ameli.fr/professionnels-de-sante/recherche/fiche-detaillee-CbA1kjQyODu1.html</t>
  </si>
  <si>
    <t xml:space="preserve">BONNARDEL</t>
  </si>
  <si>
    <t xml:space="preserve">BONNARDEL MORGANE</t>
  </si>
  <si>
    <t xml:space="preserve">01 53 66 64 02 // 01 47 37 06 96</t>
  </si>
  <si>
    <t xml:space="preserve">https://biocodex6--c.vf.force.com/0014L00000KGoyjQAD</t>
  </si>
  <si>
    <t xml:space="preserve">https://annuairesante.ameli.fr/professionnels-de-sante/recherche/fiche-detaillee-CbA1kjQyNzGz.html</t>
  </si>
  <si>
    <t xml:space="preserve">14:00-18:00(D)</t>
  </si>
  <si>
    <t xml:space="preserve">BOCCARA</t>
  </si>
  <si>
    <t xml:space="preserve">BOCCARA MOISE</t>
  </si>
  <si>
    <t xml:space="preserve">https://biocodex6--c.vf.force.com/0014L00000KGHlLQAX</t>
  </si>
  <si>
    <t xml:space="preserve">LEVY ILANA</t>
  </si>
  <si>
    <t xml:space="preserve">https://biocodex6--c.vf.force.com/0014L00000KGIV9QAP</t>
  </si>
  <si>
    <t xml:space="preserve">NETTER</t>
  </si>
  <si>
    <t xml:space="preserve">NETTER ARTHUR</t>
  </si>
  <si>
    <t xml:space="preserve">01 47 57 49 50</t>
  </si>
  <si>
    <t xml:space="preserve">https://biocodex6--c.vf.force.com/0014L00000KGoypQAD</t>
  </si>
  <si>
    <t xml:space="preserve">https://annuairesante.ameli.fr/professionnels-de-sante/recherche/fiche-detaillee-CbA1kjY3MTK6.html</t>
  </si>
  <si>
    <t xml:space="preserve">SELLAMI</t>
  </si>
  <si>
    <t xml:space="preserve">FATIM ZAHRA</t>
  </si>
  <si>
    <t xml:space="preserve">SELLAMI FATIM ZAHRA</t>
  </si>
  <si>
    <t xml:space="preserve">https://biocodex6--c.vf.force.com/0014L00000kT9EbQAK</t>
  </si>
  <si>
    <t xml:space="preserve">SAULNIER</t>
  </si>
  <si>
    <t xml:space="preserve">SAULNIER PIERRE</t>
  </si>
  <si>
    <t xml:space="preserve">01 47 38 06 01</t>
  </si>
  <si>
    <t xml:space="preserve">https://biocodex6--c.vf.force.com/0014L00000KG2LvQAL</t>
  </si>
  <si>
    <t xml:space="preserve">PARISER</t>
  </si>
  <si>
    <t xml:space="preserve">PARISER PHILIPPE</t>
  </si>
  <si>
    <t xml:space="preserve">5 BOULEVARD RASPAIL</t>
  </si>
  <si>
    <t xml:space="preserve">01 45 49 01 23</t>
  </si>
  <si>
    <t xml:space="preserve">https://biocodex6--c.vf.force.com/0014L00000KFufbQAD</t>
  </si>
  <si>
    <t xml:space="preserve">https://annuairesante.ameli.fr/professionnels-de-sante/recherche/fiche-detaillee-B7c1lTI3NDaz.html</t>
  </si>
  <si>
    <t xml:space="preserve">YAKOVLEFF</t>
  </si>
  <si>
    <t xml:space="preserve">ANTON</t>
  </si>
  <si>
    <t xml:space="preserve">YAKOVLEFF ANTON</t>
  </si>
  <si>
    <t xml:space="preserve">https://biocodex6--c.vf.force.com/0014L00000KG61qQAD</t>
  </si>
  <si>
    <t xml:space="preserve">LORIN DE REURE</t>
  </si>
  <si>
    <t xml:space="preserve">LORIN DE REURE OLIVIER</t>
  </si>
  <si>
    <t xml:space="preserve">176 RUE DE GRENELLE</t>
  </si>
  <si>
    <t xml:space="preserve">01 44 18 33 33</t>
  </si>
  <si>
    <t xml:space="preserve">https://biocodex6--c.vf.force.com/0014L00000KFp66QAD</t>
  </si>
  <si>
    <t xml:space="preserve">https://annuairesante.ameli.fr/professionnels-de-sante/recherche/fiche-detaillee-B7c1lDIzNTO1.html</t>
  </si>
  <si>
    <t xml:space="preserve">SZEFNER</t>
  </si>
  <si>
    <t xml:space="preserve">SZEFNER JACQUES</t>
  </si>
  <si>
    <t xml:space="preserve">94 RUE DE SEVRES</t>
  </si>
  <si>
    <t xml:space="preserve">01 56 58 06 92</t>
  </si>
  <si>
    <t xml:space="preserve">https://biocodex6--c.vf.force.com/0014L00000KG2PxQAL</t>
  </si>
  <si>
    <t xml:space="preserve">https://annuairesante.ameli.fr/professionnels-de-sante/recherche/fiche-detaillee-B7c1lDY5NTux.html</t>
  </si>
  <si>
    <t xml:space="preserve">GROSGOGEAT</t>
  </si>
  <si>
    <t xml:space="preserve">GROSGOGEAT HERVE</t>
  </si>
  <si>
    <t xml:space="preserve">108 RUE DU BAC</t>
  </si>
  <si>
    <t xml:space="preserve">01 45 49 07 06</t>
  </si>
  <si>
    <t xml:space="preserve">https://biocodex6--c.vf.force.com/0014L00000KFhCEQA1</t>
  </si>
  <si>
    <t xml:space="preserve">https://annuairesante.ameli.fr/professionnels-de-sante/recherche/fiche-detaillee-B7c1lTIzODOw.html</t>
  </si>
  <si>
    <t xml:space="preserve">TAIEB CHARLES</t>
  </si>
  <si>
    <t xml:space="preserve">01 42 19 27 28</t>
  </si>
  <si>
    <t xml:space="preserve">https://biocodex6--c.vf.force.com/0014L00000KGKwUQAX</t>
  </si>
  <si>
    <t xml:space="preserve">LEONI</t>
  </si>
  <si>
    <t xml:space="preserve">LEONI DOMINIQUE</t>
  </si>
  <si>
    <t xml:space="preserve">57 RUE VIOLET</t>
  </si>
  <si>
    <t xml:space="preserve">01 44 37 34 04</t>
  </si>
  <si>
    <t xml:space="preserve">https://biocodex6--c.vf.force.com/0014L00000KFo1cQAD</t>
  </si>
  <si>
    <t xml:space="preserve">CAHANE</t>
  </si>
  <si>
    <t xml:space="preserve">CAHANE JEAN PIERRE</t>
  </si>
  <si>
    <t xml:space="preserve">5 RUE COGNACQ JAY</t>
  </si>
  <si>
    <t xml:space="preserve">RUE COGNACQ JAY</t>
  </si>
  <si>
    <t xml:space="preserve">01 42 22 55 22</t>
  </si>
  <si>
    <t xml:space="preserve">https://biocodex6--c.vf.force.com/0014L00000KFVDJQA5</t>
  </si>
  <si>
    <t xml:space="preserve">https://annuairesante.ameli.fr/professionnels-de-sante/recherche/fiche-detaillee-B7c1kTMyMTS2.html</t>
  </si>
  <si>
    <t xml:space="preserve">GARRIGUE</t>
  </si>
  <si>
    <t xml:space="preserve">GARRIGUE JEAN PAUL</t>
  </si>
  <si>
    <t xml:space="preserve">01 46 24 11 43</t>
  </si>
  <si>
    <t xml:space="preserve">https://biocodex6--c.vf.force.com/0014L00000KFfCxQAL</t>
  </si>
  <si>
    <t xml:space="preserve">https://annuairesante.ameli.fr/professionnels-de-sante/recherche/fiche-detaillee-CbA1kjcwOTW3.html</t>
  </si>
  <si>
    <t xml:space="preserve">ROYER</t>
  </si>
  <si>
    <t xml:space="preserve">ROYER LAURENCE</t>
  </si>
  <si>
    <t xml:space="preserve">01 47 38 00 00</t>
  </si>
  <si>
    <t xml:space="preserve">https://biocodex6--c.vf.force.com/0014L00000KG0FDQA1</t>
  </si>
  <si>
    <t xml:space="preserve">https://annuairesante.ameli.fr/professionnels-de-sante/recherche/fiche-detaillee-CbA1lTIzMzK2.html</t>
  </si>
  <si>
    <t xml:space="preserve">RAGEAU</t>
  </si>
  <si>
    <t xml:space="preserve">RAGEAU JEAN PIERRE</t>
  </si>
  <si>
    <t xml:space="preserve">01 47 37 77 55</t>
  </si>
  <si>
    <t xml:space="preserve">https://biocodex6--c.vf.force.com/0014L00000KFxUAQA1</t>
  </si>
  <si>
    <t xml:space="preserve">SAUVEGRAIN MASSIN</t>
  </si>
  <si>
    <t xml:space="preserve">SAUVEGRAIN MASSIN ISABELLE</t>
  </si>
  <si>
    <t xml:space="preserve">8 RUE CESAR FRANCK</t>
  </si>
  <si>
    <t xml:space="preserve">RUE CESAR FRANCK</t>
  </si>
  <si>
    <t xml:space="preserve">01 47 34 36 16</t>
  </si>
  <si>
    <t xml:space="preserve">https://biocodex6--c.vf.force.com/0014L00000KG0cjQAD</t>
  </si>
  <si>
    <t xml:space="preserve">https://annuairesante.ameli.fr/professionnels-de-sante/recherche/fiche-detaillee-B7c1kTAzNjG1.html</t>
  </si>
  <si>
    <t xml:space="preserve">PAULIN</t>
  </si>
  <si>
    <t xml:space="preserve">PAULIN DOMINIQUE</t>
  </si>
  <si>
    <t xml:space="preserve">11 RUE CESAR FRANCK</t>
  </si>
  <si>
    <t xml:space="preserve">01 45 24 01 24</t>
  </si>
  <si>
    <t xml:space="preserve">https://biocodex6--c.vf.force.com/0014L00000KFrv4QAD</t>
  </si>
  <si>
    <t xml:space="preserve">https://annuairesante.ameli.fr/professionnels-de-sante/recherche/fiche-detaillee-B7c1lDIwNDW1.html</t>
  </si>
  <si>
    <t xml:space="preserve">BESSE GUILLAUME</t>
  </si>
  <si>
    <t xml:space="preserve">01 45 22 07 01</t>
  </si>
  <si>
    <t xml:space="preserve">https://biocodex6--c.vf.force.com/0014L00000KFTDhQAP</t>
  </si>
  <si>
    <t xml:space="preserve">https://annuairesante.ameli.fr/professionnels-de-sante/recherche/fiche-detaillee-B7c1lzE2MjW3.html</t>
  </si>
  <si>
    <t xml:space="preserve">MENAHEM</t>
  </si>
  <si>
    <t xml:space="preserve">MENAHEM GUY</t>
  </si>
  <si>
    <t xml:space="preserve">01 75 50 97 72 // 01 77 16 22 60</t>
  </si>
  <si>
    <t xml:space="preserve">https://biocodex6--c.vf.force.com/0014L00000KFrJrQAL</t>
  </si>
  <si>
    <t xml:space="preserve">https://annuairesante.ameli.fr/professionnels-de-sante/recherche/fiche-detaillee-B7c1lTM4MDu1.html</t>
  </si>
  <si>
    <t xml:space="preserve">CAHANE AKNIN</t>
  </si>
  <si>
    <t xml:space="preserve">CAHANE AKNIN MARIE CLAUDE</t>
  </si>
  <si>
    <t xml:space="preserve">https://biocodex6--c.vf.force.com/0014L00000KFVDKQA5</t>
  </si>
  <si>
    <t xml:space="preserve">MEBAZAA</t>
  </si>
  <si>
    <t xml:space="preserve">HARETH</t>
  </si>
  <si>
    <t xml:space="preserve">MEBAZAA HARETH</t>
  </si>
  <si>
    <t xml:space="preserve">01 46 60 69 30</t>
  </si>
  <si>
    <t xml:space="preserve">https://biocodex6--c.vf.force.com/0014L00000KFrGJQA1</t>
  </si>
  <si>
    <t xml:space="preserve">DUPAGNE</t>
  </si>
  <si>
    <t xml:space="preserve">DUPAGNE DOMINIQUE</t>
  </si>
  <si>
    <t xml:space="preserve">2 RUE DE PHALSBOURG</t>
  </si>
  <si>
    <t xml:space="preserve">01 40 54 92 71</t>
  </si>
  <si>
    <t xml:space="preserve">https://biocodex6--c.vf.force.com/0014L00000KFc1FQAT</t>
  </si>
  <si>
    <t xml:space="preserve">VAUTHRIN</t>
  </si>
  <si>
    <t xml:space="preserve">VAUTHRIN PHILIPPE</t>
  </si>
  <si>
    <t xml:space="preserve">11 AVENUE ELISEE RECLUS</t>
  </si>
  <si>
    <t xml:space="preserve">AVENUE ELISEE RECLUS</t>
  </si>
  <si>
    <t xml:space="preserve">https://biocodex6--c.vf.force.com/0014L00000KG7r3QAD</t>
  </si>
  <si>
    <t xml:space="preserve">MELIKSETYAN</t>
  </si>
  <si>
    <t xml:space="preserve">GAYANE</t>
  </si>
  <si>
    <t xml:space="preserve">MELIKSETYAN GAYANE</t>
  </si>
  <si>
    <t xml:space="preserve">74 AVENUE PAUL DOUMER</t>
  </si>
  <si>
    <t xml:space="preserve">https://biocodex6--c.vf.force.com/0014L00000KFpr4QAD</t>
  </si>
  <si>
    <t xml:space="preserve">https://annuairesante.ameli.fr/professionnels-de-sante/recherche/fiche-detaillee-B7c1mzcwMzC6.html</t>
  </si>
  <si>
    <t xml:space="preserve">BARUCH</t>
  </si>
  <si>
    <t xml:space="preserve">BARUCH DAN</t>
  </si>
  <si>
    <t xml:space="preserve">https://biocodex6--c.vf.force.com/0014L00000KFRqIQAX</t>
  </si>
  <si>
    <t xml:space="preserve">https://annuairesante.ameli.fr/professionnels-de-sante/recherche/fiche-detaillee-B7c1ljc2NTWx.html</t>
  </si>
  <si>
    <t xml:space="preserve">13:00-14:00(D)
09:00-11:40(R)</t>
  </si>
  <si>
    <t xml:space="preserve">13:00-14:00(D)
09:00-12:00(R)</t>
  </si>
  <si>
    <t xml:space="preserve">14:00-15:00(D)
15:00-18:00(R)</t>
  </si>
  <si>
    <t xml:space="preserve">DENISTY</t>
  </si>
  <si>
    <t xml:space="preserve">MICHEL PATRICK</t>
  </si>
  <si>
    <t xml:space="preserve">DENISTY MICHEL PATRICK</t>
  </si>
  <si>
    <t xml:space="preserve">38 RUE DE LEVIS</t>
  </si>
  <si>
    <t xml:space="preserve">01 42 27 69 33</t>
  </si>
  <si>
    <t xml:space="preserve">https://biocodex6--c.vf.force.com/0014L00000KFaFdQAL</t>
  </si>
  <si>
    <t xml:space="preserve">https://annuairesante.ameli.fr/professionnels-de-sante/recherche/fiche-detaillee-B7c1kTMzODa2.html</t>
  </si>
  <si>
    <t xml:space="preserve">VERMES</t>
  </si>
  <si>
    <t xml:space="preserve">VERMES CATHERINE</t>
  </si>
  <si>
    <t xml:space="preserve">60 RUE DES MATHURINS</t>
  </si>
  <si>
    <t xml:space="preserve">01 40 17 09 11</t>
  </si>
  <si>
    <t xml:space="preserve">https://biocodex6--c.vf.force.com/0014L00000KG5EQQA1</t>
  </si>
  <si>
    <t xml:space="preserve">https://annuairesante.ameli.fr/professionnels-de-sante/recherche/fiche-detaillee-B7c1lDE5OTaz.html</t>
  </si>
  <si>
    <t xml:space="preserve">EMILIE PATRICIA</t>
  </si>
  <si>
    <t xml:space="preserve">89 RUE DU COMMERCE</t>
  </si>
  <si>
    <t xml:space="preserve">01 42 50 40 61</t>
  </si>
  <si>
    <t xml:space="preserve">https://biocodex6--c.vf.force.com/0014L00000KFQB1QAP</t>
  </si>
  <si>
    <t xml:space="preserve">JOUANJEAN</t>
  </si>
  <si>
    <t xml:space="preserve">JOUANJEAN BERNARD</t>
  </si>
  <si>
    <t xml:space="preserve">TRAV
HOMEO</t>
  </si>
  <si>
    <t xml:space="preserve">22 RUE BEAUJON</t>
  </si>
  <si>
    <t xml:space="preserve">RUE BEAUJON</t>
  </si>
  <si>
    <t xml:space="preserve">01 47 66 46 32</t>
  </si>
  <si>
    <t xml:space="preserve">https://biocodex6--c.vf.force.com/0014L00000KFkA9QAL</t>
  </si>
  <si>
    <t xml:space="preserve">https://annuairesante.ameli.fr/professionnels-de-sante/recherche/fiche-detaillee-B7c1ljcwMzKx.html</t>
  </si>
  <si>
    <t xml:space="preserve">DAOUI</t>
  </si>
  <si>
    <t xml:space="preserve">SAMIR</t>
  </si>
  <si>
    <t xml:space="preserve">DAOUI SAMIR</t>
  </si>
  <si>
    <t xml:space="preserve">7 AVENUE DU PRESIDENT WILSON</t>
  </si>
  <si>
    <t xml:space="preserve">01 40 55 00 26</t>
  </si>
  <si>
    <t xml:space="preserve">https://biocodex6--c.vf.force.com/0014L00000KFYHkQAP</t>
  </si>
  <si>
    <t xml:space="preserve">OUACHEE</t>
  </si>
  <si>
    <t xml:space="preserve">ODILE MYRIAM</t>
  </si>
  <si>
    <t xml:space="preserve">OUACHEE ODILE MYRIAM</t>
  </si>
  <si>
    <t xml:space="preserve">33 RUE JOUVENET</t>
  </si>
  <si>
    <t xml:space="preserve">RUE JOUVENET</t>
  </si>
  <si>
    <t xml:space="preserve">01 46 47 06 15</t>
  </si>
  <si>
    <t xml:space="preserve">https://biocodex6--c.vf.force.com/0014L00000KFuH1QAL</t>
  </si>
  <si>
    <t xml:space="preserve">https://annuairesante.ameli.fr/professionnels-de-sante/recherche/fiche-detaillee-B7c1ljszNjq1.html</t>
  </si>
  <si>
    <t xml:space="preserve">RATIO</t>
  </si>
  <si>
    <t xml:space="preserve">RATIO ANDRE</t>
  </si>
  <si>
    <t xml:space="preserve">67 BOULEVARD DE COURCELLES</t>
  </si>
  <si>
    <t xml:space="preserve">01 47 66 89 99</t>
  </si>
  <si>
    <t xml:space="preserve">https://biocodex6--c.vf.force.com/0014L00000KFz4pQAD</t>
  </si>
  <si>
    <t xml:space="preserve">RAPP</t>
  </si>
  <si>
    <t xml:space="preserve">RAPP ANNIE</t>
  </si>
  <si>
    <t xml:space="preserve">06 80 87 01 52</t>
  </si>
  <si>
    <t xml:space="preserve">https://biocodex6--c.vf.force.com/0014L00000KFOtZQAX</t>
  </si>
  <si>
    <t xml:space="preserve">https://annuairesante.ameli.fr/professionnels-de-sante/recherche/fiche-detaillee-B7c1ljEzMDWz.html</t>
  </si>
  <si>
    <t xml:space="preserve">DESANGES ZABE</t>
  </si>
  <si>
    <t xml:space="preserve">DESANGES ZABE CAROLE</t>
  </si>
  <si>
    <t xml:space="preserve">5 RUE FAUSTIN HELIE</t>
  </si>
  <si>
    <t xml:space="preserve">RUE FAUSTIN HELIE</t>
  </si>
  <si>
    <t xml:space="preserve">01 45 03 53 63</t>
  </si>
  <si>
    <t xml:space="preserve">https://biocodex6--c.vf.force.com/0014L00000KG6vVQAT</t>
  </si>
  <si>
    <t xml:space="preserve">https://annuairesante.ameli.fr/professionnels-de-sante/recherche/fiche-detaillee-B7c1lTY0Nju0.html</t>
  </si>
  <si>
    <t xml:space="preserve">RENARD</t>
  </si>
  <si>
    <t xml:space="preserve">RENARD MARIE CHRISTINE</t>
  </si>
  <si>
    <t xml:space="preserve">13 AVENUE DU MARECHAL FRANCHET D ESPEREY</t>
  </si>
  <si>
    <t xml:space="preserve">AVENUE DU MARECHAL FRANCHET D ESPEREY</t>
  </si>
  <si>
    <t xml:space="preserve">01 40 50 82 42</t>
  </si>
  <si>
    <t xml:space="preserve">https://biocodex6--c.vf.force.com/0014L00000KFyaIQAT</t>
  </si>
  <si>
    <t xml:space="preserve">https://annuairesante.ameli.fr/professionnels-de-sante/recherche/fiche-detaillee-B7c1kTA4NDaw.html</t>
  </si>
  <si>
    <t xml:space="preserve">16:00-20:00(R)</t>
  </si>
  <si>
    <t xml:space="preserve">DUBOST</t>
  </si>
  <si>
    <t xml:space="preserve">DUBOST MARTINE</t>
  </si>
  <si>
    <t xml:space="preserve">21 PLACE JOFFRE</t>
  </si>
  <si>
    <t xml:space="preserve">01 44 42 39 28</t>
  </si>
  <si>
    <t xml:space="preserve">https://biocodex6--c.vf.force.com/0014L00000KFYzQQAX</t>
  </si>
  <si>
    <t xml:space="preserve">YAHYABEY</t>
  </si>
  <si>
    <t xml:space="preserve">KADER</t>
  </si>
  <si>
    <t xml:space="preserve">YAHYABEY KADER</t>
  </si>
  <si>
    <t xml:space="preserve">16 RUE ST ROMAIN</t>
  </si>
  <si>
    <t xml:space="preserve">RUE ST ROMAIN</t>
  </si>
  <si>
    <t xml:space="preserve">01 45 48 06 36</t>
  </si>
  <si>
    <t xml:space="preserve">https://biocodex6--c.vf.force.com/0014L00000KG6p4QAD</t>
  </si>
  <si>
    <t xml:space="preserve">EVRARD</t>
  </si>
  <si>
    <t xml:space="preserve">MONIQUE MAYA</t>
  </si>
  <si>
    <t xml:space="preserve">EVRARD MONIQUE MAYA</t>
  </si>
  <si>
    <t xml:space="preserve">https://biocodex6--c.vf.force.com/0014L00000KFcsyQAD</t>
  </si>
  <si>
    <t xml:space="preserve">MIKAYELYAN</t>
  </si>
  <si>
    <t xml:space="preserve">MIKAYELYAN MARIE</t>
  </si>
  <si>
    <t xml:space="preserve">mm.gyneco@hotmail.com</t>
  </si>
  <si>
    <t xml:space="preserve">https://biocodex6--c.vf.force.com/0014L00000KFsFhQAL</t>
  </si>
  <si>
    <t xml:space="preserve">https://annuairesante.ameli.fr/professionnels-de-sante/recherche/fiche-detaillee-B7c1lTAxNjGw.html</t>
  </si>
  <si>
    <t xml:space="preserve">GENOTELLE</t>
  </si>
  <si>
    <t xml:space="preserve">GENOTELLE NICOLAS</t>
  </si>
  <si>
    <t xml:space="preserve">1 PLACE JULES RENARD</t>
  </si>
  <si>
    <t xml:space="preserve">PLACE JULES RENARD</t>
  </si>
  <si>
    <t xml:space="preserve">01 56 79 67 27</t>
  </si>
  <si>
    <t xml:space="preserve">https://biocodex6--c.vf.force.com/0014L00000KFgQeQAL</t>
  </si>
  <si>
    <t xml:space="preserve">TEYSSEDOU MAIRE</t>
  </si>
  <si>
    <t xml:space="preserve">TEYSSEDOU MAIRE ANNE</t>
  </si>
  <si>
    <t xml:space="preserve">46 RUE LAURISTON</t>
  </si>
  <si>
    <t xml:space="preserve">01 53 65 87 70</t>
  </si>
  <si>
    <t xml:space="preserve">https://biocodex6--c.vf.force.com/0014L00000KG3wOQAT</t>
  </si>
  <si>
    <t xml:space="preserve">HUET</t>
  </si>
  <si>
    <t xml:space="preserve">HUET CHRISTIAN</t>
  </si>
  <si>
    <t xml:space="preserve">https://biocodex6--c.vf.force.com/0014L00000KG7ATQA1</t>
  </si>
  <si>
    <t xml:space="preserve">MALARTIC</t>
  </si>
  <si>
    <t xml:space="preserve">MALARTIC MIREILLE</t>
  </si>
  <si>
    <t xml:space="preserve">https://biocodex6--c.vf.force.com/0014L00000KFqnOQAT</t>
  </si>
  <si>
    <t xml:space="preserve">CONTE</t>
  </si>
  <si>
    <t xml:space="preserve">CONTE MARTINE</t>
  </si>
  <si>
    <t xml:space="preserve">https://biocodex6--c.vf.force.com/0014L00000KFlIZQA1</t>
  </si>
  <si>
    <t xml:space="preserve">MIRCHER</t>
  </si>
  <si>
    <t xml:space="preserve">CLOTILDE</t>
  </si>
  <si>
    <t xml:space="preserve">MIRCHER CLOTILDE</t>
  </si>
  <si>
    <t xml:space="preserve">https://biocodex6--c.vf.force.com/0014L00000KFsPuQAL</t>
  </si>
  <si>
    <t xml:space="preserve">JOST</t>
  </si>
  <si>
    <t xml:space="preserve">JOST DANIEL</t>
  </si>
  <si>
    <t xml:space="preserve">https://biocodex6--c.vf.force.com/0014L00000KFk88QAD</t>
  </si>
  <si>
    <t xml:space="preserve">CHATENOUD</t>
  </si>
  <si>
    <t xml:space="preserve">LUCIENNE</t>
  </si>
  <si>
    <t xml:space="preserve">CHATENOUD LUCIENNE</t>
  </si>
  <si>
    <t xml:space="preserve">01 44 49 53 72</t>
  </si>
  <si>
    <t xml:space="preserve">https://biocodex6--c.vf.force.com/0014L00000KFfTYQA1</t>
  </si>
  <si>
    <t xml:space="preserve">MAURICE PIERRE</t>
  </si>
  <si>
    <t xml:space="preserve">105 BOULEVARD PEREIRE</t>
  </si>
  <si>
    <t xml:space="preserve">https://biocodex6--c.vf.force.com/0014L00000KFqt8QAD</t>
  </si>
  <si>
    <t xml:space="preserve">https://annuairesante.ameli.fr/professionnels-de-sante/recherche/fiche-detaillee-B7c1mjA1ODGy.html</t>
  </si>
  <si>
    <t xml:space="preserve">GOZLAN RUTH</t>
  </si>
  <si>
    <t xml:space="preserve">35 RUE ST DOMINIQUE</t>
  </si>
  <si>
    <t xml:space="preserve">https://biocodex6--c.vf.force.com/0014L00000KFglMQAT</t>
  </si>
  <si>
    <t xml:space="preserve">ZENNARO</t>
  </si>
  <si>
    <t xml:space="preserve">MARIA CHRISTINA</t>
  </si>
  <si>
    <t xml:space="preserve">ZENNARO MARIA CHRISTINA</t>
  </si>
  <si>
    <t xml:space="preserve">01 56 09 38 81</t>
  </si>
  <si>
    <t xml:space="preserve">https://biocodex6--c.vf.force.com/0014L00000KG7wYQAT</t>
  </si>
  <si>
    <t xml:space="preserve">DEROSSI</t>
  </si>
  <si>
    <t xml:space="preserve">DEROSSI ARNAUD</t>
  </si>
  <si>
    <t xml:space="preserve">https://biocodex6--c.vf.force.com/0014L00000KFXR5QAP</t>
  </si>
  <si>
    <t xml:space="preserve">BIBERSON</t>
  </si>
  <si>
    <t xml:space="preserve">BIBERSON PHILIPPE</t>
  </si>
  <si>
    <t xml:space="preserve">1 ALLEE PIERRE BURELLE</t>
  </si>
  <si>
    <t xml:space="preserve">ALLEE PIERRE BURELLE</t>
  </si>
  <si>
    <t xml:space="preserve">01 55 63 32 32</t>
  </si>
  <si>
    <t xml:space="preserve">https://biocodex6--c.vf.force.com/0014L00000KFUFsQAP</t>
  </si>
  <si>
    <t xml:space="preserve">BILLARD</t>
  </si>
  <si>
    <t xml:space="preserve">BILLARD FRANCOISE</t>
  </si>
  <si>
    <t xml:space="preserve">63 RUE OLIVIER DE SERRES</t>
  </si>
  <si>
    <t xml:space="preserve">01 53 68 16 90</t>
  </si>
  <si>
    <t xml:space="preserve">https://biocodex6--c.vf.force.com/0014L00000KFUN3QAP</t>
  </si>
  <si>
    <t xml:space="preserve">BERNARD CHRISTOPHE</t>
  </si>
  <si>
    <t xml:space="preserve">2 RUE ANDRE PASCAL</t>
  </si>
  <si>
    <t xml:space="preserve">RUE ANDRE PASCAL</t>
  </si>
  <si>
    <t xml:space="preserve">01 45 24 83 88</t>
  </si>
  <si>
    <t xml:space="preserve">https://biocodex6--c.vf.force.com/0014L00000KFSyeQAH</t>
  </si>
  <si>
    <t xml:space="preserve">SARFATI</t>
  </si>
  <si>
    <t xml:space="preserve">SARFATI PAULINE</t>
  </si>
  <si>
    <t xml:space="preserve">https://biocodex6--c.vf.force.com/0014L00000KG9F4QAL</t>
  </si>
  <si>
    <t xml:space="preserve">https://annuairesante.ameli.fr/professionnels-de-sante/recherche/fiche-detaillee-B7c1kjc4NTa2.html</t>
  </si>
  <si>
    <t xml:space="preserve">07:30-13:00(?)</t>
  </si>
  <si>
    <t xml:space="preserve">09:00-13:00(?)</t>
  </si>
  <si>
    <t xml:space="preserve">TAYLOR</t>
  </si>
  <si>
    <t xml:space="preserve">TAYLOR MELISSA</t>
  </si>
  <si>
    <t xml:space="preserve">https://biocodex6--c.vf.force.com/0014L00000KG3aNQAT</t>
  </si>
  <si>
    <t xml:space="preserve">MEYER FRANCISCO</t>
  </si>
  <si>
    <t xml:space="preserve">MEYER FRANCISCO ANNE LAURE</t>
  </si>
  <si>
    <t xml:space="preserve">https://biocodex6--c.vf.force.com/0014L00000KFqHgQAL</t>
  </si>
  <si>
    <t xml:space="preserve">AMIEL</t>
  </si>
  <si>
    <t xml:space="preserve">JEANNE</t>
  </si>
  <si>
    <t xml:space="preserve">AMIEL JEANNE</t>
  </si>
  <si>
    <t xml:space="preserve">GEN</t>
  </si>
  <si>
    <t xml:space="preserve">https://biocodex6--c.vf.force.com/0014L00000KFRmlQAH</t>
  </si>
  <si>
    <t xml:space="preserve">BAUJAT DE VOGUE</t>
  </si>
  <si>
    <t xml:space="preserve">BAUJAT DE VOGUE GENEVIEVE</t>
  </si>
  <si>
    <t xml:space="preserve">https://biocodex6--c.vf.force.com/0014L00000KFUfnQAH</t>
  </si>
  <si>
    <t xml:space="preserve">BENDAVID</t>
  </si>
  <si>
    <t xml:space="preserve">BENDAVID MATTHIEU</t>
  </si>
  <si>
    <t xml:space="preserve">https://biocodex6--c.vf.force.com/0014L00000KFPF3QAP</t>
  </si>
  <si>
    <t xml:space="preserve">MARCEL</t>
  </si>
  <si>
    <t xml:space="preserve">BENICHOU MARCEL</t>
  </si>
  <si>
    <t xml:space="preserve">https://biocodex6--c.vf.force.com/0014L00000KFSYjQAP</t>
  </si>
  <si>
    <t xml:space="preserve">[Timestamp('2023-11-21 11:30:00'), Timestamp('2024-02-26 15:30:00')]</t>
  </si>
  <si>
    <t xml:space="preserve">BERNARD JEAN PIERRE</t>
  </si>
  <si>
    <t xml:space="preserve">01 44 49 40 30 // 01 40 72 33 92</t>
  </si>
  <si>
    <t xml:space="preserve">https://biocodex6--c.vf.force.com/0014L00000KFSuuQAH</t>
  </si>
  <si>
    <t xml:space="preserve">https://annuairesante.ameli.fr/professionnels-de-sante/recherche/fiche-detaillee-B7c1lTY1Mzuw.html</t>
  </si>
  <si>
    <t xml:space="preserve">JACQUEMARD</t>
  </si>
  <si>
    <t xml:space="preserve">JACQUEMARD FRANCOIS</t>
  </si>
  <si>
    <t xml:space="preserve">14 RUE CHOMEL</t>
  </si>
  <si>
    <t xml:space="preserve">01 45 48 07 60</t>
  </si>
  <si>
    <t xml:space="preserve">https://biocodex6--c.vf.force.com/0014L00000KFj5EQAT</t>
  </si>
  <si>
    <t xml:space="preserve">https://annuairesante.ameli.fr/professionnels-de-sante/recherche/fiche-detaillee-B7c1lTM3NTK1.html</t>
  </si>
  <si>
    <t xml:space="preserve">CAHN</t>
  </si>
  <si>
    <t xml:space="preserve">CAHN ALICE</t>
  </si>
  <si>
    <t xml:space="preserve">DU BOUCHER</t>
  </si>
  <si>
    <t xml:space="preserve">DU BOUCHER ELISABETH</t>
  </si>
  <si>
    <t xml:space="preserve">https://biocodex6--c.vf.force.com/0014L00000KFbRuQAL</t>
  </si>
  <si>
    <t xml:space="preserve">VARGAS POUSSOU</t>
  </si>
  <si>
    <t xml:space="preserve">ROSA</t>
  </si>
  <si>
    <t xml:space="preserve">VARGAS POUSSOU ROSA</t>
  </si>
  <si>
    <t xml:space="preserve">https://biocodex6--c.vf.force.com/0014L00000KG4R7QAL</t>
  </si>
  <si>
    <t xml:space="preserve">SAIZOU</t>
  </si>
  <si>
    <t xml:space="preserve">SAIZOU CAROLE</t>
  </si>
  <si>
    <t xml:space="preserve">https://biocodex6--c.vf.force.com/0014L00000KG1DVQA1</t>
  </si>
  <si>
    <t xml:space="preserve">https://annuairesante.ameli.fr/professionnels-de-sante/recherche/fiche-detaillee-B7c1lDM2MTS6.html</t>
  </si>
  <si>
    <t xml:space="preserve">BERNARD JEAN FRANCOIS</t>
  </si>
  <si>
    <t xml:space="preserve">11 RUE DUPLEIX</t>
  </si>
  <si>
    <t xml:space="preserve">01 45 67 98 76</t>
  </si>
  <si>
    <t xml:space="preserve">https://biocodex6--c.vf.force.com/0014L00000KFSuqQAH</t>
  </si>
  <si>
    <t xml:space="preserve">via tél</t>
  </si>
  <si>
    <t xml:space="preserve">JONES</t>
  </si>
  <si>
    <t xml:space="preserve">PETER</t>
  </si>
  <si>
    <t xml:space="preserve">JONES PETER</t>
  </si>
  <si>
    <t xml:space="preserve">https://biocodex6--c.vf.force.com/0014L00000KHA40QAH</t>
  </si>
  <si>
    <t xml:space="preserve">SABERAN</t>
  </si>
  <si>
    <t xml:space="preserve">FOAD</t>
  </si>
  <si>
    <t xml:space="preserve">SABERAN FOAD</t>
  </si>
  <si>
    <t xml:space="preserve">19 AVENUE DE LA BOURDONNAIS</t>
  </si>
  <si>
    <t xml:space="preserve">01 45 55 25 05</t>
  </si>
  <si>
    <t xml:space="preserve">https://biocodex6--c.vf.force.com/0014L00000KG029QAD</t>
  </si>
  <si>
    <t xml:space="preserve">POLACK</t>
  </si>
  <si>
    <t xml:space="preserve">J CLAUDE</t>
  </si>
  <si>
    <t xml:space="preserve">POLACK J CLAUDE</t>
  </si>
  <si>
    <t xml:space="preserve">https://biocodex6--c.vf.force.com/0014L00000KFwVQQA1</t>
  </si>
  <si>
    <t xml:space="preserve">AZEROUAL</t>
  </si>
  <si>
    <t xml:space="preserve">AZEROUAL JACOB</t>
  </si>
  <si>
    <t xml:space="preserve">71 RUE DU COMMERCE</t>
  </si>
  <si>
    <t xml:space="preserve">01 45 30 10 30</t>
  </si>
  <si>
    <t xml:space="preserve">https://biocodex6--c.vf.force.com/0014L00000KFRAPQA5</t>
  </si>
  <si>
    <t xml:space="preserve">https://annuairesante.ameli.fr/professionnels-de-sante/recherche/fiche-detaillee-B7c1lzMyMTa2.html</t>
  </si>
  <si>
    <t xml:space="preserve">CHAPUT SAVILLE</t>
  </si>
  <si>
    <t xml:space="preserve">CHAPUT SAVILLE CHRISTIAN</t>
  </si>
  <si>
    <t xml:space="preserve">24 AVENUE DU PRESIDENT WILSON</t>
  </si>
  <si>
    <t xml:space="preserve">01 47 55 61 62</t>
  </si>
  <si>
    <t xml:space="preserve">https://biocodex6--c.vf.force.com/0014L00000KFOm6QAH</t>
  </si>
  <si>
    <t xml:space="preserve">PORGE</t>
  </si>
  <si>
    <t xml:space="preserve">ERICK</t>
  </si>
  <si>
    <t xml:space="preserve">PORGE ERICK</t>
  </si>
  <si>
    <t xml:space="preserve">1 RUE MIZON</t>
  </si>
  <si>
    <t xml:space="preserve">RUE MIZON</t>
  </si>
  <si>
    <t xml:space="preserve">01 43 22 14 44</t>
  </si>
  <si>
    <t xml:space="preserve">https://biocodex6--c.vf.force.com/0014L00000KFwdnQAD</t>
  </si>
  <si>
    <t xml:space="preserve">BAGOT</t>
  </si>
  <si>
    <t xml:space="preserve">BAGOT CHRISTOPHE</t>
  </si>
  <si>
    <t xml:space="preserve">4 AVENUE D EYLAU</t>
  </si>
  <si>
    <t xml:space="preserve">https://biocodex6--c.vf.force.com/0014L00000KFRKOQA5</t>
  </si>
  <si>
    <t xml:space="preserve">AUTRAN</t>
  </si>
  <si>
    <t xml:space="preserve">AUTRAN MARC</t>
  </si>
  <si>
    <t xml:space="preserve">15 RUE LAURISTON</t>
  </si>
  <si>
    <t xml:space="preserve">01 45 02 12 85</t>
  </si>
  <si>
    <t xml:space="preserve">https://biocodex6--c.vf.force.com/0014L00000KFR4YQAX</t>
  </si>
  <si>
    <t xml:space="preserve">JOST VINCENT</t>
  </si>
  <si>
    <t xml:space="preserve">33 RUE SEBASTIEN MERCIER</t>
  </si>
  <si>
    <t xml:space="preserve">01 40 59 80 32</t>
  </si>
  <si>
    <t xml:space="preserve">https://biocodex6--c.vf.force.com/0014L00000KFhUhQAL</t>
  </si>
  <si>
    <t xml:space="preserve">[Timestamp('2024-01-11 12:00:00'), Timestamp('2024-06-05 08:30:00')]</t>
  </si>
  <si>
    <t xml:space="preserve">via SMS</t>
  </si>
  <si>
    <t xml:space="preserve">BELAMICH</t>
  </si>
  <si>
    <t xml:space="preserve">BELAMICH PATRICK</t>
  </si>
  <si>
    <t xml:space="preserve">30 RUE LETELLIER</t>
  </si>
  <si>
    <t xml:space="preserve">RUE LETELLIER</t>
  </si>
  <si>
    <t xml:space="preserve">01 45 71 00 11</t>
  </si>
  <si>
    <t xml:space="preserve">https://biocodex6--c.vf.force.com/0014L00000KFSJvQAP</t>
  </si>
  <si>
    <t xml:space="preserve">GELBER</t>
  </si>
  <si>
    <t xml:space="preserve">GELBER THOMAS</t>
  </si>
  <si>
    <t xml:space="preserve">13 BOULEVARD DES INVALIDES</t>
  </si>
  <si>
    <t xml:space="preserve">01 45 55 50 80</t>
  </si>
  <si>
    <t xml:space="preserve">https://biocodex6--c.vf.force.com/0014L00000KFfWfQAL</t>
  </si>
  <si>
    <t xml:space="preserve">ROBERT NICOLAS</t>
  </si>
  <si>
    <t xml:space="preserve">HUET ROBERT NICOLAS</t>
  </si>
  <si>
    <t xml:space="preserve">45 RUE DE BOURGOGNE</t>
  </si>
  <si>
    <t xml:space="preserve">RUE DE BOURGOGNE</t>
  </si>
  <si>
    <t xml:space="preserve">01 42 96 51 37</t>
  </si>
  <si>
    <t xml:space="preserve">https://biocodex6--c.vf.force.com/0014L00000KFjCMQA1</t>
  </si>
  <si>
    <t xml:space="preserve">TARRAGANO</t>
  </si>
  <si>
    <t xml:space="preserve">TARRAGANO OLIVIER</t>
  </si>
  <si>
    <t xml:space="preserve">54 RUE DE BOURGOGNE</t>
  </si>
  <si>
    <t xml:space="preserve">01 47 53 80 03</t>
  </si>
  <si>
    <t xml:space="preserve">https://biocodex6--c.vf.force.com/0014L00000KG2dnQAD</t>
  </si>
  <si>
    <t xml:space="preserve">FUCHS</t>
  </si>
  <si>
    <t xml:space="preserve">FUCHS CHRISTIAN</t>
  </si>
  <si>
    <t xml:space="preserve">10 RUE DE ST SIMON</t>
  </si>
  <si>
    <t xml:space="preserve">RUE DE ST SIMON</t>
  </si>
  <si>
    <t xml:space="preserve">01 42 22 41 55</t>
  </si>
  <si>
    <t xml:space="preserve">https://biocodex6--c.vf.force.com/0014L00000KFeeqQAD</t>
  </si>
  <si>
    <t xml:space="preserve">DE LAROQUE</t>
  </si>
  <si>
    <t xml:space="preserve">DE LAROQUE FRANCOIS</t>
  </si>
  <si>
    <t xml:space="preserve">145 RUE DE ROME</t>
  </si>
  <si>
    <t xml:space="preserve">09 53 60 53 93</t>
  </si>
  <si>
    <t xml:space="preserve">https://biocodex6--c.vf.force.com/0014L00000KFWaUQAX</t>
  </si>
  <si>
    <t xml:space="preserve">[Timestamp('2024-01-16 13:30:00'), Timestamp('2024-06-07 10:00:00')]</t>
  </si>
  <si>
    <t xml:space="preserve">BOUGUERET</t>
  </si>
  <si>
    <t xml:space="preserve">BOUGUERET EDOUARD</t>
  </si>
  <si>
    <t xml:space="preserve">https://biocodex6--c.vf.force.com/0014L00000KFVmcQAH</t>
  </si>
  <si>
    <t xml:space="preserve">BLANQUER</t>
  </si>
  <si>
    <t xml:space="preserve">BLANQUER ALBERT</t>
  </si>
  <si>
    <t xml:space="preserve">4 BOULEVARD PEREIRE</t>
  </si>
  <si>
    <t xml:space="preserve">01 45 53 27 81</t>
  </si>
  <si>
    <t xml:space="preserve">https://biocodex6--c.vf.force.com/0014L00000KFUPxQAP</t>
  </si>
  <si>
    <t xml:space="preserve">JEAN MAURICE</t>
  </si>
  <si>
    <t xml:space="preserve">BENICHOU JEAN MAURICE</t>
  </si>
  <si>
    <t xml:space="preserve">18 AVENUE CARNOT</t>
  </si>
  <si>
    <t xml:space="preserve">01 45 74 32 40</t>
  </si>
  <si>
    <t xml:space="preserve">https://biocodex6--c.vf.force.com/0014L00000KFSloQAH</t>
  </si>
  <si>
    <t xml:space="preserve">DELANOE</t>
  </si>
  <si>
    <t xml:space="preserve">DELANOE DANIEL</t>
  </si>
  <si>
    <t xml:space="preserve">https://biocodex6--c.vf.force.com/0014L00000KFZdbQAH</t>
  </si>
  <si>
    <t xml:space="preserve">KADOURI</t>
  </si>
  <si>
    <t xml:space="preserve">ALANE</t>
  </si>
  <si>
    <t xml:space="preserve">KADOURI ALANE</t>
  </si>
  <si>
    <t xml:space="preserve">https://biocodex6--c.vf.force.com/0014L00000KFiNKQA1</t>
  </si>
  <si>
    <t xml:space="preserve">LE VAGUERESE</t>
  </si>
  <si>
    <t xml:space="preserve">LE VAGUERESE LAURENT</t>
  </si>
  <si>
    <t xml:space="preserve">6 RUE MIZON</t>
  </si>
  <si>
    <t xml:space="preserve">01 43 22 65 34</t>
  </si>
  <si>
    <t xml:space="preserve">https://biocodex6--c.vf.force.com/0014L00000KFnISQA1</t>
  </si>
  <si>
    <t xml:space="preserve">LOTERSZTAJN</t>
  </si>
  <si>
    <t xml:space="preserve">LOTERSZTAJN SERGE</t>
  </si>
  <si>
    <t xml:space="preserve">3 RUE GOUNOD</t>
  </si>
  <si>
    <t xml:space="preserve">01 44 40 45 92</t>
  </si>
  <si>
    <t xml:space="preserve">https://biocodex6--c.vf.force.com/0014L00000KFoozQAD</t>
  </si>
  <si>
    <t xml:space="preserve">LEBREC</t>
  </si>
  <si>
    <t xml:space="preserve">LEBREC SEBASTIEN</t>
  </si>
  <si>
    <t xml:space="preserve">https://biocodex6--c.vf.force.com/0014L00000KFllFQAT</t>
  </si>
  <si>
    <t xml:space="preserve">SIDOUN</t>
  </si>
  <si>
    <t xml:space="preserve">SIDOUN PAUL</t>
  </si>
  <si>
    <t xml:space="preserve">95 RUE DE MONCEAU</t>
  </si>
  <si>
    <t xml:space="preserve">01 53 21 00 27</t>
  </si>
  <si>
    <t xml:space="preserve">https://biocodex6--c.vf.force.com/0014L00000KG1y4QAD</t>
  </si>
  <si>
    <t xml:space="preserve">ZIGANTE</t>
  </si>
  <si>
    <t xml:space="preserve">ZIGANTE FRANCK</t>
  </si>
  <si>
    <t xml:space="preserve">7 AVENUE DUQUESNE</t>
  </si>
  <si>
    <t xml:space="preserve">01 42 74 32 01</t>
  </si>
  <si>
    <t xml:space="preserve">https://biocodex6--c.vf.force.com/0014L00000KG6BbQAL</t>
  </si>
  <si>
    <t xml:space="preserve">TANNEAU</t>
  </si>
  <si>
    <t xml:space="preserve">TANNEAU ERIC</t>
  </si>
  <si>
    <t xml:space="preserve">11 AVENUE MAC MAHON</t>
  </si>
  <si>
    <t xml:space="preserve">01 44 09 73 69</t>
  </si>
  <si>
    <t xml:space="preserve">https://biocodex6--c.vf.force.com/0014L00000KG3fGQAT</t>
  </si>
  <si>
    <t xml:space="preserve">LABLANCHY</t>
  </si>
  <si>
    <t xml:space="preserve">LABLANCHY JEAN PIERRE</t>
  </si>
  <si>
    <t xml:space="preserve">105 AVENUE VICTOR HUGO</t>
  </si>
  <si>
    <t xml:space="preserve">01 47 55 44 25</t>
  </si>
  <si>
    <t xml:space="preserve">https://biocodex6--c.vf.force.com/0014L00000KFlCJQA1</t>
  </si>
  <si>
    <t xml:space="preserve">ROBERT PARISET</t>
  </si>
  <si>
    <t xml:space="preserve">ROBERT PARISET ANNE</t>
  </si>
  <si>
    <t xml:space="preserve">28 RUE DESAIX</t>
  </si>
  <si>
    <t xml:space="preserve">01 45 75 40 16</t>
  </si>
  <si>
    <t xml:space="preserve">https://biocodex6--c.vf.force.com/0014L00000KG1KzQAL</t>
  </si>
  <si>
    <t xml:space="preserve">KOVESS MASFETY</t>
  </si>
  <si>
    <t xml:space="preserve">VIVIANE</t>
  </si>
  <si>
    <t xml:space="preserve">KOVESS MASFETY VIVIANE</t>
  </si>
  <si>
    <t xml:space="preserve">https://biocodex6--c.vf.force.com/0014L00000KFkh8QAD</t>
  </si>
  <si>
    <t xml:space="preserve">NOUALLET</t>
  </si>
  <si>
    <t xml:space="preserve">NOUALLET FRANCOISE</t>
  </si>
  <si>
    <t xml:space="preserve">44 RUE GUTENBERG</t>
  </si>
  <si>
    <t xml:space="preserve">RUE GUTENBERG</t>
  </si>
  <si>
    <t xml:space="preserve">01 40 60 96 89</t>
  </si>
  <si>
    <t xml:space="preserve">https://biocodex6--c.vf.force.com/0014L00000KFtscQAD</t>
  </si>
  <si>
    <t xml:space="preserve">MOZZICONACCI</t>
  </si>
  <si>
    <t xml:space="preserve">MOZZICONACCI ROBERT</t>
  </si>
  <si>
    <t xml:space="preserve">1 BOULEVARD DU MONTPARNASSE</t>
  </si>
  <si>
    <t xml:space="preserve">01 45 67 00 91</t>
  </si>
  <si>
    <t xml:space="preserve">https://biocodex6--c.vf.force.com/0014L00000KFt0HQAT</t>
  </si>
  <si>
    <t xml:space="preserve">AUSTRUY</t>
  </si>
  <si>
    <t xml:space="preserve">AUSTRUY JEAN PAUL</t>
  </si>
  <si>
    <t xml:space="preserve">01 45 03 48 38</t>
  </si>
  <si>
    <t xml:space="preserve">https://biocodex6--c.vf.force.com/0014L00000KFvIdQAL</t>
  </si>
  <si>
    <t xml:space="preserve">ZACZYK</t>
  </si>
  <si>
    <t xml:space="preserve">ZACZYK CHRISTIAN</t>
  </si>
  <si>
    <t xml:space="preserve">01 47 20 00 46</t>
  </si>
  <si>
    <t xml:space="preserve">https://biocodex6--c.vf.force.com/0014L00000KG6wRQAT</t>
  </si>
  <si>
    <t xml:space="preserve">FREIHERR VON SECKENDORFF</t>
  </si>
  <si>
    <t xml:space="preserve">FREIHERR VON SECKENDORFF MARC</t>
  </si>
  <si>
    <t xml:space="preserve">10 RUE BREY</t>
  </si>
  <si>
    <t xml:space="preserve">01 45 74 93 60</t>
  </si>
  <si>
    <t xml:space="preserve">https://biocodex6--c.vf.force.com/0014L00000KG5TyQAL</t>
  </si>
  <si>
    <t xml:space="preserve">BRUNSCHWIG</t>
  </si>
  <si>
    <t xml:space="preserve">BRUNSCHWIG OLIVIER</t>
  </si>
  <si>
    <t xml:space="preserve">44 RUE ST FERDINAND</t>
  </si>
  <si>
    <t xml:space="preserve">01 40 68 02 09</t>
  </si>
  <si>
    <t xml:space="preserve">https://biocodex6--c.vf.force.com/0014L00000KFV0cQAH</t>
  </si>
  <si>
    <t xml:space="preserve">FLORESCO</t>
  </si>
  <si>
    <t xml:space="preserve">FLORESCO JEAN</t>
  </si>
  <si>
    <t xml:space="preserve">8 RUE DE DURAS</t>
  </si>
  <si>
    <t xml:space="preserve">RUE DE DURAS</t>
  </si>
  <si>
    <t xml:space="preserve">01 56 54 27 27</t>
  </si>
  <si>
    <t xml:space="preserve">https://biocodex6--c.vf.force.com/0014L00000KFdseQAD</t>
  </si>
  <si>
    <t xml:space="preserve">HERVIEU</t>
  </si>
  <si>
    <t xml:space="preserve">HERVIEU JEAN MICHEL</t>
  </si>
  <si>
    <t xml:space="preserve">01 44 56 00 65</t>
  </si>
  <si>
    <t xml:space="preserve">https://biocodex6--c.vf.force.com/0014L00000KFikjQAD</t>
  </si>
  <si>
    <t xml:space="preserve">WEILL TAVITIAN</t>
  </si>
  <si>
    <t xml:space="preserve">WEILL TAVITIAN NATHALIE</t>
  </si>
  <si>
    <t xml:space="preserve">15 RUE DE LA PLANCHE</t>
  </si>
  <si>
    <t xml:space="preserve">RUE DE LA PLANCHE</t>
  </si>
  <si>
    <t xml:space="preserve">01 42 84 09 59</t>
  </si>
  <si>
    <t xml:space="preserve">https://biocodex6--c.vf.force.com/0014L00000KG5U0QAL</t>
  </si>
  <si>
    <t xml:space="preserve">MEUT TERTO</t>
  </si>
  <si>
    <t xml:space="preserve">MEUT TERTO CATHERINE</t>
  </si>
  <si>
    <t xml:space="preserve">33 RUE ROUSSELET</t>
  </si>
  <si>
    <t xml:space="preserve">01 45 66 56 72</t>
  </si>
  <si>
    <t xml:space="preserve">https://biocodex6--c.vf.force.com/0014L00000KFrdKQAT</t>
  </si>
  <si>
    <t xml:space="preserve">COLOMBANI</t>
  </si>
  <si>
    <t xml:space="preserve">COLOMBANI JEAN NOEL</t>
  </si>
  <si>
    <t xml:space="preserve">12 RUE JEAN RICHEPIN</t>
  </si>
  <si>
    <t xml:space="preserve">01 45 04 41 21</t>
  </si>
  <si>
    <t xml:space="preserve">https://biocodex6--c.vf.force.com/0014L00000KFXDjQAP</t>
  </si>
  <si>
    <t xml:space="preserve">JEROME ERIC</t>
  </si>
  <si>
    <t xml:space="preserve">https://biocodex6--c.vf.force.com/0014L00000KFjwrQAD</t>
  </si>
  <si>
    <t xml:space="preserve">GRUPPER</t>
  </si>
  <si>
    <t xml:space="preserve">GRUPPER JEAN BERNARD</t>
  </si>
  <si>
    <t xml:space="preserve">https://biocodex6--c.vf.force.com/0014L00000KFhGlQAL</t>
  </si>
  <si>
    <t xml:space="preserve">VEGH</t>
  </si>
  <si>
    <t xml:space="preserve">VEGH ERIC</t>
  </si>
  <si>
    <t xml:space="preserve">13 RUE DE LA TREMOILLE</t>
  </si>
  <si>
    <t xml:space="preserve">https://biocodex6--c.vf.force.com/0014L00000KG595QAD</t>
  </si>
  <si>
    <t xml:space="preserve">HARLE</t>
  </si>
  <si>
    <t xml:space="preserve">HARLE ANTOINE</t>
  </si>
  <si>
    <t xml:space="preserve">146 BOULEVARD PEREIRE</t>
  </si>
  <si>
    <t xml:space="preserve">01 43 80 48 89</t>
  </si>
  <si>
    <t xml:space="preserve">https://biocodex6--c.vf.force.com/0014L00000KFiEGQA1</t>
  </si>
  <si>
    <t xml:space="preserve">D ASSIGNIES</t>
  </si>
  <si>
    <t xml:space="preserve">D ASSIGNIES HUBERT</t>
  </si>
  <si>
    <t xml:space="preserve">27 RUE FOURCROY</t>
  </si>
  <si>
    <t xml:space="preserve">01 42 27 73 05</t>
  </si>
  <si>
    <t xml:space="preserve">https://biocodex6--c.vf.force.com/0014L00000KFYKKQA5</t>
  </si>
  <si>
    <t xml:space="preserve">BELIER</t>
  </si>
  <si>
    <t xml:space="preserve">BELIER ALAIN</t>
  </si>
  <si>
    <t xml:space="preserve">59 RUE DE L ABBE GROULT</t>
  </si>
  <si>
    <t xml:space="preserve">01 45 31 03 06</t>
  </si>
  <si>
    <t xml:space="preserve">https://biocodex6--c.vf.force.com/0014L00000KFSfnQAH</t>
  </si>
  <si>
    <t xml:space="preserve">MIGNON</t>
  </si>
  <si>
    <t xml:space="preserve">MIGNON JEAN BAPTISTE</t>
  </si>
  <si>
    <t xml:space="preserve">149 RUE BLOMET</t>
  </si>
  <si>
    <t xml:space="preserve">01 48 28 98 33</t>
  </si>
  <si>
    <t xml:space="preserve">https://biocodex6--c.vf.force.com/0014L00000KFs8FQAT</t>
  </si>
  <si>
    <t xml:space="preserve">QUARTON MICHAUD</t>
  </si>
  <si>
    <t xml:space="preserve">QUARTON MICHAUD NATHALIE</t>
  </si>
  <si>
    <t xml:space="preserve">6 RUE BOUTARD</t>
  </si>
  <si>
    <t xml:space="preserve">RUE BOUTARD</t>
  </si>
  <si>
    <t xml:space="preserve">01 47 22 38 04</t>
  </si>
  <si>
    <t xml:space="preserve">https://biocodex6--c.vf.force.com/0014L00000KFiobQAD</t>
  </si>
  <si>
    <t xml:space="preserve">NASIO</t>
  </si>
  <si>
    <t xml:space="preserve">JUAN DAVID</t>
  </si>
  <si>
    <t xml:space="preserve">NASIO JUAN DAVID</t>
  </si>
  <si>
    <t xml:space="preserve">44 QUAI LOUIS BLERIOT</t>
  </si>
  <si>
    <t xml:space="preserve">01 45 25 25 56</t>
  </si>
  <si>
    <t xml:space="preserve">https://biocodex6--c.vf.force.com/0014L00000KFtIpQAL</t>
  </si>
  <si>
    <t xml:space="preserve">https://annuairesante.ameli.fr/professionnels-de-sante/recherche/fiche-detaillee-B7c1kTc4ODW6.html</t>
  </si>
  <si>
    <t xml:space="preserve">BOCHET</t>
  </si>
  <si>
    <t xml:space="preserve">BOCHET ALAIN</t>
  </si>
  <si>
    <t xml:space="preserve">15 RUE DE L YVETTE</t>
  </si>
  <si>
    <t xml:space="preserve">RUE DE L YVETTE</t>
  </si>
  <si>
    <t xml:space="preserve">01 45 20 32 03</t>
  </si>
  <si>
    <t xml:space="preserve">https://biocodex6--c.vf.force.com/0014L00000KFTjvQAH</t>
  </si>
  <si>
    <t xml:space="preserve">ORSEL</t>
  </si>
  <si>
    <t xml:space="preserve">ORSEL CLAUDE</t>
  </si>
  <si>
    <t xml:space="preserve">16 RUE FELICIEN DAVID</t>
  </si>
  <si>
    <t xml:space="preserve">RUE FELICIEN DAVID</t>
  </si>
  <si>
    <t xml:space="preserve">https://biocodex6--c.vf.force.com/0014L00000KFuDZQA1</t>
  </si>
  <si>
    <t xml:space="preserve">GUILLIET</t>
  </si>
  <si>
    <t xml:space="preserve">GUILLIET ALAIN</t>
  </si>
  <si>
    <t xml:space="preserve">317 RUE DE VAUGIRARD</t>
  </si>
  <si>
    <t xml:space="preserve">01 45 32 34 99</t>
  </si>
  <si>
    <t xml:space="preserve">https://biocodex6--c.vf.force.com/0014L00000KFhflQAD</t>
  </si>
  <si>
    <t xml:space="preserve">CHIESA LE ROY</t>
  </si>
  <si>
    <t xml:space="preserve">CARINA</t>
  </si>
  <si>
    <t xml:space="preserve">CHIESA LE ROY CARINA</t>
  </si>
  <si>
    <t xml:space="preserve">9 RUE PIERRE LE GRAND</t>
  </si>
  <si>
    <t xml:space="preserve">RUE PIERRE LE GRAND</t>
  </si>
  <si>
    <t xml:space="preserve">https://biocodex6--c.vf.force.com/0014L00000KFWWCQA5</t>
  </si>
  <si>
    <t xml:space="preserve">MELESE</t>
  </si>
  <si>
    <t xml:space="preserve">MELESE FLORENCE</t>
  </si>
  <si>
    <t xml:space="preserve">4 RUE LEON DELAGRANGE</t>
  </si>
  <si>
    <t xml:space="preserve">RUE LEON DELAGRANGE</t>
  </si>
  <si>
    <t xml:space="preserve">01 45 31 89 26</t>
  </si>
  <si>
    <t xml:space="preserve">https://biocodex6--c.vf.force.com/0014L00000KFNX8QAP</t>
  </si>
  <si>
    <t xml:space="preserve">PATRY</t>
  </si>
  <si>
    <t xml:space="preserve">PATRY LAURENCE</t>
  </si>
  <si>
    <t xml:space="preserve">33 RUE OLIVIER DE SERRES</t>
  </si>
  <si>
    <t xml:space="preserve">01 45 30 03 06</t>
  </si>
  <si>
    <t xml:space="preserve">https://biocodex6--c.vf.force.com/0014L00000KFv25QAD</t>
  </si>
  <si>
    <t xml:space="preserve">FREBAULT</t>
  </si>
  <si>
    <t xml:space="preserve">FREBAULT DENIS</t>
  </si>
  <si>
    <t xml:space="preserve">111 RUE OLIVIER DE SERRES</t>
  </si>
  <si>
    <t xml:space="preserve">01 40 50 66 88</t>
  </si>
  <si>
    <t xml:space="preserve">https://biocodex6--c.vf.force.com/0014L00000KFeR2QAL</t>
  </si>
  <si>
    <t xml:space="preserve">CADET</t>
  </si>
  <si>
    <t xml:space="preserve">CADET BERNARD</t>
  </si>
  <si>
    <t xml:space="preserve">5 SQUARE FREDERIC VALLOIS</t>
  </si>
  <si>
    <t xml:space="preserve">SQUARE FREDERIC VALLOIS</t>
  </si>
  <si>
    <t xml:space="preserve">01 48 28 66 76</t>
  </si>
  <si>
    <t xml:space="preserve">https://biocodex6--c.vf.force.com/0014L00000KFVCkQAP</t>
  </si>
  <si>
    <t xml:space="preserve">MARGUERITAT</t>
  </si>
  <si>
    <t xml:space="preserve">MARGUERITAT DANIELLE</t>
  </si>
  <si>
    <t xml:space="preserve">ALC
PSY</t>
  </si>
  <si>
    <t xml:space="preserve">26 RUE ERLANGER</t>
  </si>
  <si>
    <t xml:space="preserve">RUE ERLANGER</t>
  </si>
  <si>
    <t xml:space="preserve">01 46 51 55 68</t>
  </si>
  <si>
    <t xml:space="preserve">https://biocodex6--c.vf.force.com/0014L00000KFpyeQAD</t>
  </si>
  <si>
    <t xml:space="preserve">https://annuairesante.ameli.fr/professionnels-de-sante/recherche/fiche-detaillee-B7c1kDQ5ODq7.html</t>
  </si>
  <si>
    <t xml:space="preserve">GIRAUT</t>
  </si>
  <si>
    <t xml:space="preserve">GIRAUT XAVIER</t>
  </si>
  <si>
    <t xml:space="preserve">01 42 15 16 33</t>
  </si>
  <si>
    <t xml:space="preserve">https://biocodex6--c.vf.force.com/0014L00000KFgAmQAL</t>
  </si>
  <si>
    <t xml:space="preserve">MARIE GABRIELLE</t>
  </si>
  <si>
    <t xml:space="preserve">VEGH MARIE GABRIELLE</t>
  </si>
  <si>
    <t xml:space="preserve">https://biocodex6--c.vf.force.com/0014L00000KG592QAD</t>
  </si>
  <si>
    <t xml:space="preserve">CAZABAT</t>
  </si>
  <si>
    <t xml:space="preserve">CAZABAT SYLVIE</t>
  </si>
  <si>
    <t xml:space="preserve">01 40 06 09 62</t>
  </si>
  <si>
    <t xml:space="preserve">https://biocodex6--c.vf.force.com/0014L00000KFjQaQAL</t>
  </si>
  <si>
    <t xml:space="preserve">COINTOT</t>
  </si>
  <si>
    <t xml:space="preserve">COINTOT FRANCOISE</t>
  </si>
  <si>
    <t xml:space="preserve">01 44 49 71 01</t>
  </si>
  <si>
    <t xml:space="preserve">https://biocodex6--c.vf.force.com/0014L00000KFbpNQAT</t>
  </si>
  <si>
    <t xml:space="preserve">FOUQUES</t>
  </si>
  <si>
    <t xml:space="preserve">FOUQUES CATHERINE</t>
  </si>
  <si>
    <t xml:space="preserve">42 BOULEVARD RASPAIL</t>
  </si>
  <si>
    <t xml:space="preserve">01 45 35 54 59</t>
  </si>
  <si>
    <t xml:space="preserve">https://biocodex6--c.vf.force.com/0014L00000KFeDpQAL</t>
  </si>
  <si>
    <t xml:space="preserve">ALBERTINI</t>
  </si>
  <si>
    <t xml:space="preserve">ALBERTINI ANNE</t>
  </si>
  <si>
    <t xml:space="preserve">6 RUE DE VILLERSEXEL</t>
  </si>
  <si>
    <t xml:space="preserve">01 45 48 16 44</t>
  </si>
  <si>
    <t xml:space="preserve">https://biocodex6--c.vf.force.com/0014L00000KFQ8gQAH</t>
  </si>
  <si>
    <t xml:space="preserve">FLIS TREVES</t>
  </si>
  <si>
    <t xml:space="preserve">FLIS TREVES MURIEL</t>
  </si>
  <si>
    <t xml:space="preserve">5 RUE RECAMIER</t>
  </si>
  <si>
    <t xml:space="preserve">RUE RECAMIER</t>
  </si>
  <si>
    <t xml:space="preserve">01 42 22 05 87</t>
  </si>
  <si>
    <t xml:space="preserve">https://biocodex6--c.vf.force.com/0014L00000KFdsBQAT</t>
  </si>
  <si>
    <t xml:space="preserve">JATTEAU</t>
  </si>
  <si>
    <t xml:space="preserve">JATTEAU ODILE</t>
  </si>
  <si>
    <t xml:space="preserve">7 RUE VALENTIN HAUY</t>
  </si>
  <si>
    <t xml:space="preserve">RUE VALENTIN HAUY</t>
  </si>
  <si>
    <t xml:space="preserve">01 42 33 19 91</t>
  </si>
  <si>
    <t xml:space="preserve">https://biocodex6--c.vf.force.com/0014L00000KFjnrQAD</t>
  </si>
  <si>
    <t xml:space="preserve">SFEZ</t>
  </si>
  <si>
    <t xml:space="preserve">SFEZ DANIELE</t>
  </si>
  <si>
    <t xml:space="preserve">15 BOULEVARD DU MONTPARNASSE</t>
  </si>
  <si>
    <t xml:space="preserve">01 43 06 58 30</t>
  </si>
  <si>
    <t xml:space="preserve">https://biocodex6--c.vf.force.com/0014L00000KG1QCQA1</t>
  </si>
  <si>
    <t xml:space="preserve">TURCAS</t>
  </si>
  <si>
    <t xml:space="preserve">CRISTINA</t>
  </si>
  <si>
    <t xml:space="preserve">TURCAS CRISTINA</t>
  </si>
  <si>
    <t xml:space="preserve">104 RUE CAMBRONNE</t>
  </si>
  <si>
    <t xml:space="preserve">01 45 67 23 95</t>
  </si>
  <si>
    <t xml:space="preserve">https://biocodex6--c.vf.force.com/0014L00000KG4aiQAD</t>
  </si>
  <si>
    <t xml:space="preserve">TASLITZKY</t>
  </si>
  <si>
    <t xml:space="preserve">EVELYNE</t>
  </si>
  <si>
    <t xml:space="preserve">TASLITZKY EVELYNE</t>
  </si>
  <si>
    <t xml:space="preserve">4 RUE MARMONTEL</t>
  </si>
  <si>
    <t xml:space="preserve">01 45 33 55 33</t>
  </si>
  <si>
    <t xml:space="preserve">https://biocodex6--c.vf.force.com/0014L00000KG2eZQAT</t>
  </si>
  <si>
    <t xml:space="preserve">PEWZNER APELOIG</t>
  </si>
  <si>
    <t xml:space="preserve">PEWZNER APELOIG EVELYNE</t>
  </si>
  <si>
    <t xml:space="preserve">76 RUE DU RANELAGH</t>
  </si>
  <si>
    <t xml:space="preserve">01 42 25 48 09</t>
  </si>
  <si>
    <t xml:space="preserve">https://biocodex6--c.vf.force.com/0014L00000KFvkcQAD</t>
  </si>
  <si>
    <t xml:space="preserve">MICHON RAFFAITIN</t>
  </si>
  <si>
    <t xml:space="preserve">MICHON RAFFAITIN PASCALE</t>
  </si>
  <si>
    <t xml:space="preserve">12 RUE OSWALDO CRUZ</t>
  </si>
  <si>
    <t xml:space="preserve">RUE OSWALDO CRUZ</t>
  </si>
  <si>
    <t xml:space="preserve">01 42 30 70 70</t>
  </si>
  <si>
    <t xml:space="preserve">https://biocodex6--c.vf.force.com/0014L00000KFrqfQAD</t>
  </si>
  <si>
    <t xml:space="preserve">MAILLOL</t>
  </si>
  <si>
    <t xml:space="preserve">MAILLOL JULIE</t>
  </si>
  <si>
    <t xml:space="preserve">9 RUE FOURCADE</t>
  </si>
  <si>
    <t xml:space="preserve">RUE FOURCADE</t>
  </si>
  <si>
    <t xml:space="preserve">01 47 83 79 31</t>
  </si>
  <si>
    <t xml:space="preserve">https://biocodex6--c.vf.force.com/0014L00000KFrvTQAT</t>
  </si>
  <si>
    <t xml:space="preserve">BISAC</t>
  </si>
  <si>
    <t xml:space="preserve">BISAC SEBASTIEN</t>
  </si>
  <si>
    <t xml:space="preserve">https://biocodex6--c.vf.force.com/0014L00000KFUORQA5</t>
  </si>
  <si>
    <t xml:space="preserve">BIRCK</t>
  </si>
  <si>
    <t xml:space="preserve">BIRCK GISELE</t>
  </si>
  <si>
    <t xml:space="preserve">https://biocodex6--c.vf.force.com/0014L00000KFUK7QAP</t>
  </si>
  <si>
    <t xml:space="preserve">PELICIER</t>
  </si>
  <si>
    <t xml:space="preserve">PELICIER NICOLE</t>
  </si>
  <si>
    <t xml:space="preserve">https://biocodex6--c.vf.force.com/0014L00000KFv9bQAD</t>
  </si>
  <si>
    <t xml:space="preserve">ROBEL</t>
  </si>
  <si>
    <t xml:space="preserve">ROBEL LAURENCE</t>
  </si>
  <si>
    <t xml:space="preserve">https://biocodex6--c.vf.force.com/0014L00000KFyoFQAT</t>
  </si>
  <si>
    <t xml:space="preserve">PÉDOPSYCHIATRIE NECKER</t>
  </si>
  <si>
    <t xml:space="preserve">CONTEJEAN</t>
  </si>
  <si>
    <t xml:space="preserve">CONTEJEAN YVES</t>
  </si>
  <si>
    <t xml:space="preserve">https://biocodex6--c.vf.force.com/0014L00000KFVWAQA5</t>
  </si>
  <si>
    <t xml:space="preserve">TANTET</t>
  </si>
  <si>
    <t xml:space="preserve">TANTET OLIVIER</t>
  </si>
  <si>
    <t xml:space="preserve">5 RUE DU DOBROPOL</t>
  </si>
  <si>
    <t xml:space="preserve">RUE DU DOBROPOL</t>
  </si>
  <si>
    <t xml:space="preserve">01 42 27 60 47</t>
  </si>
  <si>
    <t xml:space="preserve">https://biocodex6--c.vf.force.com/001Py000001m869IAA</t>
  </si>
  <si>
    <t xml:space="preserve">MIRKOVIC</t>
  </si>
  <si>
    <t xml:space="preserve">BOJAN</t>
  </si>
  <si>
    <t xml:space="preserve">MIRKOVIC BOJAN</t>
  </si>
  <si>
    <t xml:space="preserve">21 AVENUE DE LA MOTTE-PICQUET</t>
  </si>
  <si>
    <t xml:space="preserve">AVENUE DE LA MOTTE-PICQUET</t>
  </si>
  <si>
    <t xml:space="preserve">09 83 07 80 93</t>
  </si>
  <si>
    <t xml:space="preserve">https://biocodex6--c.vf.force.com/0014L00000KFsPxQAL</t>
  </si>
  <si>
    <t xml:space="preserve">CALL AGAIN</t>
  </si>
  <si>
    <t xml:space="preserve">ROBERTS</t>
  </si>
  <si>
    <t xml:space="preserve">DINA</t>
  </si>
  <si>
    <t xml:space="preserve">ROBERTS DINA</t>
  </si>
  <si>
    <t xml:space="preserve">https://biocodex6--c.vf.force.com/0014L00000KFOXlQAP</t>
  </si>
  <si>
    <t xml:space="preserve">SARFATI SAMUEL</t>
  </si>
  <si>
    <t xml:space="preserve">01 83 64 20 20</t>
  </si>
  <si>
    <t xml:space="preserve">https://biocodex6--c.vf.force.com/0014L00000KGIHjQAP</t>
  </si>
  <si>
    <t xml:space="preserve">https://annuairesante.ameli.fr/professionnels-de-sante/recherche/fiche-detaillee-B7c1kzcwMDOy.html</t>
  </si>
  <si>
    <t xml:space="preserve">08:40-14:00(R)</t>
  </si>
  <si>
    <t xml:space="preserve">BRANCATO</t>
  </si>
  <si>
    <t xml:space="preserve">BRANCATO VALERIA</t>
  </si>
  <si>
    <t xml:space="preserve">https://biocodex6--c.vf.force.com/0014L00000bOioGQAS</t>
  </si>
  <si>
    <t xml:space="preserve">https://annuairesante.ameli.fr/professionnels-de-sante/recherche/fiche-detaillee-B7c1kzYwODa1.html</t>
  </si>
  <si>
    <t xml:space="preserve">NPC</t>
  </si>
  <si>
    <t xml:space="preserve">GMATI</t>
  </si>
  <si>
    <t xml:space="preserve">GMATI NICOLAS</t>
  </si>
  <si>
    <t xml:space="preserve">161 BOULEVARD HAUSSMANN</t>
  </si>
  <si>
    <t xml:space="preserve">06 61 49 37 27</t>
  </si>
  <si>
    <t xml:space="preserve">https://biocodex6--c.vf.force.com/0014L00000huKTFQA2</t>
  </si>
  <si>
    <t xml:space="preserve">https://annuairesante.ameli.fr/professionnels-de-sante/recherche/fiche-detaillee-B7c1lTA4Mjew.html</t>
  </si>
  <si>
    <t xml:space="preserve">BRUN</t>
  </si>
  <si>
    <t xml:space="preserve">BRUN AGNES</t>
  </si>
  <si>
    <t xml:space="preserve">18 RUE ROYALE</t>
  </si>
  <si>
    <t xml:space="preserve">01 42 60 29 17</t>
  </si>
  <si>
    <t xml:space="preserve">https://biocodex6--c.vf.force.com/0014L00000KGPDyQAP</t>
  </si>
  <si>
    <t xml:space="preserve">FEIGNOUX POLIMENI</t>
  </si>
  <si>
    <t xml:space="preserve">FEIGNOUX POLIMENI GRAZIELLA</t>
  </si>
  <si>
    <t xml:space="preserve">7 RUE TRONCHET</t>
  </si>
  <si>
    <t xml:space="preserve">01 40 06 02 02</t>
  </si>
  <si>
    <t xml:space="preserve">https://biocodex6--c.vf.force.com/0014L00000KGDC6QAP</t>
  </si>
  <si>
    <t xml:space="preserve">https://annuairesante.ameli.fr/professionnels-de-sante/recherche/fiche-detaillee-B7c1kjE4MjCx.html</t>
  </si>
  <si>
    <t xml:space="preserve">JARROSSAY</t>
  </si>
  <si>
    <t xml:space="preserve">JARROSSAY ETIENNE</t>
  </si>
  <si>
    <t xml:space="preserve">01 43 92 21 00</t>
  </si>
  <si>
    <t xml:space="preserve">https://biocodex6--c.vf.force.com/0014L00000KGPaHQAX</t>
  </si>
  <si>
    <t xml:space="preserve">MABIALA SITA</t>
  </si>
  <si>
    <t xml:space="preserve">DOMISH</t>
  </si>
  <si>
    <t xml:space="preserve">MABIALA SITA DOMISH</t>
  </si>
  <si>
    <t xml:space="preserve">https://biocodex6--c.vf.force.com/0014L00000KGPyFQAX</t>
  </si>
  <si>
    <t xml:space="preserve">VIGNAUD</t>
  </si>
  <si>
    <t xml:space="preserve">PHILIPPINE</t>
  </si>
  <si>
    <t xml:space="preserve">VIGNAUD PHILIPPINE</t>
  </si>
  <si>
    <t xml:space="preserve">160 AVENUE DE SUFFREN</t>
  </si>
  <si>
    <t xml:space="preserve">01 44 26 05 68</t>
  </si>
  <si>
    <t xml:space="preserve">https://biocodex6--c.vf.force.com/0014L00000KGPe7QAH</t>
  </si>
  <si>
    <t xml:space="preserve">https://annuairesante.ameli.fr/professionnels-de-sante/recherche/fiche-detaillee-B7c1kjoxNju6.html</t>
  </si>
  <si>
    <t xml:space="preserve">SADISI</t>
  </si>
  <si>
    <t xml:space="preserve">JIHENNE</t>
  </si>
  <si>
    <t xml:space="preserve">SADISI JIHENNE</t>
  </si>
  <si>
    <t xml:space="preserve">23 BOULEVARD DU MONTPARNASSE</t>
  </si>
  <si>
    <t xml:space="preserve">01 42 84 11 74</t>
  </si>
  <si>
    <t xml:space="preserve">https://biocodex6--c.vf.force.com/0014L00000KGPXIQA5</t>
  </si>
  <si>
    <t xml:space="preserve">COULON</t>
  </si>
  <si>
    <t xml:space="preserve">LUDIVINE</t>
  </si>
  <si>
    <t xml:space="preserve">COULON LUDIVINE</t>
  </si>
  <si>
    <t xml:space="preserve">https://biocodex6--c.vf.force.com/0014L00000NBdbjQAD</t>
  </si>
  <si>
    <t xml:space="preserve">GALDERISI</t>
  </si>
  <si>
    <t xml:space="preserve">ALFONSO</t>
  </si>
  <si>
    <t xml:space="preserve">GALDERISI ALFONSO</t>
  </si>
  <si>
    <t xml:space="preserve">https://biocodex6--c.vf.force.com/0014L00000NBSpwQAH</t>
  </si>
  <si>
    <t xml:space="preserve">LASCOURREGES</t>
  </si>
  <si>
    <t xml:space="preserve">LASCOURREGES CLAIRE</t>
  </si>
  <si>
    <t xml:space="preserve">https://biocodex6--c.vf.force.com/0014L00000KGOg1QAH</t>
  </si>
  <si>
    <t xml:space="preserve">LEMBO</t>
  </si>
  <si>
    <t xml:space="preserve">CHIARA</t>
  </si>
  <si>
    <t xml:space="preserve">LEMBO CHIARA</t>
  </si>
  <si>
    <t xml:space="preserve">https://biocodex6--c.vf.force.com/001Py0000027eHYIAY</t>
  </si>
  <si>
    <t xml:space="preserve">RONCONI</t>
  </si>
  <si>
    <t xml:space="preserve">MONICA SILVIA</t>
  </si>
  <si>
    <t xml:space="preserve">RONCONI MONICA SILVIA</t>
  </si>
  <si>
    <t xml:space="preserve">https://biocodex6--c.vf.force.com/0014L00000kUgc5QAC</t>
  </si>
  <si>
    <t xml:space="preserve">UZAN</t>
  </si>
  <si>
    <t xml:space="preserve">UZAN ALEXANDRA</t>
  </si>
  <si>
    <t xml:space="preserve">12 RUE DE PHALSBOURG</t>
  </si>
  <si>
    <t xml:space="preserve">01 45 72 74 66</t>
  </si>
  <si>
    <t xml:space="preserve">https://biocodex6--c.vf.force.com/0014L00000huk3qQAA</t>
  </si>
  <si>
    <t xml:space="preserve">https://annuairesante.ameli.fr/professionnels-de-sante/recherche/fiche-detaillee-B7c1kzYwOTSz.html</t>
  </si>
  <si>
    <t xml:space="preserve">LEBLOIS</t>
  </si>
  <si>
    <t xml:space="preserve">LEBLOIS ERIC</t>
  </si>
  <si>
    <t xml:space="preserve">26 RUE MEDERIC</t>
  </si>
  <si>
    <t xml:space="preserve">RUE MEDERIC</t>
  </si>
  <si>
    <t xml:space="preserve">01 42 12 95 95</t>
  </si>
  <si>
    <t xml:space="preserve">https://biocodex6--c.vf.force.com/0014L00000kSnHrQAK</t>
  </si>
  <si>
    <t xml:space="preserve">OBISI</t>
  </si>
  <si>
    <t xml:space="preserve">OBISI MARIE</t>
  </si>
  <si>
    <t xml:space="preserve">34 AVENUE DES CHAMPS ELYSEES</t>
  </si>
  <si>
    <t xml:space="preserve">01 75 43 92 11</t>
  </si>
  <si>
    <t xml:space="preserve">https://biocodex6--c.vf.force.com/0014L00000kTkNeQAK</t>
  </si>
  <si>
    <t xml:space="preserve">https://annuairesante.ameli.fr/professionnels-de-sante/recherche/fiche-detaillee-B7c1kzI5MDez.html</t>
  </si>
  <si>
    <t xml:space="preserve">LENGRE</t>
  </si>
  <si>
    <t xml:space="preserve">LENGRE MARC</t>
  </si>
  <si>
    <t xml:space="preserve">26 BOULEVARD GOUVION ST CYR</t>
  </si>
  <si>
    <t xml:space="preserve">BOULEVARD GOUVION ST CYR</t>
  </si>
  <si>
    <t xml:space="preserve">01 88 46 88 19</t>
  </si>
  <si>
    <t xml:space="preserve">https://biocodex6--c.vf.force.com/0014L00000NCqugQAD</t>
  </si>
  <si>
    <t xml:space="preserve">BELLEGARDE JOACHIM</t>
  </si>
  <si>
    <t xml:space="preserve">BELLEGARDE JOACHIM JOELLE</t>
  </si>
  <si>
    <t xml:space="preserve">https://biocodex6--c.vf.force.com/0014L00000bPF5DQAW</t>
  </si>
  <si>
    <t xml:space="preserve">SANCHEZ</t>
  </si>
  <si>
    <t xml:space="preserve">SANCHEZ JOELLE</t>
  </si>
  <si>
    <t xml:space="preserve">https://biocodex6--c.vf.force.com/0014L00000W3JX6QAN</t>
  </si>
  <si>
    <t xml:space="preserve">DURAND</t>
  </si>
  <si>
    <t xml:space="preserve">DURAND AURELIE</t>
  </si>
  <si>
    <t xml:space="preserve">24 RUE BAYEN</t>
  </si>
  <si>
    <t xml:space="preserve">01 40 68 70 00</t>
  </si>
  <si>
    <t xml:space="preserve">https://biocodex6--c.vf.force.com/0014L00000YvQFSQA3</t>
  </si>
  <si>
    <t xml:space="preserve">BENNIS</t>
  </si>
  <si>
    <t xml:space="preserve">KENZA</t>
  </si>
  <si>
    <t xml:space="preserve">BENNIS KENZA</t>
  </si>
  <si>
    <t xml:space="preserve">https://biocodex6--c.vf.force.com/0014L00000ND11uQAD</t>
  </si>
  <si>
    <t xml:space="preserve">FREISS</t>
  </si>
  <si>
    <t xml:space="preserve">REBECCA</t>
  </si>
  <si>
    <t xml:space="preserve">FREISS REBECCA</t>
  </si>
  <si>
    <t xml:space="preserve">5 RUE ST PHILIPPE DU ROULE</t>
  </si>
  <si>
    <t xml:space="preserve">RUE ST PHILIPPE DU ROULE</t>
  </si>
  <si>
    <t xml:space="preserve">01 88 61 08 32</t>
  </si>
  <si>
    <t xml:space="preserve">https://biocodex6--c.vf.force.com/001Py000001s9FjIAI</t>
  </si>
  <si>
    <t xml:space="preserve">https://annuairesante.ameli.fr/professionnels-de-sante/recherche/fiche-detaillee-B7c1kzc2Nzux.html</t>
  </si>
  <si>
    <t xml:space="preserve">KHORASSANI</t>
  </si>
  <si>
    <t xml:space="preserve">KHORASSANI DAVID</t>
  </si>
  <si>
    <t xml:space="preserve">9 RUE LEROUX</t>
  </si>
  <si>
    <t xml:space="preserve">https://biocodex6--c.vf.force.com/0014L00000kTnrYQAS</t>
  </si>
  <si>
    <t xml:space="preserve">RUZZA</t>
  </si>
  <si>
    <t xml:space="preserve">RUZZA FRANCOISE</t>
  </si>
  <si>
    <t xml:space="preserve">https://biocodex6--c.vf.force.com/0014L00000NAgXUQA1</t>
  </si>
  <si>
    <t xml:space="preserve">FERRON</t>
  </si>
  <si>
    <t xml:space="preserve">FERRON PAULINE</t>
  </si>
  <si>
    <t xml:space="preserve">https://biocodex6--c.vf.force.com/0014L00000KIWGvQAP</t>
  </si>
  <si>
    <t xml:space="preserve">CHICHE CORINNE</t>
  </si>
  <si>
    <t xml:space="preserve">https://biocodex6--c.vf.force.com/0014L00000KGPleQAH</t>
  </si>
  <si>
    <t xml:space="preserve">HERVE FRANCOIS</t>
  </si>
  <si>
    <t xml:space="preserve">https://biocodex6--c.vf.force.com/0014L00000fcHBYQA2</t>
  </si>
  <si>
    <t xml:space="preserve">VERDIERE</t>
  </si>
  <si>
    <t xml:space="preserve">VERDIERE CATHERINE</t>
  </si>
  <si>
    <t xml:space="preserve">3 RUE SOYER</t>
  </si>
  <si>
    <t xml:space="preserve">01 84 11 83 20</t>
  </si>
  <si>
    <t xml:space="preserve">https://biocodex6--c.vf.force.com/0014L00000KGPQ5QAP</t>
  </si>
  <si>
    <t xml:space="preserve">ICHOU MARCEL</t>
  </si>
  <si>
    <t xml:space="preserve">27 RUE MARBEUF</t>
  </si>
  <si>
    <t xml:space="preserve">01 47 20 06 56</t>
  </si>
  <si>
    <t xml:space="preserve">https://biocodex6--c.vf.force.com/0014L00000KGCjKQAX</t>
  </si>
  <si>
    <t xml:space="preserve">https://annuairesante.ameli.fr/professionnels-de-sante/recherche/fiche-detaillee-B7c1lzszMTe3.html</t>
  </si>
  <si>
    <t xml:space="preserve">KRYS</t>
  </si>
  <si>
    <t xml:space="preserve">KRYS OLIVIER</t>
  </si>
  <si>
    <t xml:space="preserve">74 BOULEVARD BOURDON</t>
  </si>
  <si>
    <t xml:space="preserve">BOULEVARD BOURDON</t>
  </si>
  <si>
    <t xml:space="preserve">01 41 92 20 20</t>
  </si>
  <si>
    <t xml:space="preserve">https://biocodex6--c.vf.force.com/0014L00000NC1AhQAL</t>
  </si>
  <si>
    <t xml:space="preserve">LOSITO</t>
  </si>
  <si>
    <t xml:space="preserve">EMMA</t>
  </si>
  <si>
    <t xml:space="preserve">LOSITO EMMA</t>
  </si>
  <si>
    <t xml:space="preserve">emma.losito@aphp.fr</t>
  </si>
  <si>
    <t xml:space="preserve">https://biocodex6--c.vf.force.com/0014L00000KGJMEQA5</t>
  </si>
  <si>
    <t xml:space="preserve">BONNEFONT</t>
  </si>
  <si>
    <t xml:space="preserve">BONNEFONT JEAN PAUL</t>
  </si>
  <si>
    <t xml:space="preserve">https://biocodex6--c.vf.force.com/0014L00000KGDZWQA5</t>
  </si>
  <si>
    <t xml:space="preserve">HAMEL</t>
  </si>
  <si>
    <t xml:space="preserve">LORAINE</t>
  </si>
  <si>
    <t xml:space="preserve">HAMEL LORAINE</t>
  </si>
  <si>
    <t xml:space="preserve">https://biocodex6--c.vf.force.com/0014L00000KGJWTQA5</t>
  </si>
  <si>
    <t xml:space="preserve">TRUONG</t>
  </si>
  <si>
    <t xml:space="preserve">BA LUU</t>
  </si>
  <si>
    <t xml:space="preserve">TRUONG BA LUU</t>
  </si>
  <si>
    <t xml:space="preserve">https://biocodex6--c.vf.force.com/0014L00000KGNY2QAP</t>
  </si>
  <si>
    <t xml:space="preserve">MEISCH</t>
  </si>
  <si>
    <t xml:space="preserve">MEISCH DOMINIQUE</t>
  </si>
  <si>
    <t xml:space="preserve">https://biocodex6--c.vf.force.com/0014L00000KGHKfQAP</t>
  </si>
  <si>
    <t xml:space="preserve">DAPHNE</t>
  </si>
  <si>
    <t xml:space="preserve">LEHALLE DAPHNE</t>
  </si>
  <si>
    <t xml:space="preserve">https://biocodex6--c.vf.force.com/0014L00000KFliyQAD</t>
  </si>
  <si>
    <t xml:space="preserve">SEMERARO</t>
  </si>
  <si>
    <t xml:space="preserve">MICHAELA</t>
  </si>
  <si>
    <t xml:space="preserve">SEMERARO MICHAELA</t>
  </si>
  <si>
    <t xml:space="preserve">01 44 49 47 44</t>
  </si>
  <si>
    <t xml:space="preserve">https://biocodex6--c.vf.force.com/0014L00000KG0zWQAT</t>
  </si>
  <si>
    <t xml:space="preserve">BEZZINE</t>
  </si>
  <si>
    <t xml:space="preserve">BEZZINE AHLEM</t>
  </si>
  <si>
    <t xml:space="preserve">https://biocodex6--c.vf.force.com/0014L00000W3VR9QAN</t>
  </si>
  <si>
    <t xml:space="preserve">RAPPAPORT</t>
  </si>
  <si>
    <t xml:space="preserve">RAPPAPORT RAPHAEL</t>
  </si>
  <si>
    <t xml:space="preserve">https://biocodex6--c.vf.force.com/0014L00000KFxfsQAD</t>
  </si>
  <si>
    <t xml:space="preserve">ALVAREZ ZALAMEA</t>
  </si>
  <si>
    <t xml:space="preserve">LUIS</t>
  </si>
  <si>
    <t xml:space="preserve">ALVAREZ ZALAMEA LUIS</t>
  </si>
  <si>
    <t xml:space="preserve">https://biocodex6--c.vf.force.com/0014L00000KFRcnQAH</t>
  </si>
  <si>
    <t xml:space="preserve">FAURE DUMONT</t>
  </si>
  <si>
    <t xml:space="preserve">FAURE DUMONT GILLES</t>
  </si>
  <si>
    <t xml:space="preserve">01 45 35 39 13</t>
  </si>
  <si>
    <t xml:space="preserve">https://biocodex6--c.vf.force.com/0014L00000KFdIvQAL</t>
  </si>
  <si>
    <t xml:space="preserve">AZAIS FRANCK</t>
  </si>
  <si>
    <t xml:space="preserve">25 RUE ROUSSELET</t>
  </si>
  <si>
    <t xml:space="preserve">01 47 07 41 70</t>
  </si>
  <si>
    <t xml:space="preserve">https://biocodex6--c.vf.force.com/0014L00000KFR9kQAH</t>
  </si>
  <si>
    <t xml:space="preserve">GHAITH</t>
  </si>
  <si>
    <t xml:space="preserve">ABIR</t>
  </si>
  <si>
    <t xml:space="preserve">GHAITH ABIR</t>
  </si>
  <si>
    <t xml:space="preserve">https://biocodex6--c.vf.force.com/0014L00000NCJkWQAX</t>
  </si>
  <si>
    <t xml:space="preserve">TORRENTE</t>
  </si>
  <si>
    <t xml:space="preserve">TORRENTE JOSEPH</t>
  </si>
  <si>
    <t xml:space="preserve">65 RUE DU FAUBOURG ST HONORE</t>
  </si>
  <si>
    <t xml:space="preserve">https://biocodex6--c.vf.force.com/0014L00000KG3QjQAL</t>
  </si>
  <si>
    <t xml:space="preserve">HJALMARSSON</t>
  </si>
  <si>
    <t xml:space="preserve">LINNEA</t>
  </si>
  <si>
    <t xml:space="preserve">HJALMARSSON LINNEA</t>
  </si>
  <si>
    <t xml:space="preserve">29 AVENUE DE LOWENDAL</t>
  </si>
  <si>
    <t xml:space="preserve">01 53 86 93 77</t>
  </si>
  <si>
    <t xml:space="preserve">https://biocodex6--c.vf.force.com/0014L00000KFgq9QAD</t>
  </si>
  <si>
    <t xml:space="preserve">AMIEL ESTHER</t>
  </si>
  <si>
    <t xml:space="preserve">62 RUE LEGENDRE</t>
  </si>
  <si>
    <t xml:space="preserve">RUE LEGENDRE</t>
  </si>
  <si>
    <t xml:space="preserve">01 42 67 49 57</t>
  </si>
  <si>
    <t xml:space="preserve">https://biocodex6--c.vf.force.com/0014L00000KFQL9QAP</t>
  </si>
  <si>
    <t xml:space="preserve">RAPTI</t>
  </si>
  <si>
    <t xml:space="preserve">KONSTANTINA</t>
  </si>
  <si>
    <t xml:space="preserve">RAPTI KONSTANTINA</t>
  </si>
  <si>
    <t xml:space="preserve">ntina.rapti@gmail.com</t>
  </si>
  <si>
    <t xml:space="preserve">https://biocodex6--c.vf.force.com/0014L00000KFMPUQA5</t>
  </si>
  <si>
    <t xml:space="preserve">LATOUR DIVINE</t>
  </si>
  <si>
    <t xml:space="preserve">LATOUR DIVINE FABIENNE</t>
  </si>
  <si>
    <t xml:space="preserve">LATOUR DE MAREUIL</t>
  </si>
  <si>
    <t xml:space="preserve">LATOUR DE MAREUIL ELISABETH</t>
  </si>
  <si>
    <t xml:space="preserve">https://biocodex6--c.vf.force.com/0014L00000KI6xdQAD</t>
  </si>
  <si>
    <t xml:space="preserve">ENEAU</t>
  </si>
  <si>
    <t xml:space="preserve">ENEAU MAUD</t>
  </si>
  <si>
    <t xml:space="preserve">https://biocodex6--c.vf.force.com/0014L00000ND2OgQAL</t>
  </si>
  <si>
    <t xml:space="preserve">A DÉMÉNAGÉ</t>
  </si>
  <si>
    <t xml:space="preserve">RICHARD AUGY</t>
  </si>
  <si>
    <t xml:space="preserve">FLORIANE</t>
  </si>
  <si>
    <t xml:space="preserve">RICHARD AUGY FLORIANE</t>
  </si>
  <si>
    <t xml:space="preserve">12 RUE DE CONSTANTINOPLE</t>
  </si>
  <si>
    <t xml:space="preserve">06 64 44 07 79</t>
  </si>
  <si>
    <t xml:space="preserve">https://biocodex6--c.vf.force.com/0014L00000KFzKJQA1</t>
  </si>
  <si>
    <t xml:space="preserve">REISER</t>
  </si>
  <si>
    <t xml:space="preserve">REISER LAETITIA</t>
  </si>
  <si>
    <t xml:space="preserve">https://biocodex6--c.vf.force.com/0014L00000KJ737QAD</t>
  </si>
  <si>
    <t xml:space="preserve">SPANO AMANTEA</t>
  </si>
  <si>
    <t xml:space="preserve">MARIA GRAZIA</t>
  </si>
  <si>
    <t xml:space="preserve">SPANO AMANTEA MARIA GRAZIA</t>
  </si>
  <si>
    <t xml:space="preserve">112 RUE DE VAUGIRARD</t>
  </si>
  <si>
    <t xml:space="preserve">https://biocodex6--c.vf.force.com/0014L00000fa0mNQAQ</t>
  </si>
  <si>
    <t xml:space="preserve">MEUSY</t>
  </si>
  <si>
    <t xml:space="preserve">MEUSY CAROLINE</t>
  </si>
  <si>
    <t xml:space="preserve">https://biocodex6--c.vf.force.com/0014L00000fa0mjQAA</t>
  </si>
  <si>
    <t xml:space="preserve">ROUVEURE</t>
  </si>
  <si>
    <t xml:space="preserve">ROUVEURE JEAN CLAUDE</t>
  </si>
  <si>
    <t xml:space="preserve">https://biocodex6--c.vf.force.com/0014L00000faKq1QAE</t>
  </si>
  <si>
    <t xml:space="preserve">BARTIN</t>
  </si>
  <si>
    <t xml:space="preserve">BARTIN RAPHAEL</t>
  </si>
  <si>
    <t xml:space="preserve">https://biocodex6--c.vf.force.com/0014L00000fZUuOQAW</t>
  </si>
  <si>
    <t xml:space="preserve">GRAPIN</t>
  </si>
  <si>
    <t xml:space="preserve">GRAPIN MATHILDE</t>
  </si>
  <si>
    <t xml:space="preserve">https://biocodex6--c.vf.force.com/0014L00000NADdtQAH</t>
  </si>
  <si>
    <t xml:space="preserve">MAYER CLAIRE</t>
  </si>
  <si>
    <t xml:space="preserve">https://biocodex6--c.vf.force.com/0014L00000faHfvQAE</t>
  </si>
  <si>
    <t xml:space="preserve">LAPRAZ</t>
  </si>
  <si>
    <t xml:space="preserve">LAPRAZ JEAN CLAUDE</t>
  </si>
  <si>
    <t xml:space="preserve">PHYTO</t>
  </si>
  <si>
    <t xml:space="preserve">https://biocodex6--c.vf.force.com/0014L00000YtzuTQAR</t>
  </si>
  <si>
    <t xml:space="preserve">https://annuairesante.ameli.fr/professionnels-de-sante/recherche/fiche-detaillee-B7c1kDU3NDG1.html</t>
  </si>
  <si>
    <t xml:space="preserve">KARTI HAFSI</t>
  </si>
  <si>
    <t xml:space="preserve">KARTI HAFSI SORAYA</t>
  </si>
  <si>
    <t xml:space="preserve">https://biocodex6--c.vf.force.com/0014L00000NAgQzQAL</t>
  </si>
  <si>
    <t xml:space="preserve">KEBIR</t>
  </si>
  <si>
    <t xml:space="preserve">OUSSAMA</t>
  </si>
  <si>
    <t xml:space="preserve">KEBIR OUSSAMA</t>
  </si>
  <si>
    <t xml:space="preserve">06 31 32 57 90</t>
  </si>
  <si>
    <t xml:space="preserve">https://biocodex6--c.vf.force.com/0014L00000KFNPwQAP</t>
  </si>
  <si>
    <t xml:space="preserve">MARADJI</t>
  </si>
  <si>
    <t xml:space="preserve">BOB</t>
  </si>
  <si>
    <t xml:space="preserve">MARADJI BOB</t>
  </si>
  <si>
    <t xml:space="preserve">32 RUE MEDERIC</t>
  </si>
  <si>
    <t xml:space="preserve">09 73 05 76 72</t>
  </si>
  <si>
    <t xml:space="preserve">https://biocodex6--c.vf.force.com/0014L00000KGGZFQA5</t>
  </si>
  <si>
    <t xml:space="preserve">GEBHARD</t>
  </si>
  <si>
    <t xml:space="preserve">GEBHARD PIERRE</t>
  </si>
  <si>
    <t xml:space="preserve">https://biocodex6--c.vf.force.com/0014L00000bNeJMQA0</t>
  </si>
  <si>
    <t xml:space="preserve">OZGUN ROUBEY</t>
  </si>
  <si>
    <t xml:space="preserve">FULYA</t>
  </si>
  <si>
    <t xml:space="preserve">OZGUN ROUBEY FULYA</t>
  </si>
  <si>
    <t xml:space="preserve">3 RUE ANATOLE DE LA FORGE</t>
  </si>
  <si>
    <t xml:space="preserve">06 98 95 03 65</t>
  </si>
  <si>
    <t xml:space="preserve">THIBONNIER</t>
  </si>
  <si>
    <t xml:space="preserve">THIBONNIER LAURENCE</t>
  </si>
  <si>
    <t xml:space="preserve">https://biocodex6--c.vf.force.com/0014L00000NAgTXQA1</t>
  </si>
  <si>
    <t xml:space="preserve">STRUILLOU</t>
  </si>
  <si>
    <t xml:space="preserve">STRUILLOU ANAIS</t>
  </si>
  <si>
    <t xml:space="preserve">https://biocodex6--c.vf.force.com/0014L00000NAgUbQAL</t>
  </si>
  <si>
    <t xml:space="preserve">PLICHART</t>
  </si>
  <si>
    <t xml:space="preserve">PLICHART MATTHIEU</t>
  </si>
  <si>
    <t xml:space="preserve">https://biocodex6--c.vf.force.com/0014L00000fZirQQAS</t>
  </si>
  <si>
    <t xml:space="preserve">ERRARD</t>
  </si>
  <si>
    <t xml:space="preserve">ERRARD PATRICK</t>
  </si>
  <si>
    <t xml:space="preserve">114 RUE VICTOR HUGO</t>
  </si>
  <si>
    <t xml:space="preserve">RUE VICTOR HUGO</t>
  </si>
  <si>
    <t xml:space="preserve">01 55 91 75 00</t>
  </si>
  <si>
    <t xml:space="preserve">https://biocodex6--c.vf.force.com/0014L00000KFLUmQAP</t>
  </si>
  <si>
    <t xml:space="preserve">LAHOCHE</t>
  </si>
  <si>
    <t xml:space="preserve">MARIE ALICE</t>
  </si>
  <si>
    <t xml:space="preserve">LAHOCHE MARIE ALICE</t>
  </si>
  <si>
    <t xml:space="preserve">https://biocodex6--c.vf.force.com/0014L00000KJ73CQAT</t>
  </si>
  <si>
    <t xml:space="preserve">CAVAN</t>
  </si>
  <si>
    <t xml:space="preserve">CAVAN SEVERINE</t>
  </si>
  <si>
    <t xml:space="preserve">https://biocodex6--c.vf.force.com/0014L00000NAgQsQAL</t>
  </si>
  <si>
    <t xml:space="preserve">PELTIER</t>
  </si>
  <si>
    <t xml:space="preserve">PELTIER JUSTINE</t>
  </si>
  <si>
    <t xml:space="preserve">https://biocodex6--c.vf.force.com/0014L00000KJ73mQAD</t>
  </si>
  <si>
    <t xml:space="preserve">MARETTE</t>
  </si>
  <si>
    <t xml:space="preserve">MARETTE CAROLINE</t>
  </si>
  <si>
    <t xml:space="preserve">https://biocodex6--c.vf.force.com/0014L00000NAgS1QAL</t>
  </si>
  <si>
    <t xml:space="preserve">OUALI</t>
  </si>
  <si>
    <t xml:space="preserve">NOURREDINE</t>
  </si>
  <si>
    <t xml:space="preserve">OUALI NOURREDINE</t>
  </si>
  <si>
    <t xml:space="preserve">15 RUE AUGUSTE VITU</t>
  </si>
  <si>
    <t xml:space="preserve">RUE AUGUSTE VITU</t>
  </si>
  <si>
    <t xml:space="preserve">lat</t>
  </si>
  <si>
    <t xml:space="preserve">lon</t>
  </si>
  <si>
    <t xml:space="preserve">cib_dp</t>
  </si>
  <si>
    <t xml:space="preserve">cib_dso</t>
  </si>
  <si>
    <t xml:space="preserve">CIRC
CA CMA FEV23</t>
  </si>
  <si>
    <t xml:space="preserve">UL
CA CMA FEV23</t>
  </si>
  <si>
    <t xml:space="preserve">UL
CA RANK FEV23</t>
  </si>
  <si>
    <t xml:space="preserve">CIRC
CA CMA JUIN23</t>
  </si>
  <si>
    <t xml:space="preserve">UL
CA CMA JUIN23</t>
  </si>
  <si>
    <t xml:space="preserve">UL
CA RANK JUIN23</t>
  </si>
  <si>
    <t xml:space="preserve">CIRC
CA CMA SEP23</t>
  </si>
  <si>
    <t xml:space="preserve">UL
CA CMA SEP23</t>
  </si>
  <si>
    <t xml:space="preserve">UL
CA RANK SEP23</t>
  </si>
  <si>
    <t xml:space="preserve">CIRC
CA CMA FEV24</t>
  </si>
  <si>
    <t xml:space="preserve">UL
CA CMA FEV24</t>
  </si>
  <si>
    <t xml:space="preserve">UL
CA RANK FEV24</t>
  </si>
  <si>
    <t xml:space="preserve">groupement</t>
  </si>
  <si>
    <t xml:space="preserve">contrat_23</t>
  </si>
  <si>
    <t xml:space="preserve">PHARMACIE ZANEA</t>
  </si>
  <si>
    <t xml:space="preserve">13 RUE DU COMMERCE</t>
  </si>
  <si>
    <t xml:space="preserve">01 45 75 33 35</t>
  </si>
  <si>
    <t xml:space="preserve">48.8483638</t>
  </si>
  <si>
    <t xml:space="preserve">2.2972043</t>
  </si>
  <si>
    <t xml:space="preserve">['2024-01-10 09:30:00']</t>
  </si>
  <si>
    <t xml:space="preserve">APOTHICAL</t>
  </si>
  <si>
    <t xml:space="preserve">PHARMACIE FELLOUS</t>
  </si>
  <si>
    <t xml:space="preserve">LEVALLOIS PERRET</t>
  </si>
  <si>
    <t xml:space="preserve">01 47 58 75 81</t>
  </si>
  <si>
    <t xml:space="preserve">48.8940611</t>
  </si>
  <si>
    <t xml:space="preserve">2.276556</t>
  </si>
  <si>
    <t xml:space="preserve">['2023-11-16 10:30:00']</t>
  </si>
  <si>
    <t xml:space="preserve">SUPRAPHARM</t>
  </si>
  <si>
    <t xml:space="preserve">CA&gt;7500 STAR PLUS</t>
  </si>
  <si>
    <t xml:space="preserve">PHARMACIE DE LA PORTE DE SAINT CLOUD</t>
  </si>
  <si>
    <t xml:space="preserve">122 BOULEVARD MURAT</t>
  </si>
  <si>
    <t xml:space="preserve">01 42 88 74 16</t>
  </si>
  <si>
    <t xml:space="preserve">48.8372922</t>
  </si>
  <si>
    <t xml:space="preserve">2.2582987</t>
  </si>
  <si>
    <t xml:space="preserve">[]</t>
  </si>
  <si>
    <t xml:space="preserve">ELSIE</t>
  </si>
  <si>
    <t xml:space="preserve">ELSIE VIP</t>
  </si>
  <si>
    <t xml:space="preserve">PHARMACIE EXELMANS</t>
  </si>
  <si>
    <t xml:space="preserve">77 BOULEVARD EXELMANS</t>
  </si>
  <si>
    <t xml:space="preserve">01 46 51 23 92</t>
  </si>
  <si>
    <t xml:space="preserve">48.8433062</t>
  </si>
  <si>
    <t xml:space="preserve">2.2594422</t>
  </si>
  <si>
    <t xml:space="preserve">CENTRALE DES PHARMACIENS</t>
  </si>
  <si>
    <t xml:space="preserve">CA&gt;7500 PARTENAIRE PLUS</t>
  </si>
  <si>
    <t xml:space="preserve">PHARMACIE DE LA PORTE MAILLOT</t>
  </si>
  <si>
    <t xml:space="preserve">68 AVENUE DE LA GRANDE ARMEE</t>
  </si>
  <si>
    <t xml:space="preserve">01 45 74 17 31</t>
  </si>
  <si>
    <t xml:space="preserve">48.877227</t>
  </si>
  <si>
    <t xml:space="preserve">2.2853859</t>
  </si>
  <si>
    <t xml:space="preserve">['2023-11-14 11:30:00']</t>
  </si>
  <si>
    <t xml:space="preserve">NORCAP</t>
  </si>
  <si>
    <t xml:space="preserve">CA&lt;7500 TOP24</t>
  </si>
  <si>
    <t xml:space="preserve">PHARMACIE SEGUIN</t>
  </si>
  <si>
    <t xml:space="preserve">141 RUE DE LA TOUR</t>
  </si>
  <si>
    <t xml:space="preserve">01 45 04 32 33</t>
  </si>
  <si>
    <t xml:space="preserve">48.8637349</t>
  </si>
  <si>
    <t xml:space="preserve">2.272673</t>
  </si>
  <si>
    <t xml:space="preserve">CA&gt;7500 STAR PLUS COOP</t>
  </si>
  <si>
    <t xml:space="preserve">PHARMACIE DE NEUILLY</t>
  </si>
  <si>
    <t xml:space="preserve">43 RUE DE CHARTRES</t>
  </si>
  <si>
    <t xml:space="preserve">NEUILLY SUR SEINE</t>
  </si>
  <si>
    <t xml:space="preserve">01 46 24 03 24</t>
  </si>
  <si>
    <t xml:space="preserve">48.8822117</t>
  </si>
  <si>
    <t xml:space="preserve">2.2772812</t>
  </si>
  <si>
    <t xml:space="preserve">APRIUM</t>
  </si>
  <si>
    <t xml:space="preserve">LEADER SANTE/ APRIUM STAR PLUS</t>
  </si>
  <si>
    <t xml:space="preserve">PHARMACIE DU MARECHAL JUIN</t>
  </si>
  <si>
    <t xml:space="preserve">7 PLACE DU MARECHAL JUIN</t>
  </si>
  <si>
    <t xml:space="preserve">01 47 63 34 39</t>
  </si>
  <si>
    <t xml:space="preserve">48.8844425</t>
  </si>
  <si>
    <t xml:space="preserve">2.296847</t>
  </si>
  <si>
    <t xml:space="preserve">['2023-11-21 15:00:00']</t>
  </si>
  <si>
    <t xml:space="preserve">PHARMACIE AOUIZERAT</t>
  </si>
  <si>
    <t xml:space="preserve">43 RUE D AUTEUIL</t>
  </si>
  <si>
    <t xml:space="preserve">01 42 88 07 96</t>
  </si>
  <si>
    <t xml:space="preserve">48.847711</t>
  </si>
  <si>
    <t xml:space="preserve">2.2653034</t>
  </si>
  <si>
    <t xml:space="preserve">['2023-12-07 10:00:00']</t>
  </si>
  <si>
    <t xml:space="preserve">IPHARM</t>
  </si>
  <si>
    <t xml:space="preserve">PHARMACIE RONCIN</t>
  </si>
  <si>
    <t xml:space="preserve">25 27 RUE JOUFFROY D ABBANS</t>
  </si>
  <si>
    <t xml:space="preserve">01 47 63 56 80</t>
  </si>
  <si>
    <t xml:space="preserve">48.8851125</t>
  </si>
  <si>
    <t xml:space="preserve">2.3071409</t>
  </si>
  <si>
    <t xml:space="preserve">LEADER SANTE</t>
  </si>
  <si>
    <t xml:space="preserve">PHARMACIE DES 5K</t>
  </si>
  <si>
    <t xml:space="preserve">22 B RUE D ALSACE</t>
  </si>
  <si>
    <t xml:space="preserve">01 47 39 41 46</t>
  </si>
  <si>
    <t xml:space="preserve">48.8911536</t>
  </si>
  <si>
    <t xml:space="preserve">2.2952809</t>
  </si>
  <si>
    <t xml:space="preserve">COS 500</t>
  </si>
  <si>
    <t xml:space="preserve">PHARMACIE LUPORSI</t>
  </si>
  <si>
    <t xml:space="preserve">01 47 57 45 55</t>
  </si>
  <si>
    <t xml:space="preserve">48.8919289</t>
  </si>
  <si>
    <t xml:space="preserve">2.2853006</t>
  </si>
  <si>
    <t xml:space="preserve">PHARMACIE DE LA TERRASSE</t>
  </si>
  <si>
    <t xml:space="preserve">35 RUE DE LEVIS</t>
  </si>
  <si>
    <t xml:space="preserve">01 47 63 24 12</t>
  </si>
  <si>
    <t xml:space="preserve">48.8827505</t>
  </si>
  <si>
    <t xml:space="preserve">2.3148008</t>
  </si>
  <si>
    <t xml:space="preserve">PHARMACIE BASIRE</t>
  </si>
  <si>
    <t xml:space="preserve">143 RUE DE LA POMPE</t>
  </si>
  <si>
    <t xml:space="preserve">01 45 05 42 88</t>
  </si>
  <si>
    <t xml:space="preserve">48.8681298</t>
  </si>
  <si>
    <t xml:space="preserve">2.2811759</t>
  </si>
  <si>
    <t xml:space="preserve">APRIUM UM</t>
  </si>
  <si>
    <t xml:space="preserve">PHARMACIE CENTRALE DE PASSY</t>
  </si>
  <si>
    <t xml:space="preserve">38 RUE DE PASSY</t>
  </si>
  <si>
    <t xml:space="preserve">01 42 88 21 68</t>
  </si>
  <si>
    <t xml:space="preserve">48.8579528</t>
  </si>
  <si>
    <t xml:space="preserve">2.2806469</t>
  </si>
  <si>
    <t xml:space="preserve">PHARMACIE BRAITMAN BOUBLIL</t>
  </si>
  <si>
    <t xml:space="preserve">1 PLACE VICTOR HUGO</t>
  </si>
  <si>
    <t xml:space="preserve">01 45 00 71 96</t>
  </si>
  <si>
    <t xml:space="preserve">48.8697287</t>
  </si>
  <si>
    <t xml:space="preserve">2.2860208</t>
  </si>
  <si>
    <t xml:space="preserve">PHARMACIE BROVILLE</t>
  </si>
  <si>
    <t xml:space="preserve">47 RUE BALARD</t>
  </si>
  <si>
    <t xml:space="preserve">01 45 57 97 51</t>
  </si>
  <si>
    <t xml:space="preserve">48.8418667</t>
  </si>
  <si>
    <t xml:space="preserve">2.2778659</t>
  </si>
  <si>
    <t xml:space="preserve">['2023-09-13 15:15:00']</t>
  </si>
  <si>
    <t xml:space="preserve">GRANDE PHARMACIE WAGRAM</t>
  </si>
  <si>
    <t xml:space="preserve">239 RUE DU FAUBOURG SAINT HONORE</t>
  </si>
  <si>
    <t xml:space="preserve">01 42 67 27 60</t>
  </si>
  <si>
    <t xml:space="preserve">48.8775335</t>
  </si>
  <si>
    <t xml:space="preserve">2.2984221</t>
  </si>
  <si>
    <t xml:space="preserve">ELSIE VIP PLUS</t>
  </si>
  <si>
    <t xml:space="preserve">PHARMACIE BAYEN</t>
  </si>
  <si>
    <t xml:space="preserve">45 RUE BAYEN</t>
  </si>
  <si>
    <t xml:space="preserve">01 45 74 24 41</t>
  </si>
  <si>
    <t xml:space="preserve">48.8816761</t>
  </si>
  <si>
    <t xml:space="preserve">2.292172</t>
  </si>
  <si>
    <t xml:space="preserve">PHARMACTIV</t>
  </si>
  <si>
    <t xml:space="preserve">PHARMACIE COHEN MARTIN</t>
  </si>
  <si>
    <t xml:space="preserve">01 42 70 95 95</t>
  </si>
  <si>
    <t xml:space="preserve">48.8973333</t>
  </si>
  <si>
    <t xml:space="preserve">2.2829721</t>
  </si>
  <si>
    <t xml:space="preserve">['2023-10-11 17:00:00']</t>
  </si>
  <si>
    <t xml:space="preserve">WELL &amp; WELL</t>
  </si>
  <si>
    <t xml:space="preserve">CA&lt;7500 STAR</t>
  </si>
  <si>
    <t xml:space="preserve">PHARMACIE BROSSOLETTE</t>
  </si>
  <si>
    <t xml:space="preserve">26 RUE PIERRE BROSSOLETTE</t>
  </si>
  <si>
    <t xml:space="preserve">01 47 37 04 05</t>
  </si>
  <si>
    <t xml:space="preserve">48.8954988</t>
  </si>
  <si>
    <t xml:space="preserve">2.2927591</t>
  </si>
  <si>
    <t xml:space="preserve">PHARMACIE AMIEL HANOUNA</t>
  </si>
  <si>
    <t xml:space="preserve">22 RUE CHAUVEAU</t>
  </si>
  <si>
    <t xml:space="preserve">01 46 24 64 48</t>
  </si>
  <si>
    <t xml:space="preserve">48.8907092</t>
  </si>
  <si>
    <t xml:space="preserve">2.2742679</t>
  </si>
  <si>
    <t xml:space="preserve">['2023-12-15 09:30:00']</t>
  </si>
  <si>
    <t xml:space="preserve">PHARMACIE HAHNEMANN</t>
  </si>
  <si>
    <t xml:space="preserve">347 RUE DE VAUGIRARD</t>
  </si>
  <si>
    <t xml:space="preserve">01 56 08 30 80</t>
  </si>
  <si>
    <t xml:space="preserve">48.8371001</t>
  </si>
  <si>
    <t xml:space="preserve">2.2963619</t>
  </si>
  <si>
    <t xml:space="preserve">PHARMACIE LOURMEL</t>
  </si>
  <si>
    <t xml:space="preserve">105 AVENUE FELIX FAURE</t>
  </si>
  <si>
    <t xml:space="preserve">01 45 57 45 45</t>
  </si>
  <si>
    <t xml:space="preserve">48.8389689</t>
  </si>
  <si>
    <t xml:space="preserve">2.2828942</t>
  </si>
  <si>
    <t xml:space="preserve">PHARMACIE DU BIEN ETRE</t>
  </si>
  <si>
    <t xml:space="preserve">36 RUE DE LA POMPE</t>
  </si>
  <si>
    <t xml:space="preserve">01 45 04 14 89</t>
  </si>
  <si>
    <t xml:space="preserve">48.8611024</t>
  </si>
  <si>
    <t xml:space="preserve">2.2754597</t>
  </si>
  <si>
    <t xml:space="preserve">['2023-07-20 10:30:00']</t>
  </si>
  <si>
    <t xml:space="preserve">EXCEL PHARMA</t>
  </si>
  <si>
    <t xml:space="preserve">PHARMACIE LE MIRE</t>
  </si>
  <si>
    <t xml:space="preserve">10 PLACE RAOUL DAUTRY</t>
  </si>
  <si>
    <t xml:space="preserve">01 43 21 42 42</t>
  </si>
  <si>
    <t xml:space="preserve">48.84175115</t>
  </si>
  <si>
    <t xml:space="preserve">2.32048104917992</t>
  </si>
  <si>
    <t xml:space="preserve">PHARMABEST</t>
  </si>
  <si>
    <t xml:space="preserve">PHARMACIE DE L ECOLE DE GUERRE</t>
  </si>
  <si>
    <t xml:space="preserve">57 B AVENUE DE LA MOTTE PICQUET</t>
  </si>
  <si>
    <t xml:space="preserve">01 47 34 62 04</t>
  </si>
  <si>
    <t xml:space="preserve">48.8489824</t>
  </si>
  <si>
    <t xml:space="preserve">2.2979718</t>
  </si>
  <si>
    <t xml:space="preserve">CA&lt;7500 PARTENAIRE</t>
  </si>
  <si>
    <t xml:space="preserve">PHARMACIE NIEL</t>
  </si>
  <si>
    <t xml:space="preserve">16 AVENUE NIEL</t>
  </si>
  <si>
    <t xml:space="preserve">01 47 54 00 39</t>
  </si>
  <si>
    <t xml:space="preserve">48.8800843</t>
  </si>
  <si>
    <t xml:space="preserve">2.2951544</t>
  </si>
  <si>
    <t xml:space="preserve">['2023-11-02 10:00:00']</t>
  </si>
  <si>
    <t xml:space="preserve">PHARMACIE DE LA POMPE</t>
  </si>
  <si>
    <t xml:space="preserve">66 RUE DE LA POMPE</t>
  </si>
  <si>
    <t xml:space="preserve">01 45 04 73 46</t>
  </si>
  <si>
    <t xml:space="preserve">48.8631773</t>
  </si>
  <si>
    <t xml:space="preserve">2.2766324</t>
  </si>
  <si>
    <t xml:space="preserve">PHARMACIE DE BRETEUIL</t>
  </si>
  <si>
    <t xml:space="preserve">6 PLACE DE BRETEUIL</t>
  </si>
  <si>
    <t xml:space="preserve">01 47 34 14 85</t>
  </si>
  <si>
    <t xml:space="preserve">48.8472355</t>
  </si>
  <si>
    <t xml:space="preserve">2.3107478</t>
  </si>
  <si>
    <t xml:space="preserve">PHARMACIE MELQUIOND</t>
  </si>
  <si>
    <t xml:space="preserve">52 RUE D AUTEUIL</t>
  </si>
  <si>
    <t xml:space="preserve">01 42 88 27 38</t>
  </si>
  <si>
    <t xml:space="preserve">48.8480683</t>
  </si>
  <si>
    <t xml:space="preserve">2.2626834</t>
  </si>
  <si>
    <t xml:space="preserve">PHARMACIE COURCELLES DEMOURS</t>
  </si>
  <si>
    <t xml:space="preserve">162 RUE DE COURCELLES</t>
  </si>
  <si>
    <t xml:space="preserve">01 47 63 60 67</t>
  </si>
  <si>
    <t xml:space="preserve">48.8832923</t>
  </si>
  <si>
    <t xml:space="preserve">2.2991265</t>
  </si>
  <si>
    <t xml:space="preserve">['2023-11-08 12:00:00']</t>
  </si>
  <si>
    <t xml:space="preserve">PHARMACIE DU PARC</t>
  </si>
  <si>
    <t xml:space="preserve">4 AVENUE SAINTE FOY</t>
  </si>
  <si>
    <t xml:space="preserve">01 46 24 10 99</t>
  </si>
  <si>
    <t xml:space="preserve">48.8848732</t>
  </si>
  <si>
    <t xml:space="preserve">2.2682999</t>
  </si>
  <si>
    <t xml:space="preserve">['2024-02-19 09:00:00']</t>
  </si>
  <si>
    <t xml:space="preserve">3 B RUE LOUISE MICHEL</t>
  </si>
  <si>
    <t xml:space="preserve">01 47 57 40 46</t>
  </si>
  <si>
    <t xml:space="preserve">48.8874595</t>
  </si>
  <si>
    <t xml:space="preserve">2.2849457</t>
  </si>
  <si>
    <t xml:space="preserve">GRANDE PHARMACIE DU COMMERCE</t>
  </si>
  <si>
    <t xml:space="preserve">01 48 28 43 50</t>
  </si>
  <si>
    <t xml:space="preserve">48.8442222</t>
  </si>
  <si>
    <t xml:space="preserve">2.2935652</t>
  </si>
  <si>
    <t xml:space="preserve">PHARMACIE VASRAM</t>
  </si>
  <si>
    <t xml:space="preserve">12 RUE LOUISE MICHEL</t>
  </si>
  <si>
    <t xml:space="preserve">01 47 57 57 36</t>
  </si>
  <si>
    <t xml:space="preserve">48.8877424</t>
  </si>
  <si>
    <t xml:space="preserve">2.2856758</t>
  </si>
  <si>
    <t xml:space="preserve">PYXIS</t>
  </si>
  <si>
    <t xml:space="preserve">PHARMACIE DU ROULE</t>
  </si>
  <si>
    <t xml:space="preserve">71 AVENUE FRANKLIN DELANO ROOSEVELT</t>
  </si>
  <si>
    <t xml:space="preserve">01 43 59 17 46</t>
  </si>
  <si>
    <t xml:space="preserve">48.8725589</t>
  </si>
  <si>
    <t xml:space="preserve">2.3098007</t>
  </si>
  <si>
    <t xml:space="preserve">COS 650</t>
  </si>
  <si>
    <t xml:space="preserve">8 PLACE DU GENERAL GOURAUD</t>
  </si>
  <si>
    <t xml:space="preserve">01 46 24 06 62</t>
  </si>
  <si>
    <t xml:space="preserve">48.8861444</t>
  </si>
  <si>
    <t xml:space="preserve">2.2617537</t>
  </si>
  <si>
    <t xml:space="preserve">PHARMACIE CONSEIL PASSY</t>
  </si>
  <si>
    <t xml:space="preserve">7 RUE DE L ALBONI</t>
  </si>
  <si>
    <t xml:space="preserve">01 42 88 20 34</t>
  </si>
  <si>
    <t xml:space="preserve">48.8582156</t>
  </si>
  <si>
    <t xml:space="preserve">2.2849391</t>
  </si>
  <si>
    <t xml:space="preserve">PHARMACIE ANGLAISE</t>
  </si>
  <si>
    <t xml:space="preserve">62 AVENUE DES CHAMPS ELYSEES</t>
  </si>
  <si>
    <t xml:space="preserve">01 43 59 82 30</t>
  </si>
  <si>
    <t xml:space="preserve">48.8707851</t>
  </si>
  <si>
    <t xml:space="preserve">2.3055599</t>
  </si>
  <si>
    <t xml:space="preserve">PHARMACIE BARBELET POULLE</t>
  </si>
  <si>
    <t xml:space="preserve">40 BOULEVARD PASTEUR</t>
  </si>
  <si>
    <t xml:space="preserve">01 43 20 97 89</t>
  </si>
  <si>
    <t xml:space="preserve">48.8418444</t>
  </si>
  <si>
    <t xml:space="preserve">2.3130165</t>
  </si>
  <si>
    <t xml:space="preserve">PHARMACIE PHARMAGREEN BOUCICAUT</t>
  </si>
  <si>
    <t xml:space="preserve">95 RUE DE LA CONVENTION</t>
  </si>
  <si>
    <t xml:space="preserve">01 45 54 29 19</t>
  </si>
  <si>
    <t xml:space="preserve">48.8418017</t>
  </si>
  <si>
    <t xml:space="preserve">2.2866098</t>
  </si>
  <si>
    <t xml:space="preserve">PHARMACIE DAMBREVILLE</t>
  </si>
  <si>
    <t xml:space="preserve">101 AVENUE MOZART</t>
  </si>
  <si>
    <t xml:space="preserve">01 42 88 53 33</t>
  </si>
  <si>
    <t xml:space="preserve">48.8515906</t>
  </si>
  <si>
    <t xml:space="preserve">2.2678256</t>
  </si>
  <si>
    <t xml:space="preserve">PHARMACIE BERTHIER</t>
  </si>
  <si>
    <t xml:space="preserve">134 136 BOULEVARD BERTHIER</t>
  </si>
  <si>
    <t xml:space="preserve">01 43 80 58 61</t>
  </si>
  <si>
    <t xml:space="preserve">48.8930985</t>
  </si>
  <si>
    <t xml:space="preserve">2.3101471</t>
  </si>
  <si>
    <t xml:space="preserve">LEADER SANTE/ APRIUM PARTENAIRE</t>
  </si>
  <si>
    <t xml:space="preserve">PHARMACIE LAFARGE</t>
  </si>
  <si>
    <t xml:space="preserve">25 RUE DU BOIS DE BOULOGNE</t>
  </si>
  <si>
    <t xml:space="preserve">01 46 24 61 24</t>
  </si>
  <si>
    <t xml:space="preserve">48.8811842</t>
  </si>
  <si>
    <t xml:space="preserve">2.2561262</t>
  </si>
  <si>
    <t xml:space="preserve">['2024-02-15 08:30:00']</t>
  </si>
  <si>
    <t xml:space="preserve">PHARMACIE ZANA</t>
  </si>
  <si>
    <t xml:space="preserve">55 AVENUE DE SUFFREN</t>
  </si>
  <si>
    <t xml:space="preserve">01 47 34 50 07</t>
  </si>
  <si>
    <t xml:space="preserve">48.8528957</t>
  </si>
  <si>
    <t xml:space="preserve">2.2984326</t>
  </si>
  <si>
    <t xml:space="preserve">PHARMACIE DU MARCHE DE PASSY</t>
  </si>
  <si>
    <t xml:space="preserve">01 42 88 01 76</t>
  </si>
  <si>
    <t xml:space="preserve">48.857809</t>
  </si>
  <si>
    <t xml:space="preserve">2.2774307</t>
  </si>
  <si>
    <t xml:space="preserve">PHARMACIE PERETTI</t>
  </si>
  <si>
    <t xml:space="preserve">110 AVENUE ACHILLE PERETTI</t>
  </si>
  <si>
    <t xml:space="preserve">01 46 24 02 82</t>
  </si>
  <si>
    <t xml:space="preserve">48.8851639</t>
  </si>
  <si>
    <t xml:space="preserve">2.2664997</t>
  </si>
  <si>
    <t xml:space="preserve">['2024-02-22 08:30:00']</t>
  </si>
  <si>
    <t xml:space="preserve">GRANDE PHARMACIE DOUMER PASSY</t>
  </si>
  <si>
    <t xml:space="preserve">83 AVENUE PAUL DOUMER</t>
  </si>
  <si>
    <t xml:space="preserve">01 45 25 20 54</t>
  </si>
  <si>
    <t xml:space="preserve">48.8589279</t>
  </si>
  <si>
    <t xml:space="preserve">2.2768284</t>
  </si>
  <si>
    <t xml:space="preserve">['2023-11-29 15:30:00']</t>
  </si>
  <si>
    <t xml:space="preserve">PHARMACIE PHARMAVANCE</t>
  </si>
  <si>
    <t xml:space="preserve">315 RUE DE VAUGIRARD</t>
  </si>
  <si>
    <t xml:space="preserve">01 48 28 45 85</t>
  </si>
  <si>
    <t xml:space="preserve">48.8385206</t>
  </si>
  <si>
    <t xml:space="preserve">2.2990707</t>
  </si>
  <si>
    <t xml:space="preserve">PHARMAZON</t>
  </si>
  <si>
    <t xml:space="preserve">PHARMACIE DE VILLIERS</t>
  </si>
  <si>
    <t xml:space="preserve">8 AVENUE DE VILLIERS</t>
  </si>
  <si>
    <t xml:space="preserve">01 47 63 36 51</t>
  </si>
  <si>
    <t xml:space="preserve">48.8817165</t>
  </si>
  <si>
    <t xml:space="preserve">2.3153279</t>
  </si>
  <si>
    <t xml:space="preserve">PHARMACIE CENTRALE</t>
  </si>
  <si>
    <t xml:space="preserve">52 54 RUE DU COMMERCE</t>
  </si>
  <si>
    <t xml:space="preserve">01 45 79 75 01</t>
  </si>
  <si>
    <t xml:space="preserve">48.848172</t>
  </si>
  <si>
    <t xml:space="preserve">2.2968904</t>
  </si>
  <si>
    <t xml:space="preserve">['2024-01-10 10:00:00']</t>
  </si>
  <si>
    <t xml:space="preserve">PHARMACIE NECKER</t>
  </si>
  <si>
    <t xml:space="preserve">38 BOULEVARD DU MONTPARNASSE</t>
  </si>
  <si>
    <t xml:space="preserve">01 42 22 31 15</t>
  </si>
  <si>
    <t xml:space="preserve">48.8451299</t>
  </si>
  <si>
    <t xml:space="preserve">2.319555</t>
  </si>
  <si>
    <t xml:space="preserve">['2023-12-05 10:00:00']</t>
  </si>
  <si>
    <t xml:space="preserve">47 BOULEVARD PASTEUR</t>
  </si>
  <si>
    <t xml:space="preserve">01 47 83 69 27</t>
  </si>
  <si>
    <t xml:space="preserve">48.8422471</t>
  </si>
  <si>
    <t xml:space="preserve">2.3135585</t>
  </si>
  <si>
    <t xml:space="preserve">COTE PHARMA</t>
  </si>
  <si>
    <t xml:space="preserve">PHARMACIE DE LA MUETTE</t>
  </si>
  <si>
    <t xml:space="preserve">2 AVENUE MOZART</t>
  </si>
  <si>
    <t xml:space="preserve">01 42 88 21 69</t>
  </si>
  <si>
    <t xml:space="preserve">48.8579148</t>
  </si>
  <si>
    <t xml:space="preserve">2.2738227</t>
  </si>
  <si>
    <t xml:space="preserve">PHARMACIE EL KAIM LESELBAUM</t>
  </si>
  <si>
    <t xml:space="preserve">1 PLACE DE LA REPUBLIQUE</t>
  </si>
  <si>
    <t xml:space="preserve">01 47 37 03 26</t>
  </si>
  <si>
    <t xml:space="preserve">48.8931647</t>
  </si>
  <si>
    <t xml:space="preserve">2.28901</t>
  </si>
  <si>
    <t xml:space="preserve">['2024-02-20 09:30:00']</t>
  </si>
  <si>
    <t xml:space="preserve">PHARMACIE DUROC</t>
  </si>
  <si>
    <t xml:space="preserve">76 RUE DE SEVRES</t>
  </si>
  <si>
    <t xml:space="preserve">01 47 34 76 01</t>
  </si>
  <si>
    <t xml:space="preserve">48.8475511</t>
  </si>
  <si>
    <t xml:space="preserve">2.3183826</t>
  </si>
  <si>
    <t xml:space="preserve">PHARMACIE DELOISON</t>
  </si>
  <si>
    <t xml:space="preserve">9 B RUE ERNEST DELOISON</t>
  </si>
  <si>
    <t xml:space="preserve">01 46 24 70 50</t>
  </si>
  <si>
    <t xml:space="preserve">48.8772053</t>
  </si>
  <si>
    <t xml:space="preserve">2.2487279</t>
  </si>
  <si>
    <t xml:space="preserve">PHARMACIE DU PONT DE NEUILLY</t>
  </si>
  <si>
    <t xml:space="preserve">174 AVENUE CHARLES DE GAULLE</t>
  </si>
  <si>
    <t xml:space="preserve">01 46 24 75 32</t>
  </si>
  <si>
    <t xml:space="preserve">48.8854362</t>
  </si>
  <si>
    <t xml:space="preserve">2.2594645</t>
  </si>
  <si>
    <t xml:space="preserve">ALPHEGA DIAMANT</t>
  </si>
  <si>
    <t xml:space="preserve">PHARMACIE LECOURBE CAMBRONNE</t>
  </si>
  <si>
    <t xml:space="preserve">01 47 34 05 52</t>
  </si>
  <si>
    <t xml:space="preserve">48.8427695</t>
  </si>
  <si>
    <t xml:space="preserve">2.3027722</t>
  </si>
  <si>
    <t xml:space="preserve">['2023-11-29 10:00:00']</t>
  </si>
  <si>
    <t xml:space="preserve">PHARMACIE DU TRIANGLE</t>
  </si>
  <si>
    <t xml:space="preserve">2 AVENUE DE FRIEDLAND</t>
  </si>
  <si>
    <t xml:space="preserve">01 45 61 17 80</t>
  </si>
  <si>
    <t xml:space="preserve">48.8750004</t>
  </si>
  <si>
    <t xml:space="preserve">2.3048594</t>
  </si>
  <si>
    <t xml:space="preserve">PHARMACIE STORNI REHBY</t>
  </si>
  <si>
    <t xml:space="preserve">27 RUE DE MIROMESNIL</t>
  </si>
  <si>
    <t xml:space="preserve">01 42 65 27 49</t>
  </si>
  <si>
    <t xml:space="preserve">48.8729808</t>
  </si>
  <si>
    <t xml:space="preserve">2.3159075</t>
  </si>
  <si>
    <t xml:space="preserve">PHARMACIE WUHRLIN CHARBONNEL</t>
  </si>
  <si>
    <t xml:space="preserve">64 RUE DE TOCQUEVILLE</t>
  </si>
  <si>
    <t xml:space="preserve">01 43 80 13 40</t>
  </si>
  <si>
    <t xml:space="preserve">48.8849438</t>
  </si>
  <si>
    <t xml:space="preserve">2.3109526</t>
  </si>
  <si>
    <t xml:space="preserve">LEADER SANTE/ APRIUM STAR</t>
  </si>
  <si>
    <t xml:space="preserve">PHARMACIE DE PARIS</t>
  </si>
  <si>
    <t xml:space="preserve">5 PLACE DE LA PORTE DE CHAMPERRET</t>
  </si>
  <si>
    <t xml:space="preserve">01 45 72 43 25</t>
  </si>
  <si>
    <t xml:space="preserve">48.885673</t>
  </si>
  <si>
    <t xml:space="preserve">2.2903323</t>
  </si>
  <si>
    <t xml:space="preserve">PHARMACIE SOLARD</t>
  </si>
  <si>
    <t xml:space="preserve">106 BOULEVARD DE COURCELLES</t>
  </si>
  <si>
    <t xml:space="preserve">01 47 63 45 48</t>
  </si>
  <si>
    <t xml:space="preserve">48.8790601</t>
  </si>
  <si>
    <t xml:space="preserve">2.3019183</t>
  </si>
  <si>
    <t xml:space="preserve">PHARMACIE EUROPEENNE</t>
  </si>
  <si>
    <t xml:space="preserve">01 47 23 39 25</t>
  </si>
  <si>
    <t xml:space="preserve">48.8673547</t>
  </si>
  <si>
    <t xml:space="preserve">2.30338</t>
  </si>
  <si>
    <t xml:space="preserve">['2024-02-21 09:30:00']</t>
  </si>
  <si>
    <t xml:space="preserve">PHARMACIE DE L EUROPE</t>
  </si>
  <si>
    <t xml:space="preserve">20 AVENUE DE L EUROPE</t>
  </si>
  <si>
    <t xml:space="preserve">01 47 48 06 07</t>
  </si>
  <si>
    <t xml:space="preserve">48.8978543</t>
  </si>
  <si>
    <t xml:space="preserve">2.282726</t>
  </si>
  <si>
    <t xml:space="preserve">PHARMACIE DU TROCADERO</t>
  </si>
  <si>
    <t xml:space="preserve">01 47 27 84 60</t>
  </si>
  <si>
    <t xml:space="preserve">48.8650763</t>
  </si>
  <si>
    <t xml:space="preserve">2.2884537</t>
  </si>
  <si>
    <t xml:space="preserve">PHARMACIE DE LA PORTE D ASNIERES</t>
  </si>
  <si>
    <t xml:space="preserve">96 BOULEVARD BERTHIER</t>
  </si>
  <si>
    <t xml:space="preserve">01 47 64 94 12</t>
  </si>
  <si>
    <t xml:space="preserve">48.8900107</t>
  </si>
  <si>
    <t xml:space="preserve">2.3033885</t>
  </si>
  <si>
    <t xml:space="preserve">PHARMACIE DE LA PORTE BRANCION</t>
  </si>
  <si>
    <t xml:space="preserve">94 BOULEVARD LEFEBVRE</t>
  </si>
  <si>
    <t xml:space="preserve">01 48 28 32 55</t>
  </si>
  <si>
    <t xml:space="preserve">48.8284684</t>
  </si>
  <si>
    <t xml:space="preserve">2.3010363</t>
  </si>
  <si>
    <t xml:space="preserve">PHARMACIE DU DRUGSTORE CHAMPS ELYSEE</t>
  </si>
  <si>
    <t xml:space="preserve">133 AVENUE DES CHAMPS ELYSEES</t>
  </si>
  <si>
    <t xml:space="preserve">01 47 20 39 25</t>
  </si>
  <si>
    <t xml:space="preserve">48.8727993</t>
  </si>
  <si>
    <t xml:space="preserve">2.297003</t>
  </si>
  <si>
    <t xml:space="preserve">PHARMACIE GRENELLE TOUR EIFFEL</t>
  </si>
  <si>
    <t xml:space="preserve">63 BOULEVARD DE GRENELLE</t>
  </si>
  <si>
    <t xml:space="preserve">01 45 79 18 51</t>
  </si>
  <si>
    <t xml:space="preserve">48.8507855</t>
  </si>
  <si>
    <t xml:space="preserve">2.2931492</t>
  </si>
  <si>
    <t xml:space="preserve">PHARMACIE SAINT JAMES</t>
  </si>
  <si>
    <t xml:space="preserve">14 AVENUE DE MADRID</t>
  </si>
  <si>
    <t xml:space="preserve">01 46 24 03 34</t>
  </si>
  <si>
    <t xml:space="preserve">48.8832262</t>
  </si>
  <si>
    <t xml:space="preserve">2.2596147</t>
  </si>
  <si>
    <t xml:space="preserve">PHARMACIE FRANCAISE</t>
  </si>
  <si>
    <t xml:space="preserve">40 RUE DES ACACIAS</t>
  </si>
  <si>
    <t xml:space="preserve">01 43 80 18 26</t>
  </si>
  <si>
    <t xml:space="preserve">48.8772108</t>
  </si>
  <si>
    <t xml:space="preserve">2.2925204</t>
  </si>
  <si>
    <t xml:space="preserve">SYNERGIPHAR</t>
  </si>
  <si>
    <t xml:space="preserve">PHARMACIE MATIGNON</t>
  </si>
  <si>
    <t xml:space="preserve">1 AVENUE MATIGNON</t>
  </si>
  <si>
    <t xml:space="preserve">01 43 59 86 55</t>
  </si>
  <si>
    <t xml:space="preserve">48.8696279</t>
  </si>
  <si>
    <t xml:space="preserve">2.3109458</t>
  </si>
  <si>
    <t xml:space="preserve">PHARMACIE DE SEVRES</t>
  </si>
  <si>
    <t xml:space="preserve">119 RUE DE SEVRES</t>
  </si>
  <si>
    <t xml:space="preserve">01 47 34 36 64</t>
  </si>
  <si>
    <t xml:space="preserve">48.8477609</t>
  </si>
  <si>
    <t xml:space="preserve">2.3193475</t>
  </si>
  <si>
    <t xml:space="preserve">PHARMACIE DE PRONY</t>
  </si>
  <si>
    <t xml:space="preserve">53 RUE DE PRONY</t>
  </si>
  <si>
    <t xml:space="preserve">01 47 63 30 16</t>
  </si>
  <si>
    <t xml:space="preserve">48.8822691</t>
  </si>
  <si>
    <t xml:space="preserve">2.3040656</t>
  </si>
  <si>
    <t xml:space="preserve">['2023-11-08 15:00:00']</t>
  </si>
  <si>
    <t xml:space="preserve">PHARMACIE DE CHAILLOT</t>
  </si>
  <si>
    <t xml:space="preserve">19 RUE BENJAMIN FRANKLIN</t>
  </si>
  <si>
    <t xml:space="preserve">01 45 24 01 40</t>
  </si>
  <si>
    <t xml:space="preserve">48.8601176</t>
  </si>
  <si>
    <t xml:space="preserve">2.2855458</t>
  </si>
  <si>
    <t xml:space="preserve">GIPHAR</t>
  </si>
  <si>
    <t xml:space="preserve">PHARMACIE MALLET SELLAM</t>
  </si>
  <si>
    <t xml:space="preserve">151 BOULEVARD MALESHERBES</t>
  </si>
  <si>
    <t xml:space="preserve">01 45 74 36 49</t>
  </si>
  <si>
    <t xml:space="preserve">48.8849221</t>
  </si>
  <si>
    <t xml:space="preserve">2.3073186</t>
  </si>
  <si>
    <t xml:space="preserve">PHARMACIE DE COURVAL</t>
  </si>
  <si>
    <t xml:space="preserve">4 RUE POUSSIN</t>
  </si>
  <si>
    <t xml:space="preserve">01 42 88 07 71</t>
  </si>
  <si>
    <t xml:space="preserve">48.8489965</t>
  </si>
  <si>
    <t xml:space="preserve">2.2657409</t>
  </si>
  <si>
    <t xml:space="preserve">PHARMAVIE GOLD</t>
  </si>
  <si>
    <t xml:space="preserve">PHARMACIE PLACE CAMBRONNE</t>
  </si>
  <si>
    <t xml:space="preserve">6 PLACE CAMBRONNE</t>
  </si>
  <si>
    <t xml:space="preserve">01 45 67 12 86</t>
  </si>
  <si>
    <t xml:space="preserve">48.8479668</t>
  </si>
  <si>
    <t xml:space="preserve">2.301559712188749</t>
  </si>
  <si>
    <t xml:space="preserve">PHARMACIE KLEBER</t>
  </si>
  <si>
    <t xml:space="preserve">91 AVENUE KLEBER</t>
  </si>
  <si>
    <t xml:space="preserve">01 47 27 95 09</t>
  </si>
  <si>
    <t xml:space="preserve">48.8639478</t>
  </si>
  <si>
    <t xml:space="preserve">2.2881796</t>
  </si>
  <si>
    <t xml:space="preserve">PHARMACIE REMUSAT</t>
  </si>
  <si>
    <t xml:space="preserve">14 RUE DE REMUSAT</t>
  </si>
  <si>
    <t xml:space="preserve">01 45 25 18 50</t>
  </si>
  <si>
    <t xml:space="preserve">48.8481247</t>
  </si>
  <si>
    <t xml:space="preserve">2.271359</t>
  </si>
  <si>
    <t xml:space="preserve">PHARMACIE MOREAU</t>
  </si>
  <si>
    <t xml:space="preserve">5 PLACE DE MEXICO</t>
  </si>
  <si>
    <t xml:space="preserve">01 47 27 81 95</t>
  </si>
  <si>
    <t xml:space="preserve">48.8653066</t>
  </si>
  <si>
    <t xml:space="preserve">2.2830351</t>
  </si>
  <si>
    <t xml:space="preserve">PHARMACIE SAINT FERDINAND</t>
  </si>
  <si>
    <t xml:space="preserve">9 RUE SAINT FERDINAND</t>
  </si>
  <si>
    <t xml:space="preserve">01 45 74 53 58</t>
  </si>
  <si>
    <t xml:space="preserve">48.8785599</t>
  </si>
  <si>
    <t xml:space="preserve">2.2896542</t>
  </si>
  <si>
    <t xml:space="preserve">PHARMACIE BOUCICAUT</t>
  </si>
  <si>
    <t xml:space="preserve">45 AVENUE FELIX FAURE</t>
  </si>
  <si>
    <t xml:space="preserve">01 45 58 45 89</t>
  </si>
  <si>
    <t xml:space="preserve">48.8407954</t>
  </si>
  <si>
    <t xml:space="preserve">2.2874031</t>
  </si>
  <si>
    <t xml:space="preserve">PHARMACIE BOISSIERE</t>
  </si>
  <si>
    <t xml:space="preserve">43 45 AVENUE KLEBER</t>
  </si>
  <si>
    <t xml:space="preserve">01 47 27 83 68</t>
  </si>
  <si>
    <t xml:space="preserve">48.8678188</t>
  </si>
  <si>
    <t xml:space="preserve">2.2907004</t>
  </si>
  <si>
    <t xml:space="preserve">PHARMACIE SAINT PIERRE</t>
  </si>
  <si>
    <t xml:space="preserve">18 RUE GEORGES BIZET</t>
  </si>
  <si>
    <t xml:space="preserve">01 47 20 03 81</t>
  </si>
  <si>
    <t xml:space="preserve">48.867581</t>
  </si>
  <si>
    <t xml:space="preserve">2.2974189</t>
  </si>
  <si>
    <t xml:space="preserve">['2024-01-19 16:00:00']</t>
  </si>
  <si>
    <t xml:space="preserve">PHARMACIE TREBOIS</t>
  </si>
  <si>
    <t xml:space="preserve">35 RUE TREBOIS</t>
  </si>
  <si>
    <t xml:space="preserve">01 47 37 18 65</t>
  </si>
  <si>
    <t xml:space="preserve">48.8918317</t>
  </si>
  <si>
    <t xml:space="preserve">2.2891491</t>
  </si>
  <si>
    <t xml:space="preserve">PHARMACIE VICTOR HUGO</t>
  </si>
  <si>
    <t xml:space="preserve">73 RUE VICTOR HUGO</t>
  </si>
  <si>
    <t xml:space="preserve">01 47 37 08 04</t>
  </si>
  <si>
    <t xml:space="preserve">48.8956945</t>
  </si>
  <si>
    <t xml:space="preserve">2.2965747</t>
  </si>
  <si>
    <t xml:space="preserve">GRANDE PHARMACIE DU 15EME</t>
  </si>
  <si>
    <t xml:space="preserve">119 RUE SAINT CHARLES</t>
  </si>
  <si>
    <t xml:space="preserve">01 45 77 88 46</t>
  </si>
  <si>
    <t xml:space="preserve">48.8444721</t>
  </si>
  <si>
    <t xml:space="preserve">2.2838067</t>
  </si>
  <si>
    <t xml:space="preserve">SYNERGIPHAR CAP</t>
  </si>
  <si>
    <t xml:space="preserve">PHARMACIE GRANDE PHARMACIE CENTRALE PASTEUR</t>
  </si>
  <si>
    <t xml:space="preserve">59 BOULEVARD PASTEUR</t>
  </si>
  <si>
    <t xml:space="preserve">01 43 20 78 19</t>
  </si>
  <si>
    <t xml:space="preserve">48.8415201</t>
  </si>
  <si>
    <t xml:space="preserve">2.3143315</t>
  </si>
  <si>
    <t xml:space="preserve">PHARMACIE DES SPORTS</t>
  </si>
  <si>
    <t xml:space="preserve">2 PLACE DU GENERAL KOENIG</t>
  </si>
  <si>
    <t xml:space="preserve">01 45 74 31 10</t>
  </si>
  <si>
    <t xml:space="preserve">48.8809434</t>
  </si>
  <si>
    <t xml:space="preserve">2.2849959</t>
  </si>
  <si>
    <t xml:space="preserve">PHARMACIE DES BELLES FEUILLES</t>
  </si>
  <si>
    <t xml:space="preserve">37 41 RUE SAINT DIDIER</t>
  </si>
  <si>
    <t xml:space="preserve">01 47 27 14 72</t>
  </si>
  <si>
    <t xml:space="preserve">48.8662026</t>
  </si>
  <si>
    <t xml:space="preserve">2.2880275</t>
  </si>
  <si>
    <t xml:space="preserve">['2024-01-03 10:00:00']</t>
  </si>
  <si>
    <t xml:space="preserve">PHARMACIE BUGEAUD</t>
  </si>
  <si>
    <t xml:space="preserve">18 AVENUE BUGEAUD</t>
  </si>
  <si>
    <t xml:space="preserve">01 47 27 54 77</t>
  </si>
  <si>
    <t xml:space="preserve">48.8703349</t>
  </si>
  <si>
    <t xml:space="preserve">2.2826293</t>
  </si>
  <si>
    <t xml:space="preserve">PHARMACIE HALWANI</t>
  </si>
  <si>
    <t xml:space="preserve">19 RUE DE LOURMEL</t>
  </si>
  <si>
    <t xml:space="preserve">01 45 78 86 18</t>
  </si>
  <si>
    <t xml:space="preserve">48.8493651</t>
  </si>
  <si>
    <t xml:space="preserve">2.291455</t>
  </si>
  <si>
    <t xml:space="preserve">PHARMACIE KIM</t>
  </si>
  <si>
    <t xml:space="preserve">29 AVENUE DE FRIEDLAND</t>
  </si>
  <si>
    <t xml:space="preserve">01 45 61 12 78</t>
  </si>
  <si>
    <t xml:space="preserve">48.8741607</t>
  </si>
  <si>
    <t xml:space="preserve">2.300587</t>
  </si>
  <si>
    <t xml:space="preserve">PHARMACIE BRANCION VOUILLE</t>
  </si>
  <si>
    <t xml:space="preserve">22 RUE DE VOUILLE</t>
  </si>
  <si>
    <t xml:space="preserve">01 45 33 99 63</t>
  </si>
  <si>
    <t xml:space="preserve">48.834698</t>
  </si>
  <si>
    <t xml:space="preserve">2.304648</t>
  </si>
  <si>
    <t xml:space="preserve">PHARMACIE DE LA PORTE DE VERSAILLES</t>
  </si>
  <si>
    <t xml:space="preserve">395 397 RUE DE VAUGIRARD</t>
  </si>
  <si>
    <t xml:space="preserve">01 48 28 62 60</t>
  </si>
  <si>
    <t xml:space="preserve">48.8421594</t>
  </si>
  <si>
    <t xml:space="preserve">2.3101285</t>
  </si>
  <si>
    <t xml:space="preserve">PHARMACIE HAUSSMANN LABORDE</t>
  </si>
  <si>
    <t xml:space="preserve">130 BOULEVARD HAUSSMANN</t>
  </si>
  <si>
    <t xml:space="preserve">01 45 22 16 72</t>
  </si>
  <si>
    <t xml:space="preserve">48.8752597</t>
  </si>
  <si>
    <t xml:space="preserve">2.3169592</t>
  </si>
  <si>
    <t xml:space="preserve">['2023-07-26 15:00:00']</t>
  </si>
  <si>
    <t xml:space="preserve">COS 200</t>
  </si>
  <si>
    <t xml:space="preserve">PHARMACIE LITSCHI</t>
  </si>
  <si>
    <t xml:space="preserve">156 AVENUE VICTOR HUGO</t>
  </si>
  <si>
    <t xml:space="preserve">01 47 27 68 14</t>
  </si>
  <si>
    <t xml:space="preserve">48.8665915</t>
  </si>
  <si>
    <t xml:space="preserve">2.2777819</t>
  </si>
  <si>
    <t xml:space="preserve">PHARMACIE MIROMESNIL</t>
  </si>
  <si>
    <t xml:space="preserve">58 RUE DE MIROMESNIL</t>
  </si>
  <si>
    <t xml:space="preserve">01 45 22 18 87</t>
  </si>
  <si>
    <t xml:space="preserve">48.8755611</t>
  </si>
  <si>
    <t xml:space="preserve">2.3158595</t>
  </si>
  <si>
    <t xml:space="preserve">PHARMACIE DE L ILE DE LA JATTE</t>
  </si>
  <si>
    <t xml:space="preserve">199 BOULEVARD BINEAU</t>
  </si>
  <si>
    <t xml:space="preserve">01 46 24 16 12</t>
  </si>
  <si>
    <t xml:space="preserve">48.8944128</t>
  </si>
  <si>
    <t xml:space="preserve">2.2665112</t>
  </si>
  <si>
    <t xml:space="preserve">PHARMACIE LAHSSINI</t>
  </si>
  <si>
    <t xml:space="preserve">8 AVENUE PIERRE 1ER DE SERBIE</t>
  </si>
  <si>
    <t xml:space="preserve">01 47 20 85 28</t>
  </si>
  <si>
    <t xml:space="preserve">48.8654778</t>
  </si>
  <si>
    <t xml:space="preserve">2.2955756</t>
  </si>
  <si>
    <t xml:space="preserve">PHARMACIE PARISIENNE</t>
  </si>
  <si>
    <t xml:space="preserve">104 RUE SAINT DOMINIQUE</t>
  </si>
  <si>
    <t xml:space="preserve">01 47 05 83 95</t>
  </si>
  <si>
    <t xml:space="preserve">48.8589664</t>
  </si>
  <si>
    <t xml:space="preserve">2.3038397</t>
  </si>
  <si>
    <t xml:space="preserve">PHARMAVIE ULTIMATE</t>
  </si>
  <si>
    <t xml:space="preserve">PHARMACIE D ALLERAY</t>
  </si>
  <si>
    <t xml:space="preserve">01 48 28 58 10</t>
  </si>
  <si>
    <t xml:space="preserve">48.8370128</t>
  </si>
  <si>
    <t xml:space="preserve">2.3060462</t>
  </si>
  <si>
    <t xml:space="preserve">['2024-01-25 15:00:00']</t>
  </si>
  <si>
    <t xml:space="preserve">PHARMACIE LAURISTON 99</t>
  </si>
  <si>
    <t xml:space="preserve">99 RUE LAURISTON</t>
  </si>
  <si>
    <t xml:space="preserve">01 47 27 80 94</t>
  </si>
  <si>
    <t xml:space="preserve">48.8671627</t>
  </si>
  <si>
    <t xml:space="preserve">2.2878291</t>
  </si>
  <si>
    <t xml:space="preserve">PHARMACIE BEAUGRENELLE</t>
  </si>
  <si>
    <t xml:space="preserve">36 B RUE DES ENTREPRENEURS</t>
  </si>
  <si>
    <t xml:space="preserve">01 45 78 15 71</t>
  </si>
  <si>
    <t xml:space="preserve">48.8445322</t>
  </si>
  <si>
    <t xml:space="preserve">2.2908156</t>
  </si>
  <si>
    <t xml:space="preserve">PHARMACIE BOULAINVILLIERS</t>
  </si>
  <si>
    <t xml:space="preserve">48 RUE DE BOULAINVILLIERS</t>
  </si>
  <si>
    <t xml:space="preserve">01 42 88 21 78</t>
  </si>
  <si>
    <t xml:space="preserve">48.8559682</t>
  </si>
  <si>
    <t xml:space="preserve">2.2750029</t>
  </si>
  <si>
    <t xml:space="preserve">PHARMACIE KADIRBAY</t>
  </si>
  <si>
    <t xml:space="preserve">60 RUE DUTOT</t>
  </si>
  <si>
    <t xml:space="preserve">01 47 34 99 77</t>
  </si>
  <si>
    <t xml:space="preserve">48.8385974</t>
  </si>
  <si>
    <t xml:space="preserve">2.3086096</t>
  </si>
  <si>
    <t xml:space="preserve">GIROPHARM</t>
  </si>
  <si>
    <t xml:space="preserve">GIROPHARM PARTENAIRE</t>
  </si>
  <si>
    <t xml:space="preserve">PHARMACIE CAILLAULT</t>
  </si>
  <si>
    <t xml:space="preserve">2 RUE PIERRE DEMOURS</t>
  </si>
  <si>
    <t xml:space="preserve">01 45 74 65 23</t>
  </si>
  <si>
    <t xml:space="preserve">48.8797253</t>
  </si>
  <si>
    <t xml:space="preserve">2.2914609</t>
  </si>
  <si>
    <t xml:space="preserve">SELARL LALAURIE</t>
  </si>
  <si>
    <t xml:space="preserve">276 RUE LECOURBE</t>
  </si>
  <si>
    <t xml:space="preserve">01 45 57 62 80</t>
  </si>
  <si>
    <t xml:space="preserve">48.8384712</t>
  </si>
  <si>
    <t xml:space="preserve">2.2887008</t>
  </si>
  <si>
    <t xml:space="preserve">PHARMACIE 40 VANEAU</t>
  </si>
  <si>
    <t xml:space="preserve">40 RUE VANEAU</t>
  </si>
  <si>
    <t xml:space="preserve">01 45 51 40 23</t>
  </si>
  <si>
    <t xml:space="preserve">48.8518471</t>
  </si>
  <si>
    <t xml:space="preserve">2.3189437</t>
  </si>
  <si>
    <t xml:space="preserve">PHARMACIE DU METRO LOUISE MICHEL</t>
  </si>
  <si>
    <t xml:space="preserve">33 RUE LOUISE MICHEL</t>
  </si>
  <si>
    <t xml:space="preserve">01 47 57 00 02</t>
  </si>
  <si>
    <t xml:space="preserve">48.8887111</t>
  </si>
  <si>
    <t xml:space="preserve">2.2873958</t>
  </si>
  <si>
    <t xml:space="preserve">PHARMACIE BOULET</t>
  </si>
  <si>
    <t xml:space="preserve">40 42 RUE DU PRESIDENT WILSON</t>
  </si>
  <si>
    <t xml:space="preserve">01 47 37 43 16</t>
  </si>
  <si>
    <t xml:space="preserve">48.8948163</t>
  </si>
  <si>
    <t xml:space="preserve">2.2879069</t>
  </si>
  <si>
    <t xml:space="preserve">PHARMACIE JEANNE</t>
  </si>
  <si>
    <t xml:space="preserve">182 AVENUE DE VERSAILLES</t>
  </si>
  <si>
    <t xml:space="preserve">01 42 88 48 18</t>
  </si>
  <si>
    <t xml:space="preserve">48.8396083</t>
  </si>
  <si>
    <t xml:space="preserve">2.2622127</t>
  </si>
  <si>
    <t xml:space="preserve">PHARMACIE BIR HAKEIM</t>
  </si>
  <si>
    <t xml:space="preserve">6 BOULEVARD DE GRENELLE</t>
  </si>
  <si>
    <t xml:space="preserve">01 45 77 33 30</t>
  </si>
  <si>
    <t xml:space="preserve">48.8537653</t>
  </si>
  <si>
    <t xml:space="preserve">2.289141</t>
  </si>
  <si>
    <t xml:space="preserve">PHARMACIE 111</t>
  </si>
  <si>
    <t xml:space="preserve">111 AVENUE VICTOR HUGO</t>
  </si>
  <si>
    <t xml:space="preserve">01 45 53 82 20</t>
  </si>
  <si>
    <t xml:space="preserve">48.8685164</t>
  </si>
  <si>
    <t xml:space="preserve">2.2829139</t>
  </si>
  <si>
    <t xml:space="preserve">MB PHARM</t>
  </si>
  <si>
    <t xml:space="preserve">19 AVENUE FELIX FAURE</t>
  </si>
  <si>
    <t xml:space="preserve">01 45 57 72 37</t>
  </si>
  <si>
    <t xml:space="preserve">48.8420925</t>
  </si>
  <si>
    <t xml:space="preserve">2.2906251</t>
  </si>
  <si>
    <t xml:space="preserve">PHARMACIE DU SEPTIEME</t>
  </si>
  <si>
    <t xml:space="preserve">18 B AVENUE DE LA MOTTE PICQUET</t>
  </si>
  <si>
    <t xml:space="preserve">01 45 51 31 82</t>
  </si>
  <si>
    <t xml:space="preserve">48.8560698</t>
  </si>
  <si>
    <t xml:space="preserve">2.3078575</t>
  </si>
  <si>
    <t xml:space="preserve">PHARMATAM</t>
  </si>
  <si>
    <t xml:space="preserve">76 RUE DES ENTREPRENEURS</t>
  </si>
  <si>
    <t xml:space="preserve">01 45 78 80 33</t>
  </si>
  <si>
    <t xml:space="preserve">48.8447606</t>
  </si>
  <si>
    <t xml:space="preserve">2.2900122</t>
  </si>
  <si>
    <t xml:space="preserve">GRANDE PHARMACIE DU MARCHE</t>
  </si>
  <si>
    <t xml:space="preserve">211 RUE DE LA CONVENTION</t>
  </si>
  <si>
    <t xml:space="preserve">01 48 28 67 92</t>
  </si>
  <si>
    <t xml:space="preserve">48.836454</t>
  </si>
  <si>
    <t xml:space="preserve">2.2994511</t>
  </si>
  <si>
    <t xml:space="preserve">PHARMACIE ALTOBELLI CHEKROUN</t>
  </si>
  <si>
    <t xml:space="preserve">75 RUE SAINT DOMINIQUE</t>
  </si>
  <si>
    <t xml:space="preserve">01 45 51 63 67</t>
  </si>
  <si>
    <t xml:space="preserve">48.8597979</t>
  </si>
  <si>
    <t xml:space="preserve">2.3090162</t>
  </si>
  <si>
    <t xml:space="preserve">['2024-01-16 17:00:00']</t>
  </si>
  <si>
    <t xml:space="preserve">PHARMACIE PARIS EIFFEL</t>
  </si>
  <si>
    <t xml:space="preserve">114 RUE SAINT DOMINIQUE</t>
  </si>
  <si>
    <t xml:space="preserve">01 47 05 45 80</t>
  </si>
  <si>
    <t xml:space="preserve">48.8583161</t>
  </si>
  <si>
    <t xml:space="preserve">2.3017982</t>
  </si>
  <si>
    <t xml:space="preserve">['2024-02-16 09:00:00']</t>
  </si>
  <si>
    <t xml:space="preserve">PHARMACIE DE LA FAISANDERIE</t>
  </si>
  <si>
    <t xml:space="preserve">63 RUE DE LA FAISANDERIE</t>
  </si>
  <si>
    <t xml:space="preserve">01 47 27 36 76</t>
  </si>
  <si>
    <t xml:space="preserve">48.8682407</t>
  </si>
  <si>
    <t xml:space="preserve">2.2756536</t>
  </si>
  <si>
    <t xml:space="preserve">PHARMACIE TERNES MAC MAHON</t>
  </si>
  <si>
    <t xml:space="preserve">29 AVENUE DES TERNES</t>
  </si>
  <si>
    <t xml:space="preserve">01 46 22 04 85</t>
  </si>
  <si>
    <t xml:space="preserve">48.8783503</t>
  </si>
  <si>
    <t xml:space="preserve">2.2947778</t>
  </si>
  <si>
    <t xml:space="preserve">PHARMACIE ABITBOL</t>
  </si>
  <si>
    <t xml:space="preserve">92 RUE ARISTIDE BRIAND</t>
  </si>
  <si>
    <t xml:space="preserve">01 47 37 13 84</t>
  </si>
  <si>
    <t xml:space="preserve">48.8933202</t>
  </si>
  <si>
    <t xml:space="preserve">2.290594</t>
  </si>
  <si>
    <t xml:space="preserve">PHARMACIE VERSAILLES MIRABEAU</t>
  </si>
  <si>
    <t xml:space="preserve">38 AVENUE DE VERSAILLES</t>
  </si>
  <si>
    <t xml:space="preserve">01 45 27 29 56</t>
  </si>
  <si>
    <t xml:space="preserve">48.8493322</t>
  </si>
  <si>
    <t xml:space="preserve">2.2754183</t>
  </si>
  <si>
    <t xml:space="preserve">PHARM DE LA PLACE</t>
  </si>
  <si>
    <t xml:space="preserve">9 PLACE DU GENERAL BEURET</t>
  </si>
  <si>
    <t xml:space="preserve">01 48 28 56 11</t>
  </si>
  <si>
    <t xml:space="preserve">48.8416806</t>
  </si>
  <si>
    <t xml:space="preserve">2.3030556</t>
  </si>
  <si>
    <t xml:space="preserve">PHARMACIE AMAR</t>
  </si>
  <si>
    <t xml:space="preserve">242 RUE DE LA CONVENTION</t>
  </si>
  <si>
    <t xml:space="preserve">01 48 28 96 98</t>
  </si>
  <si>
    <t xml:space="preserve">48.8357916</t>
  </si>
  <si>
    <t xml:space="preserve">2.3010819</t>
  </si>
  <si>
    <t xml:space="preserve">PHIE CONVENTION SAINT CHARLES</t>
  </si>
  <si>
    <t xml:space="preserve">55 B RUE DE LA CONVENTION</t>
  </si>
  <si>
    <t xml:space="preserve">01 45 77 57 94</t>
  </si>
  <si>
    <t xml:space="preserve">48.8356683</t>
  </si>
  <si>
    <t xml:space="preserve">2.3018423</t>
  </si>
  <si>
    <t xml:space="preserve">PHARMACIE 2L PHARMA</t>
  </si>
  <si>
    <t xml:space="preserve">35 RUE JEAN DE LA FONTAINE</t>
  </si>
  <si>
    <t xml:space="preserve">01 45 27 01 62</t>
  </si>
  <si>
    <t xml:space="preserve">48.8507222</t>
  </si>
  <si>
    <t xml:space="preserve">2.2716041</t>
  </si>
  <si>
    <t xml:space="preserve">PHARMACIE DU CENTRE</t>
  </si>
  <si>
    <t xml:space="preserve">89 AVENUE DU ROULE</t>
  </si>
  <si>
    <t xml:space="preserve">01 46 24 02 42</t>
  </si>
  <si>
    <t xml:space="preserve">48.8831531</t>
  </si>
  <si>
    <t xml:space="preserve">2.2738914</t>
  </si>
  <si>
    <t xml:space="preserve">PHARMACIE LA PH DU MARCHE</t>
  </si>
  <si>
    <t xml:space="preserve">197 AVENUE DE VERSAILLES</t>
  </si>
  <si>
    <t xml:space="preserve">01 46 51 64 08</t>
  </si>
  <si>
    <t xml:space="preserve">48.8388236</t>
  </si>
  <si>
    <t xml:space="preserve">2.2608394</t>
  </si>
  <si>
    <t xml:space="preserve">['2023-11-29 14:30:00']</t>
  </si>
  <si>
    <t xml:space="preserve">PHARMACIE ANGLO AMERICAINE</t>
  </si>
  <si>
    <t xml:space="preserve">37 AVENUE MARCEAU</t>
  </si>
  <si>
    <t xml:space="preserve">01 47 20 57 37</t>
  </si>
  <si>
    <t xml:space="preserve">48.8681424</t>
  </si>
  <si>
    <t xml:space="preserve">2.2987653</t>
  </si>
  <si>
    <t xml:space="preserve">PHARMACIE DU FAUBOURG ST HONORE</t>
  </si>
  <si>
    <t xml:space="preserve">122 RUE DU FAUBOURG SAINT HONORE</t>
  </si>
  <si>
    <t xml:space="preserve">01 45 62 88 93</t>
  </si>
  <si>
    <t xml:space="preserve">48.8720548</t>
  </si>
  <si>
    <t xml:space="preserve">2.3134849</t>
  </si>
  <si>
    <t xml:space="preserve">PHARMACIE CENTRALE D AUTEUIL</t>
  </si>
  <si>
    <t xml:space="preserve">122 RUE JEAN DE LA FONTAINE</t>
  </si>
  <si>
    <t xml:space="preserve">01 42 88 04 86</t>
  </si>
  <si>
    <t xml:space="preserve">48.8482684</t>
  </si>
  <si>
    <t xml:space="preserve">2.2644971</t>
  </si>
  <si>
    <t xml:space="preserve">['2023-11-08 09:30:00']</t>
  </si>
  <si>
    <t xml:space="preserve">PHARMACIE LA FONTAINE</t>
  </si>
  <si>
    <t xml:space="preserve">4 RUE JEAN DE LA FONTAINE</t>
  </si>
  <si>
    <t xml:space="preserve">01 42 88 79 51</t>
  </si>
  <si>
    <t xml:space="preserve">48.8527939</t>
  </si>
  <si>
    <t xml:space="preserve">2.2754848</t>
  </si>
  <si>
    <t xml:space="preserve">PHARMACIE BOSQUET GRENELLE</t>
  </si>
  <si>
    <t xml:space="preserve">49 AVENUE BOSQUET</t>
  </si>
  <si>
    <t xml:space="preserve">01 45 51 35 91</t>
  </si>
  <si>
    <t xml:space="preserve">48.8571082</t>
  </si>
  <si>
    <t xml:space="preserve">2.3045687</t>
  </si>
  <si>
    <t xml:space="preserve">PHARMACIE ACTIPHARMA</t>
  </si>
  <si>
    <t xml:space="preserve">60 RUE LECOURBE</t>
  </si>
  <si>
    <t xml:space="preserve">01 47 34 23 57</t>
  </si>
  <si>
    <t xml:space="preserve">48.843882</t>
  </si>
  <si>
    <t xml:space="preserve">2.3066432</t>
  </si>
  <si>
    <t xml:space="preserve">PHARMACIE DE LA POSTE</t>
  </si>
  <si>
    <t xml:space="preserve">60 RUE DE LA CROIX NIVERT</t>
  </si>
  <si>
    <t xml:space="preserve">01 48 28 31 14</t>
  </si>
  <si>
    <t xml:space="preserve">48.8451633</t>
  </si>
  <si>
    <t xml:space="preserve">2.2974608</t>
  </si>
  <si>
    <t xml:space="preserve">PHARMACIE MCZ PHARMA</t>
  </si>
  <si>
    <t xml:space="preserve">70 RUE DU BAC</t>
  </si>
  <si>
    <t xml:space="preserve">01 45 48 99 74</t>
  </si>
  <si>
    <t xml:space="preserve">48.8555391</t>
  </si>
  <si>
    <t xml:space="preserve">2.3250515</t>
  </si>
  <si>
    <t xml:space="preserve">PHARMACIE LAMARTINE</t>
  </si>
  <si>
    <t xml:space="preserve">132 AVENUE VICTOR HUGO</t>
  </si>
  <si>
    <t xml:space="preserve">01 47 27 87 85</t>
  </si>
  <si>
    <t xml:space="preserve">48.8675343</t>
  </si>
  <si>
    <t xml:space="preserve">2.2800026</t>
  </si>
  <si>
    <t xml:space="preserve">PHARMACIE MEXICO</t>
  </si>
  <si>
    <t xml:space="preserve">9 PLACE DE MEXICO</t>
  </si>
  <si>
    <t xml:space="preserve">01 47 27 92 28</t>
  </si>
  <si>
    <t xml:space="preserve">48.8655226</t>
  </si>
  <si>
    <t xml:space="preserve">2.2829694</t>
  </si>
  <si>
    <t xml:space="preserve">PHARMACIE DUBLY</t>
  </si>
  <si>
    <t xml:space="preserve">72 AVENUE KLEBER</t>
  </si>
  <si>
    <t xml:space="preserve">01 47 27 97 51</t>
  </si>
  <si>
    <t xml:space="preserve">48.8675473</t>
  </si>
  <si>
    <t xml:space="preserve">2.2902464</t>
  </si>
  <si>
    <t xml:space="preserve">['2023-07-24 11:00:00']</t>
  </si>
  <si>
    <t xml:space="preserve">PHARM 35</t>
  </si>
  <si>
    <t xml:space="preserve">35 BOULEVARD GOUVION SAINT CYR</t>
  </si>
  <si>
    <t xml:space="preserve">01 45 72 47 52</t>
  </si>
  <si>
    <t xml:space="preserve">48.8830364</t>
  </si>
  <si>
    <t xml:space="preserve">2.2877333</t>
  </si>
  <si>
    <t xml:space="preserve">PHR</t>
  </si>
  <si>
    <t xml:space="preserve">PHARMACIE GAUMERAIS</t>
  </si>
  <si>
    <t xml:space="preserve">59 BOULEVARD LEFEBVRE</t>
  </si>
  <si>
    <t xml:space="preserve">01 48 28 02 27</t>
  </si>
  <si>
    <t xml:space="preserve">48.8310694</t>
  </si>
  <si>
    <t xml:space="preserve">2.2925616</t>
  </si>
  <si>
    <t xml:space="preserve">UNIPHARM GRAND OUEST</t>
  </si>
  <si>
    <t xml:space="preserve">PHIE ROND POINT CHAMPS ELYSEES</t>
  </si>
  <si>
    <t xml:space="preserve">49 B AVENUE FRANKLIN DELANO ROOSEVELT</t>
  </si>
  <si>
    <t xml:space="preserve">01 43 59 23 71</t>
  </si>
  <si>
    <t xml:space="preserve">48.8659605</t>
  </si>
  <si>
    <t xml:space="preserve">2.3101845</t>
  </si>
  <si>
    <t xml:space="preserve">PHARMACIE SIBONI</t>
  </si>
  <si>
    <t xml:space="preserve">188 RUE LECOURBE</t>
  </si>
  <si>
    <t xml:space="preserve">01 45 32 95 42</t>
  </si>
  <si>
    <t xml:space="preserve">48.8409056</t>
  </si>
  <si>
    <t xml:space="preserve">2.2966952</t>
  </si>
  <si>
    <t xml:space="preserve">PHARM DU PARC MONCEAU</t>
  </si>
  <si>
    <t xml:space="preserve">63 RUE DE COURCELLES</t>
  </si>
  <si>
    <t xml:space="preserve">01 47 66 42 32</t>
  </si>
  <si>
    <t xml:space="preserve">48.8775557</t>
  </si>
  <si>
    <t xml:space="preserve">2.3059693</t>
  </si>
  <si>
    <t xml:space="preserve">PHARMACIE DU PALAIS DES SPORTS</t>
  </si>
  <si>
    <t xml:space="preserve">32 RUE GABRIEL PERI</t>
  </si>
  <si>
    <t xml:space="preserve">01 47 57 86 57</t>
  </si>
  <si>
    <t xml:space="preserve">48.8911022</t>
  </si>
  <si>
    <t xml:space="preserve">2.2886981</t>
  </si>
  <si>
    <t xml:space="preserve">PHARMACIE RIVE GAUCHE</t>
  </si>
  <si>
    <t xml:space="preserve">4 AVENUE EMILE ZOLA</t>
  </si>
  <si>
    <t xml:space="preserve">09 67 48 85 93</t>
  </si>
  <si>
    <t xml:space="preserve">48.8460554</t>
  </si>
  <si>
    <t xml:space="preserve">2.277998</t>
  </si>
  <si>
    <t xml:space="preserve">PHARMACIE BUFFON</t>
  </si>
  <si>
    <t xml:space="preserve">185 RUE DE VAUGIRARD</t>
  </si>
  <si>
    <t xml:space="preserve">01 47 34 35 66</t>
  </si>
  <si>
    <t xml:space="preserve">48.8427013</t>
  </si>
  <si>
    <t xml:space="preserve">2.3120721</t>
  </si>
  <si>
    <t xml:space="preserve">['2024-01-26 15:00:00']</t>
  </si>
  <si>
    <t xml:space="preserve">PHARMACIE PHARMAVANCE VOUILLE</t>
  </si>
  <si>
    <t xml:space="preserve">3 RUE DE VOUILLE</t>
  </si>
  <si>
    <t xml:space="preserve">01 48 28 21 10</t>
  </si>
  <si>
    <t xml:space="preserve">48.8354343</t>
  </si>
  <si>
    <t xml:space="preserve">2.3030182</t>
  </si>
  <si>
    <t xml:space="preserve">PHARMACIE LEON KLOCHENDLER</t>
  </si>
  <si>
    <t xml:space="preserve">39 BOULEVARD DE GRENELLE</t>
  </si>
  <si>
    <t xml:space="preserve">01 45 79 53 19</t>
  </si>
  <si>
    <t xml:space="preserve">48.8519759</t>
  </si>
  <si>
    <t xml:space="preserve">2.2916226</t>
  </si>
  <si>
    <t xml:space="preserve">PHARMACIE CHARLES MICHELS</t>
  </si>
  <si>
    <t xml:space="preserve">9 PLACE CHARLES MICHELS</t>
  </si>
  <si>
    <t xml:space="preserve">01 45 78 01 51</t>
  </si>
  <si>
    <t xml:space="preserve">48.8468842</t>
  </si>
  <si>
    <t xml:space="preserve">2.2861377</t>
  </si>
  <si>
    <t xml:space="preserve">PHARMACIE LEFEVRE NGUYEN PHU KHAI</t>
  </si>
  <si>
    <t xml:space="preserve">42 RUE DU THEATRE</t>
  </si>
  <si>
    <t xml:space="preserve">01 45 77 15 65</t>
  </si>
  <si>
    <t xml:space="preserve">48.8488575</t>
  </si>
  <si>
    <t xml:space="preserve">2.2880307</t>
  </si>
  <si>
    <t xml:space="preserve">PHARMACIE THEOPILE GAUTIER</t>
  </si>
  <si>
    <t xml:space="preserve">2 AVENUE THEOPHILE GAUTIER</t>
  </si>
  <si>
    <t xml:space="preserve">01 42 88 05 65</t>
  </si>
  <si>
    <t xml:space="preserve">48.8510858</t>
  </si>
  <si>
    <t xml:space="preserve">2.2748156</t>
  </si>
  <si>
    <t xml:space="preserve">PHARMACIE SAINT DOMINIQUE</t>
  </si>
  <si>
    <t xml:space="preserve">88 RUE SAINT DOMINIQUE</t>
  </si>
  <si>
    <t xml:space="preserve">01 47 05 58 54</t>
  </si>
  <si>
    <t xml:space="preserve">48.8595534</t>
  </si>
  <si>
    <t xml:space="preserve">2.3064477</t>
  </si>
  <si>
    <t xml:space="preserve">PHARMACIE DU GARIGLIANO</t>
  </si>
  <si>
    <t xml:space="preserve">167 AVENUE DE VERSAILLES</t>
  </si>
  <si>
    <t xml:space="preserve">01 42 88 33 37</t>
  </si>
  <si>
    <t xml:space="preserve">48.8409897</t>
  </si>
  <si>
    <t xml:space="preserve">2.2657799</t>
  </si>
  <si>
    <t xml:space="preserve">PHARMACIE BAILLY</t>
  </si>
  <si>
    <t xml:space="preserve">48 B AVENUE MOZART</t>
  </si>
  <si>
    <t xml:space="preserve">01 42 88 13 81</t>
  </si>
  <si>
    <t xml:space="preserve">48.8523289</t>
  </si>
  <si>
    <t xml:space="preserve">2.268086</t>
  </si>
  <si>
    <t xml:space="preserve">PHARMACIE FOURCROY</t>
  </si>
  <si>
    <t xml:space="preserve">01 42 27 46 94</t>
  </si>
  <si>
    <t xml:space="preserve">48.881251</t>
  </si>
  <si>
    <t xml:space="preserve">2.2982861</t>
  </si>
  <si>
    <t xml:space="preserve">PHARMACIE SATELLITE</t>
  </si>
  <si>
    <t xml:space="preserve">118 AVENUE DE VILLIERS</t>
  </si>
  <si>
    <t xml:space="preserve">01 43 80 86 09</t>
  </si>
  <si>
    <t xml:space="preserve">48.8852491</t>
  </si>
  <si>
    <t xml:space="preserve">2.2959126</t>
  </si>
  <si>
    <t xml:space="preserve">PHARMACIE LEBON</t>
  </si>
  <si>
    <t xml:space="preserve">5 RUE LEBON</t>
  </si>
  <si>
    <t xml:space="preserve">01 45 77 01 69</t>
  </si>
  <si>
    <t xml:space="preserve">48.8806784</t>
  </si>
  <si>
    <t xml:space="preserve">2.2923066</t>
  </si>
  <si>
    <t xml:space="preserve">PHARMACIE DE L ETOILE</t>
  </si>
  <si>
    <t xml:space="preserve">9 AVENUE DE LA GRANDE ARMEE</t>
  </si>
  <si>
    <t xml:space="preserve">01 45 00 10 90</t>
  </si>
  <si>
    <t xml:space="preserve">48.8743956</t>
  </si>
  <si>
    <t xml:space="preserve">2.2919989</t>
  </si>
  <si>
    <t xml:space="preserve">PHARMACIE LORRAINE</t>
  </si>
  <si>
    <t xml:space="preserve">50 AVENUE DE WAGRAM</t>
  </si>
  <si>
    <t xml:space="preserve">01 47 63 39 93</t>
  </si>
  <si>
    <t xml:space="preserve">48.878774</t>
  </si>
  <si>
    <t xml:space="preserve">2.2989356</t>
  </si>
  <si>
    <t xml:space="preserve">PHARMACIE BOUCHERIT</t>
  </si>
  <si>
    <t xml:space="preserve">82 RUE DE LA POMPE</t>
  </si>
  <si>
    <t xml:space="preserve">01 45 04 73 66</t>
  </si>
  <si>
    <t xml:space="preserve">48.8637289</t>
  </si>
  <si>
    <t xml:space="preserve">2.2772288</t>
  </si>
  <si>
    <t xml:space="preserve">PHARMACIE PARSY</t>
  </si>
  <si>
    <t xml:space="preserve">01 42 73 00 25</t>
  </si>
  <si>
    <t xml:space="preserve">48.8578654</t>
  </si>
  <si>
    <t xml:space="preserve">2.3074783</t>
  </si>
  <si>
    <t xml:space="preserve">['2024-01-23 16:00:00']</t>
  </si>
  <si>
    <t xml:space="preserve">CEIDO</t>
  </si>
  <si>
    <t xml:space="preserve">PHARMACIE LECLERC BRAULT</t>
  </si>
  <si>
    <t xml:space="preserve">10 RUE VIGNON</t>
  </si>
  <si>
    <t xml:space="preserve">01 47 42 04 59</t>
  </si>
  <si>
    <t xml:space="preserve">48.8706562</t>
  </si>
  <si>
    <t xml:space="preserve">2.326197</t>
  </si>
  <si>
    <t xml:space="preserve">PHARMACIE HABIB DEPAILLAT</t>
  </si>
  <si>
    <t xml:space="preserve">21 RUE ERNEST COGNACQ</t>
  </si>
  <si>
    <t xml:space="preserve">01 47 57 16 14</t>
  </si>
  <si>
    <t xml:space="preserve">48.8963281</t>
  </si>
  <si>
    <t xml:space="preserve">2.276701</t>
  </si>
  <si>
    <t xml:space="preserve">PHARMACIE BAC VERNEUIL</t>
  </si>
  <si>
    <t xml:space="preserve">19 RUE DU BAC</t>
  </si>
  <si>
    <t xml:space="preserve">01 42 61 27 62</t>
  </si>
  <si>
    <t xml:space="preserve">48.8581258</t>
  </si>
  <si>
    <t xml:space="preserve">2.3283362</t>
  </si>
  <si>
    <t xml:space="preserve">GRANDE PHARMACIE PONCELET</t>
  </si>
  <si>
    <t xml:space="preserve">22 RUE PONCELET</t>
  </si>
  <si>
    <t xml:space="preserve">01 42 27 50 33</t>
  </si>
  <si>
    <t xml:space="preserve">48.8793021</t>
  </si>
  <si>
    <t xml:space="preserve">2.2976052</t>
  </si>
  <si>
    <t xml:space="preserve">PHARMACIE DE L HORLOGE</t>
  </si>
  <si>
    <t xml:space="preserve">54 RUE DE SABLONVILLE</t>
  </si>
  <si>
    <t xml:space="preserve">01 46 24 05 83</t>
  </si>
  <si>
    <t xml:space="preserve">48.8803414</t>
  </si>
  <si>
    <t xml:space="preserve">2.2770604</t>
  </si>
  <si>
    <t xml:space="preserve">PHARMACIE DE LA GARE</t>
  </si>
  <si>
    <t xml:space="preserve">1 RUE JOUFFROY D ABBANS</t>
  </si>
  <si>
    <t xml:space="preserve">01 47 63 48 99</t>
  </si>
  <si>
    <t xml:space="preserve">48.8870925</t>
  </si>
  <si>
    <t xml:space="preserve">2.3134316</t>
  </si>
  <si>
    <t xml:space="preserve">PHARMACIE DE LA MADELEINE</t>
  </si>
  <si>
    <t xml:space="preserve">5 RUE CHAUVEAU LAGARDE</t>
  </si>
  <si>
    <t xml:space="preserve">01 42 65 39 75</t>
  </si>
  <si>
    <t xml:space="preserve">48.8712805</t>
  </si>
  <si>
    <t xml:space="preserve">2.3236824</t>
  </si>
  <si>
    <t xml:space="preserve">PHARMACIE DU GRAND PAVOIS</t>
  </si>
  <si>
    <t xml:space="preserve">360 RUE LECOURBE</t>
  </si>
  <si>
    <t xml:space="preserve">01 45 54 79 83</t>
  </si>
  <si>
    <t xml:space="preserve">48.8364549</t>
  </si>
  <si>
    <t xml:space="preserve">2.2820381</t>
  </si>
  <si>
    <t xml:space="preserve">PHARMACIE DE LA GRANDE ARMEE</t>
  </si>
  <si>
    <t xml:space="preserve">63 AVENUE DE LA GRANDE ARMEE</t>
  </si>
  <si>
    <t xml:space="preserve">01 45 00 56 34</t>
  </si>
  <si>
    <t xml:space="preserve">48.8761076</t>
  </si>
  <si>
    <t xml:space="preserve">2.2866032</t>
  </si>
  <si>
    <t xml:space="preserve">PHARMACIE BAC GRENELLE</t>
  </si>
  <si>
    <t xml:space="preserve">67 RUE DE GRENELLE</t>
  </si>
  <si>
    <t xml:space="preserve">01 45 48 72 70</t>
  </si>
  <si>
    <t xml:space="preserve">48.855049</t>
  </si>
  <si>
    <t xml:space="preserve">2.3243931</t>
  </si>
  <si>
    <t xml:space="preserve">PHARMACIE DAYRAS</t>
  </si>
  <si>
    <t xml:space="preserve">80 RUE DE PRONY</t>
  </si>
  <si>
    <t xml:space="preserve">01 47 63 21 55</t>
  </si>
  <si>
    <t xml:space="preserve">48.8839221</t>
  </si>
  <si>
    <t xml:space="preserve">2.3006586</t>
  </si>
  <si>
    <t xml:space="preserve">GRANDE PHARMACIE FALGUIERE</t>
  </si>
  <si>
    <t xml:space="preserve">6 PLACE FALGUIERE</t>
  </si>
  <si>
    <t xml:space="preserve">01 45 32 47 57</t>
  </si>
  <si>
    <t xml:space="preserve">48.8361124</t>
  </si>
  <si>
    <t xml:space="preserve">2.3100104</t>
  </si>
  <si>
    <t xml:space="preserve">PHARMACIE DE LA TOUR</t>
  </si>
  <si>
    <t xml:space="preserve">72 RUE DE LA TOUR</t>
  </si>
  <si>
    <t xml:space="preserve">01 45 03 04 53</t>
  </si>
  <si>
    <t xml:space="preserve">48.8607407</t>
  </si>
  <si>
    <t xml:space="preserve">2.2802348</t>
  </si>
  <si>
    <t xml:space="preserve">PHARMACIE DE L AVENUE</t>
  </si>
  <si>
    <t xml:space="preserve">01 46 24 01 10</t>
  </si>
  <si>
    <t xml:space="preserve">48.8829067</t>
  </si>
  <si>
    <t xml:space="preserve">2.265206</t>
  </si>
  <si>
    <t xml:space="preserve">PHARMACIE MESNARD</t>
  </si>
  <si>
    <t xml:space="preserve">42 AVENUE DE BRETEUIL</t>
  </si>
  <si>
    <t xml:space="preserve">01 47 83 59 82</t>
  </si>
  <si>
    <t xml:space="preserve">48.8505375</t>
  </si>
  <si>
    <t xml:space="preserve">2.3115308</t>
  </si>
  <si>
    <t xml:space="preserve">PHARMACIE DE L EGLISE</t>
  </si>
  <si>
    <t xml:space="preserve">1 PLACE TRISTAN BERNARD</t>
  </si>
  <si>
    <t xml:space="preserve">01 45 74 11 09</t>
  </si>
  <si>
    <t xml:space="preserve">48.8793975</t>
  </si>
  <si>
    <t xml:space="preserve">2.2915336</t>
  </si>
  <si>
    <t xml:space="preserve">PHARMACIE CONTET</t>
  </si>
  <si>
    <t xml:space="preserve">1 RUE DUBAN</t>
  </si>
  <si>
    <t xml:space="preserve">01 42 88 63 36</t>
  </si>
  <si>
    <t xml:space="preserve">48.856402</t>
  </si>
  <si>
    <t xml:space="preserve">2.2777604</t>
  </si>
  <si>
    <t xml:space="preserve">['2023-12-04 10:00:00']</t>
  </si>
  <si>
    <t xml:space="preserve">PHARMACIE BAGHDADI</t>
  </si>
  <si>
    <t xml:space="preserve">54 RUE JEAN JAURES</t>
  </si>
  <si>
    <t xml:space="preserve">01 47 37 11 85</t>
  </si>
  <si>
    <t xml:space="preserve">48.8920708</t>
  </si>
  <si>
    <t xml:space="preserve">2.2933853</t>
  </si>
  <si>
    <t xml:space="preserve">PHARMACIE CENTRALE MIRABEAU</t>
  </si>
  <si>
    <t xml:space="preserve">7 ROND POINT DU PONT MIRABEAU</t>
  </si>
  <si>
    <t xml:space="preserve">01 45 77 85 23</t>
  </si>
  <si>
    <t xml:space="preserve">48.8457318</t>
  </si>
  <si>
    <t xml:space="preserve">2.2772855</t>
  </si>
  <si>
    <t xml:space="preserve">PHARMACIE 37 BOURGOGNE</t>
  </si>
  <si>
    <t xml:space="preserve">37 RUE DE BOURGOGNE</t>
  </si>
  <si>
    <t xml:space="preserve">01 45 51 70 52</t>
  </si>
  <si>
    <t xml:space="preserve">48.8576309</t>
  </si>
  <si>
    <t xml:space="preserve">2.317604</t>
  </si>
  <si>
    <t xml:space="preserve">PHARMACIE BABYLONE</t>
  </si>
  <si>
    <t xml:space="preserve">6 RUE DE BABYLONE</t>
  </si>
  <si>
    <t xml:space="preserve">01 45 48 54 24</t>
  </si>
  <si>
    <t xml:space="preserve">48.8517854</t>
  </si>
  <si>
    <t xml:space="preserve">2.3258319</t>
  </si>
  <si>
    <t xml:space="preserve">PHARMACIE DE L ECOLE MILITAIRE</t>
  </si>
  <si>
    <t xml:space="preserve">26 AVENUE DE TOURVILLE</t>
  </si>
  <si>
    <t xml:space="preserve">01 47 05 55 38</t>
  </si>
  <si>
    <t xml:space="preserve">48.8542609</t>
  </si>
  <si>
    <t xml:space="preserve">2.3067632</t>
  </si>
  <si>
    <t xml:space="preserve">PHARMACIE GADY</t>
  </si>
  <si>
    <t xml:space="preserve">223 BOULEVARD SAINT GERMAIN</t>
  </si>
  <si>
    <t xml:space="preserve">01 45 48 20 86</t>
  </si>
  <si>
    <t xml:space="preserve">48.8581349</t>
  </si>
  <si>
    <t xml:space="preserve">2.3232385</t>
  </si>
  <si>
    <t xml:space="preserve">PHARMACIE RAMAJO ANCOURT</t>
  </si>
  <si>
    <t xml:space="preserve">23 AVENUE RAPP</t>
  </si>
  <si>
    <t xml:space="preserve">01 47 05 41 25</t>
  </si>
  <si>
    <t xml:space="preserve">48.8597976</t>
  </si>
  <si>
    <t xml:space="preserve">2.3010849</t>
  </si>
  <si>
    <t xml:space="preserve">PHARMACIE DUBOIS WAGRAM</t>
  </si>
  <si>
    <t xml:space="preserve">01 45 77 81 79</t>
  </si>
  <si>
    <t xml:space="preserve">48.8861455</t>
  </si>
  <si>
    <t xml:space="preserve">2.3038104</t>
  </si>
  <si>
    <t xml:space="preserve">PHARMACIE DE LA CROIX D OR BATIGNOLLES MONCEAU</t>
  </si>
  <si>
    <t xml:space="preserve">48 RUE LEGENDRE</t>
  </si>
  <si>
    <t xml:space="preserve">01 47 63 06 92</t>
  </si>
  <si>
    <t xml:space="preserve">48.8849116</t>
  </si>
  <si>
    <t xml:space="preserve">2.3156517</t>
  </si>
  <si>
    <t xml:space="preserve">PHARMACIE SVE</t>
  </si>
  <si>
    <t xml:space="preserve">61 RUE BRANCION</t>
  </si>
  <si>
    <t xml:space="preserve">01 45 32 42 62</t>
  </si>
  <si>
    <t xml:space="preserve">48.8328116</t>
  </si>
  <si>
    <t xml:space="preserve">2.3036576</t>
  </si>
  <si>
    <t xml:space="preserve">PHARMACIE 77 PICQUET GRENELLE</t>
  </si>
  <si>
    <t xml:space="preserve">01 47 34 11 45</t>
  </si>
  <si>
    <t xml:space="preserve">48.8503399</t>
  </si>
  <si>
    <t xml:space="preserve">2.2945661</t>
  </si>
  <si>
    <t xml:space="preserve">PHARMACIE PEREZ</t>
  </si>
  <si>
    <t xml:space="preserve">82 AVENUE CHARLES DE GAULLE</t>
  </si>
  <si>
    <t xml:space="preserve">01 46 24 04 06</t>
  </si>
  <si>
    <t xml:space="preserve">48.8817961</t>
  </si>
  <si>
    <t xml:space="preserve">2.2709096</t>
  </si>
  <si>
    <t xml:space="preserve">SELARL PHARMACIE CONSEIL LEVIS</t>
  </si>
  <si>
    <t xml:space="preserve">5 PLACE DE LEVIS</t>
  </si>
  <si>
    <t xml:space="preserve">01 42 27 49 51</t>
  </si>
  <si>
    <t xml:space="preserve">48.8835489</t>
  </si>
  <si>
    <t xml:space="preserve">2.3135286904545445</t>
  </si>
  <si>
    <t xml:space="preserve">GRANDE PHARMACIE DURET</t>
  </si>
  <si>
    <t xml:space="preserve">29 RUE DURET</t>
  </si>
  <si>
    <t xml:space="preserve">01 45 00 10 20</t>
  </si>
  <si>
    <t xml:space="preserve">48.8752796</t>
  </si>
  <si>
    <t xml:space="preserve">2.2864126</t>
  </si>
  <si>
    <t xml:space="preserve">PHARMACIE LA BOETIE CHAMPS ELYSEES</t>
  </si>
  <si>
    <t xml:space="preserve">116 RUE LA BOETIE</t>
  </si>
  <si>
    <t xml:space="preserve">01 43 59 35 50</t>
  </si>
  <si>
    <t xml:space="preserve">48.8715468</t>
  </si>
  <si>
    <t xml:space="preserve">2.3075024</t>
  </si>
  <si>
    <t xml:space="preserve">PHARMACIE CHEKROUN</t>
  </si>
  <si>
    <t xml:space="preserve">101 RUE PAUL VAILLANT COUTURIER</t>
  </si>
  <si>
    <t xml:space="preserve">01 47 37 03 86</t>
  </si>
  <si>
    <t xml:space="preserve">48.8978362</t>
  </si>
  <si>
    <t xml:space="preserve">2.2922498</t>
  </si>
  <si>
    <t xml:space="preserve">PHARM HIBERT</t>
  </si>
  <si>
    <t xml:space="preserve">10 RUE WASHINGTON</t>
  </si>
  <si>
    <t xml:space="preserve">01 45 63 79 20</t>
  </si>
  <si>
    <t xml:space="preserve">48.8724997</t>
  </si>
  <si>
    <t xml:space="preserve">2.3021256</t>
  </si>
  <si>
    <t xml:space="preserve">PHARMACIE JOUVENET</t>
  </si>
  <si>
    <t xml:space="preserve">49 RUE CHARDON LAGACHE</t>
  </si>
  <si>
    <t xml:space="preserve">01 42 88 37 61</t>
  </si>
  <si>
    <t xml:space="preserve">48.8431038</t>
  </si>
  <si>
    <t xml:space="preserve">2.2650017</t>
  </si>
  <si>
    <t xml:space="preserve">PHARMACIE VOLONTAIRES</t>
  </si>
  <si>
    <t xml:space="preserve">198 RUE DE VAUGIRARD</t>
  </si>
  <si>
    <t xml:space="preserve">01 47 34 81 49</t>
  </si>
  <si>
    <t xml:space="preserve">48.8414616</t>
  </si>
  <si>
    <t xml:space="preserve">2.307602</t>
  </si>
  <si>
    <t xml:space="preserve">PHARMACIE DU PARC DES PRINCES</t>
  </si>
  <si>
    <t xml:space="preserve">92 BOULEVARD MURAT</t>
  </si>
  <si>
    <t xml:space="preserve">01 46 51 49 74</t>
  </si>
  <si>
    <t xml:space="preserve">48.8477659</t>
  </si>
  <si>
    <t xml:space="preserve">2.2588433</t>
  </si>
  <si>
    <t xml:space="preserve">PHARMACIE SMADJA</t>
  </si>
  <si>
    <t xml:space="preserve">373 B RUE DE VAUGIRARD</t>
  </si>
  <si>
    <t xml:space="preserve">01 45 32 89 03</t>
  </si>
  <si>
    <t xml:space="preserve">PHARMACIE DE L ASSEMBLEE</t>
  </si>
  <si>
    <t xml:space="preserve">7 RUE DE BOURGOGNE</t>
  </si>
  <si>
    <t xml:space="preserve">01 45 51 54 41</t>
  </si>
  <si>
    <t xml:space="preserve">48.8599028</t>
  </si>
  <si>
    <t xml:space="preserve">2.3182557</t>
  </si>
  <si>
    <t xml:space="preserve">['2024-01-18 10:00:00']</t>
  </si>
  <si>
    <t xml:space="preserve">PHARMACIE MODERNE</t>
  </si>
  <si>
    <t xml:space="preserve">80 RUE DU ROCHER</t>
  </si>
  <si>
    <t xml:space="preserve">01 45 22 69 62</t>
  </si>
  <si>
    <t xml:space="preserve">48.8799646</t>
  </si>
  <si>
    <t xml:space="preserve">2.3178839</t>
  </si>
  <si>
    <t xml:space="preserve">PHARMACIE SEROR</t>
  </si>
  <si>
    <t xml:space="preserve">12 AVENUE STEPHANE MALLARME</t>
  </si>
  <si>
    <t xml:space="preserve">01 43 80 58 00</t>
  </si>
  <si>
    <t xml:space="preserve">48.886069</t>
  </si>
  <si>
    <t xml:space="preserve">2.2917504</t>
  </si>
  <si>
    <t xml:space="preserve">PHARMACIE BONNEL</t>
  </si>
  <si>
    <t xml:space="preserve">23 AVENUE DE LA MOTTE PICQUET</t>
  </si>
  <si>
    <t xml:space="preserve">01 47 05 40 61</t>
  </si>
  <si>
    <t xml:space="preserve">48.8554742</t>
  </si>
  <si>
    <t xml:space="preserve">2.3076275</t>
  </si>
  <si>
    <t xml:space="preserve">PHIE PRINCIPALE DES MORILLONS</t>
  </si>
  <si>
    <t xml:space="preserve">54 RUE OLIVIER DE SERRES</t>
  </si>
  <si>
    <t xml:space="preserve">01 48 28 50 82</t>
  </si>
  <si>
    <t xml:space="preserve">48.8344222</t>
  </si>
  <si>
    <t xml:space="preserve">2.2955078</t>
  </si>
  <si>
    <t xml:space="preserve">PHARMACIE DU MIDI</t>
  </si>
  <si>
    <t xml:space="preserve">38 AVENUE FELIX FAURE</t>
  </si>
  <si>
    <t xml:space="preserve">01 45 54 15 48</t>
  </si>
  <si>
    <t xml:space="preserve">48.8414849</t>
  </si>
  <si>
    <t xml:space="preserve">2.2885912</t>
  </si>
  <si>
    <t xml:space="preserve">PHARMACIE EMRIK</t>
  </si>
  <si>
    <t xml:space="preserve">89 AVENUE DE WAGRAM</t>
  </si>
  <si>
    <t xml:space="preserve">01 47 63 28 69</t>
  </si>
  <si>
    <t xml:space="preserve">48.8812999</t>
  </si>
  <si>
    <t xml:space="preserve">2.3002811</t>
  </si>
  <si>
    <t xml:space="preserve">PHARMACIE CASEJUANE</t>
  </si>
  <si>
    <t xml:space="preserve">256 RUE DE VAUGIRARD</t>
  </si>
  <si>
    <t xml:space="preserve">01 45 32 90 90</t>
  </si>
  <si>
    <t xml:space="preserve">48.8397651</t>
  </si>
  <si>
    <t xml:space="preserve">2.3015462</t>
  </si>
  <si>
    <t xml:space="preserve">PHARMACIE AGOUDJIAN</t>
  </si>
  <si>
    <t xml:space="preserve">116 BOULEVARD HAUSSMANN</t>
  </si>
  <si>
    <t xml:space="preserve">01 45 22 12 35</t>
  </si>
  <si>
    <t xml:space="preserve">48.8749996</t>
  </si>
  <si>
    <t xml:space="preserve">2.318911</t>
  </si>
  <si>
    <t xml:space="preserve">['2024-02-02 10:30:00']</t>
  </si>
  <si>
    <t xml:space="preserve">PHARMACIE CAMBRONNE CROIX NIVERT</t>
  </si>
  <si>
    <t xml:space="preserve">19 RUE DE LA CROIX NIVERT</t>
  </si>
  <si>
    <t xml:space="preserve">01 47 34 70 48</t>
  </si>
  <si>
    <t xml:space="preserve">48.8468793</t>
  </si>
  <si>
    <t xml:space="preserve">2.3002328</t>
  </si>
  <si>
    <t xml:space="preserve">PHARM DE L ARC DE TRIOMPHE</t>
  </si>
  <si>
    <t xml:space="preserve">6 AVENUE VICTOR HUGO</t>
  </si>
  <si>
    <t xml:space="preserve">01 45 00 53 40</t>
  </si>
  <si>
    <t xml:space="preserve">48.8729083</t>
  </si>
  <si>
    <t xml:space="preserve">2.292689</t>
  </si>
  <si>
    <t xml:space="preserve">['2023-10-10 17:00:00']</t>
  </si>
  <si>
    <t xml:space="preserve">PHARMACIE CENTRALE PEREIRE</t>
  </si>
  <si>
    <t xml:space="preserve">134 BOULEVARD PEREIRE</t>
  </si>
  <si>
    <t xml:space="preserve">01 42 67 04 33</t>
  </si>
  <si>
    <t xml:space="preserve">48.8840953</t>
  </si>
  <si>
    <t xml:space="preserve">2.2951517</t>
  </si>
  <si>
    <t xml:space="preserve">PHARMACIE GROUSSIER</t>
  </si>
  <si>
    <t xml:space="preserve">153 AVENUE ACHILLE PERETTI</t>
  </si>
  <si>
    <t xml:space="preserve">01 46 24 05 17</t>
  </si>
  <si>
    <t xml:space="preserve">48.8847049</t>
  </si>
  <si>
    <t xml:space="preserve">2.2671302</t>
  </si>
  <si>
    <t xml:space="preserve">PHARMACIE DE VARENNE</t>
  </si>
  <si>
    <t xml:space="preserve">87 RUE DU BAC</t>
  </si>
  <si>
    <t xml:space="preserve">01 45 48 80 77</t>
  </si>
  <si>
    <t xml:space="preserve">48.8541359</t>
  </si>
  <si>
    <t xml:space="preserve">2.3239882</t>
  </si>
  <si>
    <t xml:space="preserve">PHARMACIE YAICHE</t>
  </si>
  <si>
    <t xml:space="preserve">171 AVENUE CHARLES DE GAULLE</t>
  </si>
  <si>
    <t xml:space="preserve">01 46 24 01 38</t>
  </si>
  <si>
    <t xml:space="preserve">48.8835868</t>
  </si>
  <si>
    <t xml:space="preserve">2.2630698</t>
  </si>
  <si>
    <t xml:space="preserve">PHARMACIE MALESHERBES</t>
  </si>
  <si>
    <t xml:space="preserve">87 BOULEVARD MALESHERBES</t>
  </si>
  <si>
    <t xml:space="preserve">01 45 22 18 74</t>
  </si>
  <si>
    <t xml:space="preserve">48.87115</t>
  </si>
  <si>
    <t xml:space="preserve">2.3224978</t>
  </si>
  <si>
    <t xml:space="preserve">EVOLUPHARM</t>
  </si>
  <si>
    <t xml:space="preserve">PHARMACIE CHAPTAL</t>
  </si>
  <si>
    <t xml:space="preserve">78 BOULEVARD DES BATIGNOLLES</t>
  </si>
  <si>
    <t xml:space="preserve">01 43 87 28 58</t>
  </si>
  <si>
    <t xml:space="preserve">48.8820618</t>
  </si>
  <si>
    <t xml:space="preserve">2.3192669</t>
  </si>
  <si>
    <t xml:space="preserve">PHARMACIE LA BIENFAISANCE</t>
  </si>
  <si>
    <t xml:space="preserve">54 RUE DE LA BIENFAISANCE</t>
  </si>
  <si>
    <t xml:space="preserve">01 45 63 73 26</t>
  </si>
  <si>
    <t xml:space="preserve">48.8766303</t>
  </si>
  <si>
    <t xml:space="preserve">2.3132085</t>
  </si>
  <si>
    <t xml:space="preserve">PHARMACIE DES MORILLONS</t>
  </si>
  <si>
    <t xml:space="preserve">85 RUE DES MORILLONS</t>
  </si>
  <si>
    <t xml:space="preserve">09 60 54 55 27</t>
  </si>
  <si>
    <t xml:space="preserve">48.8320136</t>
  </si>
  <si>
    <t xml:space="preserve">2.3041177</t>
  </si>
  <si>
    <t xml:space="preserve">PHARMACIE PINTA</t>
  </si>
  <si>
    <t xml:space="preserve">44 AVENUE CHARLES DE GAULLE</t>
  </si>
  <si>
    <t xml:space="preserve">01 46 24 15 59</t>
  </si>
  <si>
    <t xml:space="preserve">48.8800026</t>
  </si>
  <si>
    <t xml:space="preserve">2.2765518</t>
  </si>
  <si>
    <t xml:space="preserve">['2023-11-20 15:30:00']</t>
  </si>
  <si>
    <t xml:space="preserve">PHARMACIE HOMEOPATHIQUE CENTRALE</t>
  </si>
  <si>
    <t xml:space="preserve">126 RUE DE LA POMPE</t>
  </si>
  <si>
    <t xml:space="preserve">01 47 27 99 08</t>
  </si>
  <si>
    <t xml:space="preserve">48.8671085</t>
  </si>
  <si>
    <t xml:space="preserve">2.2806322</t>
  </si>
  <si>
    <t xml:space="preserve">LE GALL SANTE SERVICE</t>
  </si>
  <si>
    <t xml:space="preserve">PHARMACIE DE LA PLACE ST FERDINAND</t>
  </si>
  <si>
    <t xml:space="preserve">2 RUE DU DEBARCADERE</t>
  </si>
  <si>
    <t xml:space="preserve">01 45 74 26 03</t>
  </si>
  <si>
    <t xml:space="preserve">48.8780178</t>
  </si>
  <si>
    <t xml:space="preserve">2.2875427</t>
  </si>
  <si>
    <t xml:space="preserve">PHARMACIE VILLA CROIX NIVERT</t>
  </si>
  <si>
    <t xml:space="preserve">14 VILLA CROIX NIVERT</t>
  </si>
  <si>
    <t xml:space="preserve">09 81 43 21 41</t>
  </si>
  <si>
    <t xml:space="preserve">48.8456956</t>
  </si>
  <si>
    <t xml:space="preserve">2.300052</t>
  </si>
  <si>
    <t xml:space="preserve">['2023-12-06 10:00:00']</t>
  </si>
  <si>
    <t xml:space="preserve">PHARMACIE DARMON</t>
  </si>
  <si>
    <t xml:space="preserve">134 AVENUE EMILE ZOLA</t>
  </si>
  <si>
    <t xml:space="preserve">01 45 79 30 70</t>
  </si>
  <si>
    <t xml:space="preserve">48.8468053</t>
  </si>
  <si>
    <t xml:space="preserve">2.2928852</t>
  </si>
  <si>
    <t xml:space="preserve">['2023-09-01 15:15:00']</t>
  </si>
  <si>
    <t xml:space="preserve">PHARMACIE MIRABEAU</t>
  </si>
  <si>
    <t xml:space="preserve">65 RUE DES CEVENNES</t>
  </si>
  <si>
    <t xml:space="preserve">01 40 60 09 40</t>
  </si>
  <si>
    <t xml:space="preserve">48.8424842</t>
  </si>
  <si>
    <t xml:space="preserve">2.2809907</t>
  </si>
  <si>
    <t xml:space="preserve">PHARMACIE BOUHNIK</t>
  </si>
  <si>
    <t xml:space="preserve">120 RUE DE TOCQUEVILLE</t>
  </si>
  <si>
    <t xml:space="preserve">09 67 06 08 94</t>
  </si>
  <si>
    <t xml:space="preserve">48.888259</t>
  </si>
  <si>
    <t xml:space="preserve">2.306688</t>
  </si>
  <si>
    <t xml:space="preserve">SELARL PHARMACIE LIHIOUEL</t>
  </si>
  <si>
    <t xml:space="preserve">119 RUE CAMBRONNE</t>
  </si>
  <si>
    <t xml:space="preserve">01 45 67 15 18</t>
  </si>
  <si>
    <t xml:space="preserve">48.8408792</t>
  </si>
  <si>
    <t xml:space="preserve">2.3040478</t>
  </si>
  <si>
    <t xml:space="preserve">PHARMACIE DE LA CROIX D OR</t>
  </si>
  <si>
    <t xml:space="preserve">85 RUE DE COURCELLES</t>
  </si>
  <si>
    <t xml:space="preserve">01 47 63 53 63</t>
  </si>
  <si>
    <t xml:space="preserve">48.8798862</t>
  </si>
  <si>
    <t xml:space="preserve">2.3022233</t>
  </si>
  <si>
    <t xml:space="preserve">PHARMACIE DES PLANTES</t>
  </si>
  <si>
    <t xml:space="preserve">111 RUE DE COURCELLES</t>
  </si>
  <si>
    <t xml:space="preserve">01 47 63 55 99</t>
  </si>
  <si>
    <t xml:space="preserve">48.882367</t>
  </si>
  <si>
    <t xml:space="preserve">2.2997296</t>
  </si>
  <si>
    <t xml:space="preserve">PHARMACIE VAUGIRARD</t>
  </si>
  <si>
    <t xml:space="preserve">245 RUE DE VAUGIRARD</t>
  </si>
  <si>
    <t xml:space="preserve">01 47 83 78 88</t>
  </si>
  <si>
    <t xml:space="preserve">48.8406234</t>
  </si>
  <si>
    <t xml:space="preserve">2.3051789</t>
  </si>
  <si>
    <t xml:space="preserve">PHARM BAPTISTE</t>
  </si>
  <si>
    <t xml:space="preserve">3 PLACE BALARD</t>
  </si>
  <si>
    <t xml:space="preserve">01 45 54 82 71</t>
  </si>
  <si>
    <t xml:space="preserve">48.8369098</t>
  </si>
  <si>
    <t xml:space="preserve">2.2790555</t>
  </si>
  <si>
    <t xml:space="preserve">PHARMACIE DAHAN</t>
  </si>
  <si>
    <t xml:space="preserve">37 RUE GALILEE</t>
  </si>
  <si>
    <t xml:space="preserve">01 47 20 49 69</t>
  </si>
  <si>
    <t xml:space="preserve">48.8700029</t>
  </si>
  <si>
    <t xml:space="preserve">2.296288</t>
  </si>
  <si>
    <t xml:space="preserve">106 AVENUE CHARLES DE GAULLE</t>
  </si>
  <si>
    <t xml:space="preserve">01 46 24 14 96</t>
  </si>
  <si>
    <t xml:space="preserve">48.8825114</t>
  </si>
  <si>
    <t xml:space="preserve">2.268668</t>
  </si>
  <si>
    <t xml:space="preserve">PHARMACIE DU RANELAGH</t>
  </si>
  <si>
    <t xml:space="preserve">85 B RUE DU RANELAGH</t>
  </si>
  <si>
    <t xml:space="preserve">01 77 35 03 38</t>
  </si>
  <si>
    <t xml:space="preserve">48.8552948</t>
  </si>
  <si>
    <t xml:space="preserve">2.2710289</t>
  </si>
  <si>
    <t xml:space="preserve">LAFAYETTE</t>
  </si>
  <si>
    <t xml:space="preserve">PHARMACIE SULTAN</t>
  </si>
  <si>
    <t xml:space="preserve">214 RUE DE COURCELLES</t>
  </si>
  <si>
    <t xml:space="preserve">01 71 70 63 09</t>
  </si>
  <si>
    <t xml:space="preserve">48.8872307</t>
  </si>
  <si>
    <t xml:space="preserve">2.295335</t>
  </si>
  <si>
    <t xml:space="preserve">PHARMACIE SAINT AUGUSTIN</t>
  </si>
  <si>
    <t xml:space="preserve">61 BOULEVARD MALESHERBES</t>
  </si>
  <si>
    <t xml:space="preserve">01 45 22 16 15</t>
  </si>
  <si>
    <t xml:space="preserve">PHARMACIE D ORSAY</t>
  </si>
  <si>
    <t xml:space="preserve">6 RUE DE BELLECHASSE</t>
  </si>
  <si>
    <t xml:space="preserve">01 45 51 65 16</t>
  </si>
  <si>
    <t xml:space="preserve">48.8598078</t>
  </si>
  <si>
    <t xml:space="preserve">2.3242853</t>
  </si>
  <si>
    <t xml:space="preserve">PHARMACIE HOMEOPATHIQUE LEROY</t>
  </si>
  <si>
    <t xml:space="preserve">1 AVENUE DE MESSINE</t>
  </si>
  <si>
    <t xml:space="preserve">01 45 62 61 49</t>
  </si>
  <si>
    <t xml:space="preserve">48.8756522</t>
  </si>
  <si>
    <t xml:space="preserve">2.3142456</t>
  </si>
  <si>
    <t xml:space="preserve">PHARMACIE DU 130</t>
  </si>
  <si>
    <t xml:space="preserve">130 AVENUE CHARLES DE GAULLE</t>
  </si>
  <si>
    <t xml:space="preserve">01 46 24 03 17</t>
  </si>
  <si>
    <t xml:space="preserve">48.8833034</t>
  </si>
  <si>
    <t xml:space="preserve">2.266178</t>
  </si>
  <si>
    <t xml:space="preserve">PHARMACIE CONVENTION CROIX NIVERT</t>
  </si>
  <si>
    <t xml:space="preserve">131 RUE DE LA CONVENTION</t>
  </si>
  <si>
    <t xml:space="preserve">01 48 42 53 80</t>
  </si>
  <si>
    <t xml:space="preserve">48.8403433</t>
  </si>
  <si>
    <t xml:space="preserve">2.2899758</t>
  </si>
  <si>
    <t xml:space="preserve">PHARMACIE DU CHAMPS DE MARS</t>
  </si>
  <si>
    <t xml:space="preserve">124 RUE SAINT DOMINIQUE</t>
  </si>
  <si>
    <t xml:space="preserve">01 47 05 49 30</t>
  </si>
  <si>
    <t xml:space="preserve">48.8579072</t>
  </si>
  <si>
    <t xml:space="preserve">2.3006755</t>
  </si>
  <si>
    <t xml:space="preserve">PHARMACIE PONSARD</t>
  </si>
  <si>
    <t xml:space="preserve">4 CHAUSSEE DE LA MUETTE</t>
  </si>
  <si>
    <t xml:space="preserve">01 42 88 18 30</t>
  </si>
  <si>
    <t xml:space="preserve">48.8582759</t>
  </si>
  <si>
    <t xml:space="preserve">2.2741174</t>
  </si>
  <si>
    <t xml:space="preserve">PHARMACIE DESNOUETTES</t>
  </si>
  <si>
    <t xml:space="preserve">1 RUE DESNOUETTES</t>
  </si>
  <si>
    <t xml:space="preserve">01 48 28 31 28</t>
  </si>
  <si>
    <t xml:space="preserve">48.8360521</t>
  </si>
  <si>
    <t xml:space="preserve">2.2929768</t>
  </si>
  <si>
    <t xml:space="preserve">PHARMACIE BOIRON</t>
  </si>
  <si>
    <t xml:space="preserve">64 BOULEVARD MALESHERBES</t>
  </si>
  <si>
    <t xml:space="preserve">01 45 22 10 41</t>
  </si>
  <si>
    <t xml:space="preserve">PHARMACIE DUFRENOY</t>
  </si>
  <si>
    <t xml:space="preserve">16 B RUE DUFRENOY</t>
  </si>
  <si>
    <t xml:space="preserve">01 45 04 69 87</t>
  </si>
  <si>
    <t xml:space="preserve">48.8657553</t>
  </si>
  <si>
    <t xml:space="preserve">2.2756749</t>
  </si>
  <si>
    <t xml:space="preserve">PHARMACIE DU ROCHER</t>
  </si>
  <si>
    <t xml:space="preserve">29 RUE DU ROCHER</t>
  </si>
  <si>
    <t xml:space="preserve">01 45 22 68 61</t>
  </si>
  <si>
    <t xml:space="preserve">48.8770523</t>
  </si>
  <si>
    <t xml:space="preserve">2.3212946</t>
  </si>
  <si>
    <t xml:space="preserve">PHARMACIE JACQUEMINET</t>
  </si>
  <si>
    <t xml:space="preserve">2 PLACE ADOLPHE CHERIOUX</t>
  </si>
  <si>
    <t xml:space="preserve">01 48 28 42 60</t>
  </si>
  <si>
    <t xml:space="preserve">48.8405725</t>
  </si>
  <si>
    <t xml:space="preserve">2.3000063</t>
  </si>
  <si>
    <t xml:space="preserve">PHARMACIE DES CHAMPS ELYSEES</t>
  </si>
  <si>
    <t xml:space="preserve">84 AVENUE DES CHAMPS ELYSEES</t>
  </si>
  <si>
    <t xml:space="preserve">01 45 62 02 41</t>
  </si>
  <si>
    <t xml:space="preserve">48.8713362</t>
  </si>
  <si>
    <t xml:space="preserve">2.3038271</t>
  </si>
  <si>
    <t xml:space="preserve">BOTICINAL</t>
  </si>
  <si>
    <t xml:space="preserve">PHARMACIE CENTRALE MARCEAU</t>
  </si>
  <si>
    <t xml:space="preserve">55 AVENUE MARCEAU</t>
  </si>
  <si>
    <t xml:space="preserve">01 47 20 54 26</t>
  </si>
  <si>
    <t xml:space="preserve">48.869687</t>
  </si>
  <si>
    <t xml:space="preserve">2.2979556</t>
  </si>
  <si>
    <t xml:space="preserve">PHARMACIE DU FRONT DE SEINE</t>
  </si>
  <si>
    <t xml:space="preserve">9 RUE DU THEATRE</t>
  </si>
  <si>
    <t xml:space="preserve">01 45 79 15 43</t>
  </si>
  <si>
    <t xml:space="preserve">48.8501417</t>
  </si>
  <si>
    <t xml:space="preserve">2.28518</t>
  </si>
  <si>
    <t xml:space="preserve">PHARMACIE DES SABLONS</t>
  </si>
  <si>
    <t xml:space="preserve">01 46 24 10 06</t>
  </si>
  <si>
    <t xml:space="preserve">48.8803956</t>
  </si>
  <si>
    <t xml:space="preserve">2.2731195</t>
  </si>
  <si>
    <t xml:space="preserve">['2023-10-25 10:30:00']</t>
  </si>
  <si>
    <t xml:space="preserve">PHARMACIE DE LUBECK</t>
  </si>
  <si>
    <t xml:space="preserve">31 RUE DE LUBECK</t>
  </si>
  <si>
    <t xml:space="preserve">01 47 27 97 14</t>
  </si>
  <si>
    <t xml:space="preserve">48.8647645</t>
  </si>
  <si>
    <t xml:space="preserve">2.2914935</t>
  </si>
  <si>
    <t xml:space="preserve">INSTITUT DU SEIN</t>
  </si>
  <si>
    <t xml:space="preserve">48.8757589</t>
  </si>
  <si>
    <t xml:space="preserve">2.2944545</t>
  </si>
  <si>
    <t xml:space="preserve">CENTRE INTERDISCIPLINAIRE DU SOMMEIL</t>
  </si>
  <si>
    <t xml:space="preserve">18 20 RUE SAINT SAENS</t>
  </si>
  <si>
    <t xml:space="preserve">48.8534103</t>
  </si>
  <si>
    <t xml:space="preserve">2.2914127</t>
  </si>
  <si>
    <t xml:space="preserve">CENTRE LASER MARCEAU</t>
  </si>
  <si>
    <t xml:space="preserve">48.8698146</t>
  </si>
  <si>
    <t xml:space="preserve">2.2978806</t>
  </si>
  <si>
    <t xml:space="preserve">CENTRE LASERIO</t>
  </si>
  <si>
    <t xml:space="preserve">01 45 61 97 59</t>
  </si>
  <si>
    <t xml:space="preserve">48.8705299</t>
  </si>
  <si>
    <t xml:space="preserve">2.3031567</t>
  </si>
  <si>
    <t xml:space="preserve">INSTITUT FRANCAIS DU SEIN</t>
  </si>
  <si>
    <t xml:space="preserve">15 RUE JEAN NICOT</t>
  </si>
  <si>
    <t xml:space="preserve">01 75 43 38 38</t>
  </si>
  <si>
    <t xml:space="preserve">48.8599655</t>
  </si>
  <si>
    <t xml:space="preserve">2.3077584</t>
  </si>
  <si>
    <t xml:space="preserve">SERVICE MEDICAL DE LA PROTECTION CIVILE PARIS SEINE</t>
  </si>
  <si>
    <t xml:space="preserve">244 RUE DE VAUGIRARD</t>
  </si>
  <si>
    <t xml:space="preserve">01 43 37 01 01</t>
  </si>
  <si>
    <t xml:space="preserve">48.8401207</t>
  </si>
  <si>
    <t xml:space="preserve">2.3028444</t>
  </si>
  <si>
    <t xml:space="preserve">CARREFOUR</t>
  </si>
  <si>
    <t xml:space="preserve">1 3 AVENUE DU GENERAL SARRAIL</t>
  </si>
  <si>
    <t xml:space="preserve">01 47 43 61 79</t>
  </si>
  <si>
    <t xml:space="preserve">48.8451141</t>
  </si>
  <si>
    <t xml:space="preserve">2.2557115</t>
  </si>
  <si>
    <t xml:space="preserve">SCE MEDICAL MINISTERE DEFENSE</t>
  </si>
  <si>
    <t xml:space="preserve">48.8515374</t>
  </si>
  <si>
    <t xml:space="preserve">2.3018648</t>
  </si>
  <si>
    <t xml:space="preserve">UNESCO</t>
  </si>
  <si>
    <t xml:space="preserve">01 45 68 08 58</t>
  </si>
  <si>
    <t xml:space="preserve">48.85121965</t>
  </si>
  <si>
    <t xml:space="preserve">2.306670824655578</t>
  </si>
  <si>
    <t xml:space="preserve">SERVICE MED ASSEMBLEE NATIONALE</t>
  </si>
  <si>
    <t xml:space="preserve">48.8608616</t>
  </si>
  <si>
    <t xml:space="preserve">2.3183886</t>
  </si>
  <si>
    <t xml:space="preserve">CAISSE NATIONALE DE PREVOYANCE</t>
  </si>
  <si>
    <t xml:space="preserve">4 PLACE RAOUL DAUTRY</t>
  </si>
  <si>
    <t xml:space="preserve">01 42 18 88 88</t>
  </si>
  <si>
    <t xml:space="preserve">48.8414419</t>
  </si>
  <si>
    <t xml:space="preserve">2.320866</t>
  </si>
  <si>
    <t xml:space="preserve">SERVICE MEDICAL DE L ENSAAMA</t>
  </si>
  <si>
    <t xml:space="preserve">63 65 RUE OLIVIER DE SERRES</t>
  </si>
  <si>
    <t xml:space="preserve">48.8356932</t>
  </si>
  <si>
    <t xml:space="preserve">2.2968142</t>
  </si>
  <si>
    <t xml:space="preserve">CENTRE MEDICAL INSTITUT PASTEUR</t>
  </si>
  <si>
    <t xml:space="preserve">209 211 RUE DE VAUGIRARD</t>
  </si>
  <si>
    <t xml:space="preserve">01 40 61 38 60</t>
  </si>
  <si>
    <t xml:space="preserve">ABSOLU SANTE CENTER</t>
  </si>
  <si>
    <t xml:space="preserve">3 RUE WASHINGTON</t>
  </si>
  <si>
    <t xml:space="preserve">01 42 25 68 21</t>
  </si>
  <si>
    <t xml:space="preserve">48.8723514</t>
  </si>
  <si>
    <t xml:space="preserve">2.3016914</t>
  </si>
  <si>
    <t xml:space="preserve">SERVICE MEDICAL FRANCE TELEVISION</t>
  </si>
  <si>
    <t xml:space="preserve">7 ESPLANADE HENRI FRANCE</t>
  </si>
  <si>
    <t xml:space="preserve">01 56 22 99 72</t>
  </si>
  <si>
    <t xml:space="preserve">48.838804800000005</t>
  </si>
  <si>
    <t xml:space="preserve">2.2712806355635786</t>
  </si>
  <si>
    <t xml:space="preserve">SERVICE D EDUCATION SPECIALISEE ET DES SOINS A DOMICILE L ESSOR</t>
  </si>
  <si>
    <t xml:space="preserve">48.8423042</t>
  </si>
  <si>
    <t xml:space="preserve">2.2807083</t>
  </si>
  <si>
    <t xml:space="preserve">CENTRE LASER ALEXIS NAMIAS</t>
  </si>
  <si>
    <t xml:space="preserve">48.8825992</t>
  </si>
  <si>
    <t xml:space="preserve">2.307546</t>
  </si>
  <si>
    <t xml:space="preserve">CENTRE EPILATION LASER PREMIER</t>
  </si>
  <si>
    <t xml:space="preserve">48.8847041</t>
  </si>
  <si>
    <t xml:space="preserve">2.2617682</t>
  </si>
  <si>
    <t xml:space="preserve">CENTRE LASER ETOILE</t>
  </si>
  <si>
    <t xml:space="preserve">17 RUE DES ACACIAS</t>
  </si>
  <si>
    <t xml:space="preserve">01 45 74 12 50</t>
  </si>
  <si>
    <t xml:space="preserve">48.8768146</t>
  </si>
  <si>
    <t xml:space="preserve">2.2913653</t>
  </si>
  <si>
    <t xml:space="preserve">CENTRE LASER NIEL</t>
  </si>
  <si>
    <t xml:space="preserve">75 AVENUE NIEL</t>
  </si>
  <si>
    <t xml:space="preserve">01 44 40 48 08</t>
  </si>
  <si>
    <t xml:space="preserve">48.8826106</t>
  </si>
  <si>
    <t xml:space="preserve">2.2960124</t>
  </si>
  <si>
    <t xml:space="preserve">SERVICE MEDICAL ORGANISATION COOPERATION DEVELOPPEMENT ECONOMIQUE</t>
  </si>
  <si>
    <t xml:space="preserve">48.86167375</t>
  </si>
  <si>
    <t xml:space="preserve">2.2692356597225416</t>
  </si>
  <si>
    <t xml:space="preserve">ELSAN PARTENAIRES GROUPE</t>
  </si>
  <si>
    <t xml:space="preserve">87 RUE LA BOETIE</t>
  </si>
  <si>
    <t xml:space="preserve">01 43 12 34 30</t>
  </si>
  <si>
    <t xml:space="preserve">48.8717991</t>
  </si>
  <si>
    <t xml:space="preserve">2.3084727</t>
  </si>
  <si>
    <t xml:space="preserve">48.8540234</t>
  </si>
  <si>
    <t xml:space="preserve">2.3055622</t>
  </si>
  <si>
    <t xml:space="preserve">ALFA LASER CENTRE FRANCE</t>
  </si>
  <si>
    <t xml:space="preserve">01 84 17 51 14</t>
  </si>
  <si>
    <t xml:space="preserve">48.8794438</t>
  </si>
  <si>
    <t xml:space="preserve">2.3011296</t>
  </si>
  <si>
    <t xml:space="preserve">DHI LUTETIA</t>
  </si>
  <si>
    <t xml:space="preserve">48.8852866</t>
  </si>
  <si>
    <t xml:space="preserve">2.3061667</t>
  </si>
  <si>
    <t xml:space="preserve">PARAPHARMACIE MONOPRIX RASPAIL</t>
  </si>
  <si>
    <t xml:space="preserve">6 BOULEVARD RASPAIL</t>
  </si>
  <si>
    <t xml:space="preserve">01 42 84 89 70</t>
  </si>
  <si>
    <t xml:space="preserve">48.8551446</t>
  </si>
  <si>
    <t xml:space="preserve">2.3255804</t>
  </si>
  <si>
    <t xml:space="preserve">CENTRE DU RACHIS</t>
  </si>
  <si>
    <t xml:space="preserve">25 27 BOULEVARD VICTOR HUGO</t>
  </si>
  <si>
    <t xml:space="preserve">48.8962234</t>
  </si>
  <si>
    <t xml:space="preserve">2.2724845</t>
  </si>
  <si>
    <t xml:space="preserve">INSTITUT JEROME LEJEUNE</t>
  </si>
  <si>
    <t xml:space="preserve">48.8405815</t>
  </si>
  <si>
    <t xml:space="preserve">2.3086819</t>
  </si>
  <si>
    <t xml:space="preserve">MONTAIGNE SANTE</t>
  </si>
  <si>
    <t xml:space="preserve">53 AVENUE MONTAIGNE</t>
  </si>
  <si>
    <t xml:space="preserve">01 42 25 60 31</t>
  </si>
  <si>
    <t xml:space="preserve">48.8680976</t>
  </si>
  <si>
    <t xml:space="preserve">2.3079817</t>
  </si>
  <si>
    <t xml:space="preserve">CENTRE DE REFERENCE POUR LES DEFICIENTS IMMUNITAIRES HEREDITAIRES</t>
  </si>
  <si>
    <t xml:space="preserve">48.846456</t>
  </si>
  <si>
    <t xml:space="preserve">2.3156805</t>
  </si>
  <si>
    <t xml:space="preserve">OFFICE FRANCAIS D IMMIGRATION ET D INTEGRATION</t>
  </si>
  <si>
    <t xml:space="preserve">44 RUE BARGUE</t>
  </si>
  <si>
    <t xml:space="preserve">01 53 69 53 70</t>
  </si>
  <si>
    <t xml:space="preserve">48.8376489</t>
  </si>
  <si>
    <t xml:space="preserve">2.3094929</t>
  </si>
  <si>
    <t xml:space="preserve">LE MEDIATEUR DE LA REPUBLIQUE</t>
  </si>
  <si>
    <t xml:space="preserve">7 RUE SAINT FLORENTIN</t>
  </si>
  <si>
    <t xml:space="preserve">01 55 35 24 24</t>
  </si>
  <si>
    <t xml:space="preserve">48.867096</t>
  </si>
  <si>
    <t xml:space="preserve">2.3238717</t>
  </si>
  <si>
    <t xml:space="preserve">SANTE AU TRAVAIL EUROPEAN SPACE AGENCY</t>
  </si>
  <si>
    <t xml:space="preserve">8 10 RUE MARIO NIKIS</t>
  </si>
  <si>
    <t xml:space="preserve">01 53 69 71 27</t>
  </si>
  <si>
    <t xml:space="preserve">48.8481719</t>
  </si>
  <si>
    <t xml:space="preserve">2.3043934</t>
  </si>
  <si>
    <t xml:space="preserve">CENTRE LASER INTERNATIONAL DE LA PEAU PARIS</t>
  </si>
  <si>
    <t xml:space="preserve">48.8561332</t>
  </si>
  <si>
    <t xml:space="preserve">2.3027511</t>
  </si>
  <si>
    <t xml:space="preserve">SERVICE MEDICAL FEDERATION FRANCAISE DE GOLF</t>
  </si>
  <si>
    <t xml:space="preserve">68 RUE ANATOLE FRANCE</t>
  </si>
  <si>
    <t xml:space="preserve">01 41 49 77 00</t>
  </si>
  <si>
    <t xml:space="preserve">48.8916578</t>
  </si>
  <si>
    <t xml:space="preserve">2.285547</t>
  </si>
  <si>
    <t xml:space="preserve">SANTE ET RETRAITE</t>
  </si>
  <si>
    <t xml:space="preserve">224 BOULEVARD SAINT GERMAIN</t>
  </si>
  <si>
    <t xml:space="preserve">01 53 10 12 70</t>
  </si>
  <si>
    <t xml:space="preserve">48.8554822</t>
  </si>
  <si>
    <t xml:space="preserve">2.3275183</t>
  </si>
  <si>
    <t xml:space="preserve">INTERNATIONAL SOS</t>
  </si>
  <si>
    <t xml:space="preserve">48.896257</t>
  </si>
  <si>
    <t xml:space="preserve">2.2851562</t>
  </si>
  <si>
    <t xml:space="preserve">SERVICE MEDICAL DU MINISTERE DES AFFAIRES ETRANGERES ET EUROPEENNES</t>
  </si>
  <si>
    <t xml:space="preserve">01 43 17 65 04</t>
  </si>
  <si>
    <t xml:space="preserve">48.8447434</t>
  </si>
  <si>
    <t xml:space="preserve">2.2801346</t>
  </si>
  <si>
    <t xml:space="preserve">SERVICE DE SANTE DES ARMEES</t>
  </si>
  <si>
    <t xml:space="preserve">14 RUE SAINT DOMINIQUE</t>
  </si>
  <si>
    <t xml:space="preserve">48.8595533</t>
  </si>
  <si>
    <t xml:space="preserve">2.3192587</t>
  </si>
  <si>
    <t xml:space="preserve">GROUPE EXPERTISE MEDICO ESTHETIQUE</t>
  </si>
  <si>
    <t xml:space="preserve">230 RUE DU FAUBOURG SAINT HONORE</t>
  </si>
  <si>
    <t xml:space="preserve">01 45 63 55 31</t>
  </si>
  <si>
    <t xml:space="preserve">48.8760275</t>
  </si>
  <si>
    <t xml:space="preserve">2.3030413</t>
  </si>
  <si>
    <t xml:space="preserve">AGENCE DU NUMERIQUE EN SANTE</t>
  </si>
  <si>
    <t xml:space="preserve">9 RUE GEORGES PITARD</t>
  </si>
  <si>
    <t xml:space="preserve">01 58 45 32 50</t>
  </si>
  <si>
    <t xml:space="preserve">48.835209</t>
  </si>
  <si>
    <t xml:space="preserve">2.3108964</t>
  </si>
  <si>
    <t xml:space="preserve">CENTRE LASER PRONY</t>
  </si>
  <si>
    <t xml:space="preserve">91 RUE DE PRONY</t>
  </si>
  <si>
    <t xml:space="preserve">01 44 29 79 80</t>
  </si>
  <si>
    <t xml:space="preserve">48.8840082</t>
  </si>
  <si>
    <t xml:space="preserve">2.2999473</t>
  </si>
  <si>
    <t xml:space="preserve">INSTITUT DE JAEGER</t>
  </si>
  <si>
    <t xml:space="preserve">4 RUE DE GALLIERA</t>
  </si>
  <si>
    <t xml:space="preserve">01 44 96 00 00</t>
  </si>
  <si>
    <t xml:space="preserve">48.8654678</t>
  </si>
  <si>
    <t xml:space="preserve">2.2976333</t>
  </si>
  <si>
    <t xml:space="preserve">INSTITUT FRANCAIS D ACTION SUR LE STRESS</t>
  </si>
  <si>
    <t xml:space="preserve">22 RUE DE MARIGNAN</t>
  </si>
  <si>
    <t xml:space="preserve">01 53 23 09 20</t>
  </si>
  <si>
    <t xml:space="preserve">48.8692473</t>
  </si>
  <si>
    <t xml:space="preserve">2.3066056</t>
  </si>
  <si>
    <t xml:space="preserve">SERVICE ETUDES MEDICALES EDF</t>
  </si>
  <si>
    <t xml:space="preserve">48.8934227</t>
  </si>
  <si>
    <t xml:space="preserve">2.2822774</t>
  </si>
  <si>
    <t xml:space="preserve">ABSOLU SANTE LASER</t>
  </si>
  <si>
    <t xml:space="preserve">48.8720433</t>
  </si>
  <si>
    <t xml:space="preserve">2.2912338</t>
  </si>
  <si>
    <t xml:space="preserve">PARAPHAVENIR</t>
  </si>
  <si>
    <t xml:space="preserve">67 RUE BALARD</t>
  </si>
  <si>
    <t xml:space="preserve">01 44 18 95 60</t>
  </si>
  <si>
    <t xml:space="preserve">48.8402391</t>
  </si>
  <si>
    <t xml:space="preserve">2.2781771</t>
  </si>
  <si>
    <t xml:space="preserve">PARACITY EIFFEL</t>
  </si>
  <si>
    <t xml:space="preserve">38 AVENUE DE SUFFREN</t>
  </si>
  <si>
    <t xml:space="preserve">09 67 18 27 91</t>
  </si>
  <si>
    <t xml:space="preserve">48.85472</t>
  </si>
  <si>
    <t xml:space="preserve">2.2950953</t>
  </si>
  <si>
    <t xml:space="preserve">PHARMAVANCE GROUPE</t>
  </si>
  <si>
    <t xml:space="preserve">54 RUE MICHEL ANGE</t>
  </si>
  <si>
    <t xml:space="preserve">01 73 79 79 28</t>
  </si>
  <si>
    <t xml:space="preserve">48.8439849</t>
  </si>
  <si>
    <t xml:space="preserve">2.260714</t>
  </si>
  <si>
    <t xml:space="preserve">PARAPHARMACIE EIFFEL BIR HAKEIM</t>
  </si>
  <si>
    <t xml:space="preserve">2 RUE NELATON</t>
  </si>
  <si>
    <t xml:space="preserve">01 45 72 05 89</t>
  </si>
  <si>
    <t xml:space="preserve">48.8538854</t>
  </si>
  <si>
    <t xml:space="preserve">2.288846</t>
  </si>
  <si>
    <t xml:space="preserve">STRAIGHT</t>
  </si>
  <si>
    <t xml:space="preserve">153 BOULEVARD HAUSSMANN</t>
  </si>
  <si>
    <t xml:space="preserve">0n an   </t>
  </si>
  <si>
    <t xml:space="preserve">48.8749433</t>
  </si>
  <si>
    <t xml:space="preserve">2.3106063</t>
  </si>
  <si>
    <t xml:space="preserve">PARASHOP</t>
  </si>
  <si>
    <t xml:space="preserve">CENTRE MEDECINE ESTHETIQUE</t>
  </si>
  <si>
    <t xml:space="preserve">21 23 RUE MONTROSIER</t>
  </si>
  <si>
    <t xml:space="preserve">01 77 37 59 34</t>
  </si>
  <si>
    <t xml:space="preserve">48.8807715</t>
  </si>
  <si>
    <t xml:space="preserve">2.2797382</t>
  </si>
  <si>
    <t xml:space="preserve">PARAPHARMACIE</t>
  </si>
  <si>
    <t xml:space="preserve">12 RUE BEAUJON</t>
  </si>
  <si>
    <t xml:space="preserve">48.8749652</t>
  </si>
  <si>
    <t xml:space="preserve">2.3017857</t>
  </si>
  <si>
    <t xml:space="preserve">MONOPRIX LES CHAMPS</t>
  </si>
  <si>
    <t xml:space="preserve">107 RUE LA BOETIE</t>
  </si>
  <si>
    <t xml:space="preserve">48.8711514</t>
  </si>
  <si>
    <t xml:space="preserve">2.3068221</t>
  </si>
  <si>
    <t xml:space="preserve">SAS SOYL</t>
  </si>
  <si>
    <t xml:space="preserve">6B SQUARE PETRARQUE</t>
  </si>
  <si>
    <t xml:space="preserve">48.8613557</t>
  </si>
  <si>
    <t xml:space="preserve">2.2821262</t>
  </si>
  <si>
    <t xml:space="preserve">PHARM GAIDOZ</t>
  </si>
  <si>
    <t xml:space="preserve">12 RUE DU CHEVALIER DE SAINT GEORGE</t>
  </si>
  <si>
    <t xml:space="preserve">01 42 60 86 14</t>
  </si>
  <si>
    <t xml:space="preserve">48.8685958</t>
  </si>
  <si>
    <t xml:space="preserve">2.3251268</t>
  </si>
  <si>
    <t xml:space="preserve">PHARMACIE MONTEUX</t>
  </si>
  <si>
    <t xml:space="preserve">40 RUE DE BELLECHASSE</t>
  </si>
  <si>
    <t xml:space="preserve">01 45 51 78 44</t>
  </si>
  <si>
    <t xml:space="preserve">48.8576961</t>
  </si>
  <si>
    <t xml:space="preserve">2.3222611</t>
  </si>
  <si>
    <t xml:space="preserve">PHARMACIE VALENTIN HAUY</t>
  </si>
  <si>
    <t xml:space="preserve">15 RUE VALENTIN HAUY</t>
  </si>
  <si>
    <t xml:space="preserve">01 43 06 81 84</t>
  </si>
  <si>
    <t xml:space="preserve">48.8465655</t>
  </si>
  <si>
    <t xml:space="preserve">2.3090295</t>
  </si>
  <si>
    <t xml:space="preserve">PHARMACIE BLOMET CONVENTION</t>
  </si>
  <si>
    <t xml:space="preserve">182 RUE DE LA CONVENTION</t>
  </si>
  <si>
    <t xml:space="preserve">01 48 28 46 89</t>
  </si>
  <si>
    <t xml:space="preserve">48.8378562</t>
  </si>
  <si>
    <t xml:space="preserve">2.2948057</t>
  </si>
  <si>
    <t xml:space="preserve">PHARMACIE MALAKOFF</t>
  </si>
  <si>
    <t xml:space="preserve">138 140 AVENUE DE MALAKOFF</t>
  </si>
  <si>
    <t xml:space="preserve">01 40 67 19 28</t>
  </si>
  <si>
    <t xml:space="preserve">48.8743397</t>
  </si>
  <si>
    <t xml:space="preserve">2.2841387</t>
  </si>
  <si>
    <t xml:space="preserve">PHARMACIE FRANKLIN</t>
  </si>
  <si>
    <t xml:space="preserve">8 RUE DE PASSY</t>
  </si>
  <si>
    <t xml:space="preserve">01 42 88 22 32</t>
  </si>
  <si>
    <t xml:space="preserve">48.8584527</t>
  </si>
  <si>
    <t xml:space="preserve">2.2836828</t>
  </si>
  <si>
    <t xml:space="preserve">PHARMACIE DU DOME</t>
  </si>
  <si>
    <t xml:space="preserve">33 RUE LAURISTON</t>
  </si>
  <si>
    <t xml:space="preserve">09 53 23 74 75</t>
  </si>
  <si>
    <t xml:space="preserve">48.8707756</t>
  </si>
  <si>
    <t xml:space="preserve">2.2916093</t>
  </si>
  <si>
    <t xml:space="preserve">PHARMACIE DE LA ROTONDE</t>
  </si>
  <si>
    <t xml:space="preserve">1 RUE DE PHALSBOURG</t>
  </si>
  <si>
    <t xml:space="preserve">01 45 74 05 17</t>
  </si>
  <si>
    <t xml:space="preserve">48.8811572</t>
  </si>
  <si>
    <t xml:space="preserve">2.3089316</t>
  </si>
  <si>
    <t xml:space="preserve">PHARMACIE HELIOPOLIS</t>
  </si>
  <si>
    <t xml:space="preserve">131 AVENUE DE VILLIERS</t>
  </si>
  <si>
    <t xml:space="preserve">01 43 80 87 46</t>
  </si>
  <si>
    <t xml:space="preserve">48.8852336</t>
  </si>
  <si>
    <t xml:space="preserve">2.2938639</t>
  </si>
  <si>
    <t xml:space="preserve">PHARMACIE PALAIS DES CONGRES</t>
  </si>
  <si>
    <t xml:space="preserve">2 PLACE DE LA PORTE MAILLOT</t>
  </si>
  <si>
    <t xml:space="preserve">01 40 68 24 33</t>
  </si>
  <si>
    <t xml:space="preserve">48.8786043</t>
  </si>
  <si>
    <t xml:space="preserve">2.2832285</t>
  </si>
  <si>
    <t xml:space="preserve">PHARMACIE MAC MAHON</t>
  </si>
  <si>
    <t xml:space="preserve">14 AVENUE MAC MAHON</t>
  </si>
  <si>
    <t xml:space="preserve">01 43 80 35 25</t>
  </si>
  <si>
    <t xml:space="preserve">48.8767308</t>
  </si>
  <si>
    <t xml:space="preserve">2.2947827</t>
  </si>
  <si>
    <t xml:space="preserve">PHARMACIE CANILLAC</t>
  </si>
  <si>
    <t xml:space="preserve">122 RUE DU CHERCHE MIDI</t>
  </si>
  <si>
    <t xml:space="preserve">01 47 34 88 88</t>
  </si>
  <si>
    <t xml:space="preserve">48.8459997</t>
  </si>
  <si>
    <t xml:space="preserve">2.3198044</t>
  </si>
  <si>
    <t xml:space="preserve">PHARMACIE DE SAXE PARIS</t>
  </si>
  <si>
    <t xml:space="preserve">2 RUE LEON VAUDOYER</t>
  </si>
  <si>
    <t xml:space="preserve">01 47 34 80 51</t>
  </si>
  <si>
    <t xml:space="preserve">48.8484097</t>
  </si>
  <si>
    <t xml:space="preserve">2.3087196</t>
  </si>
  <si>
    <t xml:space="preserve">PHARMACIE DE LA TOUR EIFFEL</t>
  </si>
  <si>
    <t xml:space="preserve">24 RUE DE MONTTESSUY</t>
  </si>
  <si>
    <t xml:space="preserve">01 47 05 12 59</t>
  </si>
  <si>
    <t xml:space="preserve">48.8593786</t>
  </si>
  <si>
    <t xml:space="preserve">2.298096</t>
  </si>
  <si>
    <t xml:space="preserve">PHARMACIE COPPOLA</t>
  </si>
  <si>
    <t xml:space="preserve">41 RUE DU BAC</t>
  </si>
  <si>
    <t xml:space="preserve">01 45 48 81 42</t>
  </si>
  <si>
    <t xml:space="preserve">48.8565218</t>
  </si>
  <si>
    <t xml:space="preserve">2.3269055</t>
  </si>
  <si>
    <t xml:space="preserve">PHARMACIE ACHOUR</t>
  </si>
  <si>
    <t xml:space="preserve">10 AVENUE DE WAGRAM</t>
  </si>
  <si>
    <t xml:space="preserve">01 42 27 16 97</t>
  </si>
  <si>
    <t xml:space="preserve">48.875702</t>
  </si>
  <si>
    <t xml:space="preserve">2.2967064</t>
  </si>
  <si>
    <t xml:space="preserve">PHARMACIE DE L ARCADE</t>
  </si>
  <si>
    <t xml:space="preserve">39 RUE DE L ARCADE</t>
  </si>
  <si>
    <t xml:space="preserve">01 42 66 13 28</t>
  </si>
  <si>
    <t xml:space="preserve">48.8734658</t>
  </si>
  <si>
    <t xml:space="preserve">2.3242564</t>
  </si>
  <si>
    <t xml:space="preserve">PHARMACIE DE BERRI</t>
  </si>
  <si>
    <t xml:space="preserve">48 RUE DE BERRI</t>
  </si>
  <si>
    <t xml:space="preserve">01 45 63 70 67</t>
  </si>
  <si>
    <t xml:space="preserve">48.87457</t>
  </si>
  <si>
    <t xml:space="preserve">2.3081144</t>
  </si>
  <si>
    <t xml:space="preserve">['2023-08-30 16:00:00']</t>
  </si>
  <si>
    <t xml:space="preserve">PHARMACIE SAINT CHARLES</t>
  </si>
  <si>
    <t xml:space="preserve">122 RUE SAINT CHARLES</t>
  </si>
  <si>
    <t xml:space="preserve">01 45 77 54 62</t>
  </si>
  <si>
    <t xml:space="preserve">48.8443108</t>
  </si>
  <si>
    <t xml:space="preserve">2.2833587</t>
  </si>
  <si>
    <t xml:space="preserve">PHARMACIE HOMEOPATHIQUE CENTRALE RIVE GAUCHE</t>
  </si>
  <si>
    <t xml:space="preserve">37 AVENUE DE LOWENDAL</t>
  </si>
  <si>
    <t xml:space="preserve">01 45 67 18 08</t>
  </si>
  <si>
    <t xml:space="preserve">48.8485234</t>
  </si>
  <si>
    <t xml:space="preserve">2.3028352</t>
  </si>
  <si>
    <t xml:space="preserve">PHARMACIE DE LA QUINTINIE</t>
  </si>
  <si>
    <t xml:space="preserve">44 RUE LA QUINTINIE</t>
  </si>
  <si>
    <t xml:space="preserve">01 42 50 90 98</t>
  </si>
  <si>
    <t xml:space="preserve">48.8373162</t>
  </si>
  <si>
    <t xml:space="preserve">2.3031384</t>
  </si>
  <si>
    <t xml:space="preserve">ALPHEGA SILVER</t>
  </si>
  <si>
    <t xml:space="preserve">PHARMACIE LECOURBE</t>
  </si>
  <si>
    <t xml:space="preserve">5 RUE LECOURBE</t>
  </si>
  <si>
    <t xml:space="preserve">01 43 06 51 32</t>
  </si>
  <si>
    <t xml:space="preserve">48.8447732</t>
  </si>
  <si>
    <t xml:space="preserve">2.3102547</t>
  </si>
  <si>
    <t xml:space="preserve">PHARMACIE FAVAL</t>
  </si>
  <si>
    <t xml:space="preserve">50 AVENUE DE SEGUR</t>
  </si>
  <si>
    <t xml:space="preserve">01 43 06 04 94</t>
  </si>
  <si>
    <t xml:space="preserve">48.8471854</t>
  </si>
  <si>
    <t xml:space="preserve">2.3050911</t>
  </si>
  <si>
    <t xml:space="preserve">GRANDE PHARMACIE DE L ARRIVEE</t>
  </si>
  <si>
    <t xml:space="preserve">6 RUE DE L ARRIVEE</t>
  </si>
  <si>
    <t xml:space="preserve">01 45 48 61 20</t>
  </si>
  <si>
    <t xml:space="preserve">48.8438161</t>
  </si>
  <si>
    <t xml:space="preserve">2.3223528</t>
  </si>
  <si>
    <t xml:space="preserve">SELAS PHARMACIE SUFFREN</t>
  </si>
  <si>
    <t xml:space="preserve">82 AVENUE DE SUFFREN</t>
  </si>
  <si>
    <t xml:space="preserve">01 45 67 16 66</t>
  </si>
  <si>
    <t xml:space="preserve">48.8513649</t>
  </si>
  <si>
    <t xml:space="preserve">2.300327</t>
  </si>
  <si>
    <t xml:space="preserve">PHARMACIE PASSY CHERNOVIZ</t>
  </si>
  <si>
    <t xml:space="preserve">13 RUE CHERNOVIZ</t>
  </si>
  <si>
    <t xml:space="preserve">01 40 50 65 72</t>
  </si>
  <si>
    <t xml:space="preserve">48.8577086</t>
  </si>
  <si>
    <t xml:space="preserve">2.2812495</t>
  </si>
  <si>
    <t xml:space="preserve">['2023-09-19 16:50:00']</t>
  </si>
  <si>
    <t xml:space="preserve">PHARMACIE 2 M KRIEF</t>
  </si>
  <si>
    <t xml:space="preserve">14 AVENUE MOZART</t>
  </si>
  <si>
    <t xml:space="preserve">01 45 27 38 17</t>
  </si>
  <si>
    <t xml:space="preserve">48.8572717</t>
  </si>
  <si>
    <t xml:space="preserve">2.2727894</t>
  </si>
  <si>
    <t xml:space="preserve">PHARMACIE SPINHIRNY</t>
  </si>
  <si>
    <t xml:space="preserve">28 AVENUE RAYMOND POINCARE</t>
  </si>
  <si>
    <t xml:space="preserve">01 47 27 35 98</t>
  </si>
  <si>
    <t xml:space="preserve">48.8655104</t>
  </si>
  <si>
    <t xml:space="preserve">2.2865614</t>
  </si>
  <si>
    <t xml:space="preserve">PHARMACIE ETOILE IENA</t>
  </si>
  <si>
    <t xml:space="preserve">37 RUE LA PEROUSE</t>
  </si>
  <si>
    <t xml:space="preserve">01 45 00 60 66</t>
  </si>
  <si>
    <t xml:space="preserve">48.8720727</t>
  </si>
  <si>
    <t xml:space="preserve">2.2949073</t>
  </si>
  <si>
    <t xml:space="preserve">PHARMACIE DU DOCTEUR BLANCHE</t>
  </si>
  <si>
    <t xml:space="preserve">38 RUE DU DOCTEUR BLANCHE</t>
  </si>
  <si>
    <t xml:space="preserve">01 46 47 82 90</t>
  </si>
  <si>
    <t xml:space="preserve">48.8538108</t>
  </si>
  <si>
    <t xml:space="preserve">2.2652088</t>
  </si>
  <si>
    <t xml:space="preserve">['2023-09-26 16:15:00']</t>
  </si>
  <si>
    <t xml:space="preserve">PHARMACIE MARCEAU</t>
  </si>
  <si>
    <t xml:space="preserve">7 AVENUE MARCEAU</t>
  </si>
  <si>
    <t xml:space="preserve">01 47 20 83 52</t>
  </si>
  <si>
    <t xml:space="preserve">48.8658736</t>
  </si>
  <si>
    <t xml:space="preserve">2.299456</t>
  </si>
  <si>
    <t xml:space="preserve">PHARMACIE 24</t>
  </si>
  <si>
    <t xml:space="preserve">24 AVENUE MAC MAHON</t>
  </si>
  <si>
    <t xml:space="preserve">01 43 80 11 96</t>
  </si>
  <si>
    <t xml:space="preserve">48.8782971</t>
  </si>
  <si>
    <t xml:space="preserve">2.2945156</t>
  </si>
  <si>
    <t xml:space="preserve">PHARMACIE HAIK</t>
  </si>
  <si>
    <t xml:space="preserve">42 BOULEVARD PEREIRE</t>
  </si>
  <si>
    <t xml:space="preserve">01 47 63 68 60</t>
  </si>
  <si>
    <t xml:space="preserve">48.88782</t>
  </si>
  <si>
    <t xml:space="preserve">2.30598</t>
  </si>
  <si>
    <t xml:space="preserve">MAXIPHARMA</t>
  </si>
  <si>
    <t xml:space="preserve">PHARMACIE DU METRO WAGRAM</t>
  </si>
  <si>
    <t xml:space="preserve">71 AVENUE DE VILLIERS</t>
  </si>
  <si>
    <t xml:space="preserve">01 47 63 73 94</t>
  </si>
  <si>
    <t xml:space="preserve">48.8836629</t>
  </si>
  <si>
    <t xml:space="preserve">2.3048246</t>
  </si>
  <si>
    <t xml:space="preserve">PHARMACIE CARDINET COURCELLES</t>
  </si>
  <si>
    <t xml:space="preserve">8 RUE CARDINET</t>
  </si>
  <si>
    <t xml:space="preserve">01 45 77 21 91</t>
  </si>
  <si>
    <t xml:space="preserve">48.8814271</t>
  </si>
  <si>
    <t xml:space="preserve">2.3018646</t>
  </si>
  <si>
    <t xml:space="preserve">PHARMACIE DES TERNES</t>
  </si>
  <si>
    <t xml:space="preserve">90 AVENUE DES TERNES</t>
  </si>
  <si>
    <t xml:space="preserve">01 45 74 17 43</t>
  </si>
  <si>
    <t xml:space="preserve">48.8804318</t>
  </si>
  <si>
    <t xml:space="preserve">2.2872068</t>
  </si>
  <si>
    <t xml:space="preserve">PHARMACIE BONNEAU</t>
  </si>
  <si>
    <t xml:space="preserve">20 B RUE ARISTIDE BRIAND</t>
  </si>
  <si>
    <t xml:space="preserve">01 47 57 24 49</t>
  </si>
  <si>
    <t xml:space="preserve">48.8939435</t>
  </si>
  <si>
    <t xml:space="preserve">2.2918881</t>
  </si>
  <si>
    <t xml:space="preserve">PHARMACIE CARNOT</t>
  </si>
  <si>
    <t xml:space="preserve">57 RUE CARNOT</t>
  </si>
  <si>
    <t xml:space="preserve">01 47 57 59 52</t>
  </si>
  <si>
    <t xml:space="preserve">48.8917916</t>
  </si>
  <si>
    <t xml:space="preserve">2.286584</t>
  </si>
  <si>
    <t xml:space="preserve">PHARMACIE DE LA MAIRIE</t>
  </si>
  <si>
    <t xml:space="preserve">105 AVENUE ACHILLE PERETTI</t>
  </si>
  <si>
    <t xml:space="preserve">01 46 24 03 82</t>
  </si>
  <si>
    <t xml:space="preserve">48.8837653</t>
  </si>
  <si>
    <t xml:space="preserve">2.2712203</t>
  </si>
  <si>
    <t xml:space="preserve">PHARMACIE YAICHE LAZIMI</t>
  </si>
  <si>
    <t xml:space="preserve">82 RUE DE LONGCHAMP</t>
  </si>
  <si>
    <t xml:space="preserve">01 46 37 43 40</t>
  </si>
  <si>
    <t xml:space="preserve">48.8780184</t>
  </si>
  <si>
    <t xml:space="preserve">2.2517966</t>
  </si>
  <si>
    <t xml:space="preserve">['2023-10-25 12:30:00']</t>
  </si>
  <si>
    <t xml:space="preserve">PARAPHARMACIE CONSEIL</t>
  </si>
  <si>
    <t xml:space="preserve">3 RUE DE TOCQUEVILLE</t>
  </si>
  <si>
    <t xml:space="preserve">01 47 63 40 02</t>
  </si>
  <si>
    <t xml:space="preserve">48.8821114</t>
  </si>
  <si>
    <t xml:space="preserve">2.3141903</t>
  </si>
  <si>
    <t xml:space="preserve">AUTEUIL SANTE BEAUTE</t>
  </si>
  <si>
    <t xml:space="preserve">54 RUE D AUTEUIL</t>
  </si>
  <si>
    <t xml:space="preserve">01 42 15 20 22</t>
  </si>
  <si>
    <t xml:space="preserve">48.848055</t>
  </si>
  <si>
    <t xml:space="preserve">2.2625318</t>
  </si>
  <si>
    <t xml:space="preserve">PARAPHARMACIE MONOPRIX</t>
  </si>
  <si>
    <t xml:space="preserve">52 AVENUE DES CHAMPS ELYSEES</t>
  </si>
  <si>
    <t xml:space="preserve">01 53 77 65 65</t>
  </si>
  <si>
    <t xml:space="preserve">48.8704259</t>
  </si>
  <si>
    <t xml:space="preserve">2.3066934</t>
  </si>
  <si>
    <t xml:space="preserve">MONOPRIX</t>
  </si>
  <si>
    <t xml:space="preserve">340 RUE DE VAUGIRARD</t>
  </si>
  <si>
    <t xml:space="preserve">01 56 23 90 60</t>
  </si>
  <si>
    <t xml:space="preserve">48.8366077</t>
  </si>
  <si>
    <t xml:space="preserve">2.2948629</t>
  </si>
  <si>
    <t xml:space="preserve">19 RUE LINOIS</t>
  </si>
  <si>
    <t xml:space="preserve">01 45 75 02 40</t>
  </si>
  <si>
    <t xml:space="preserve">48.8482786</t>
  </si>
  <si>
    <t xml:space="preserve">2.2835134</t>
  </si>
  <si>
    <t xml:space="preserve">2 RUE DU COMMERCE</t>
  </si>
  <si>
    <t xml:space="preserve">01 45 79 94 86</t>
  </si>
  <si>
    <t xml:space="preserve">EURO SANTE BEAUTE</t>
  </si>
  <si>
    <t xml:space="preserve">116 RUE DE COURCELLES</t>
  </si>
  <si>
    <t xml:space="preserve">01 47 63 03 50</t>
  </si>
  <si>
    <t xml:space="preserve">48.8804978</t>
  </si>
  <si>
    <t xml:space="preserve">2.3019342</t>
  </si>
  <si>
    <t xml:space="preserve">25 AVENUE DES TERNES</t>
  </si>
  <si>
    <t xml:space="preserve">01 43 80 43 76</t>
  </si>
  <si>
    <t xml:space="preserve">48.8782438</t>
  </si>
  <si>
    <t xml:space="preserve">2.2952409</t>
  </si>
  <si>
    <t xml:space="preserve">72 80 AVENUE CHARLES DE GAULLE</t>
  </si>
  <si>
    <t xml:space="preserve">01 47 45 24 42</t>
  </si>
  <si>
    <t xml:space="preserve">48.8862431</t>
  </si>
  <si>
    <t xml:space="preserve">2.2566603</t>
  </si>
  <si>
    <t xml:space="preserve">13 RUE DE LEVIS</t>
  </si>
  <si>
    <t xml:space="preserve">01 43 87 23 60</t>
  </si>
  <si>
    <t xml:space="preserve">48.8819387</t>
  </si>
  <si>
    <t xml:space="preserve">2.3157188</t>
  </si>
  <si>
    <t xml:space="preserve">ESPACE CITY SANTE</t>
  </si>
  <si>
    <t xml:space="preserve">26 RUE D ASTORG</t>
  </si>
  <si>
    <t xml:space="preserve">01 40 98 00 30</t>
  </si>
  <si>
    <t xml:space="preserve">48.8739267</t>
  </si>
  <si>
    <t xml:space="preserve">2.3195793</t>
  </si>
  <si>
    <t xml:space="preserve">MONOPRIX PASSY PLAZA</t>
  </si>
  <si>
    <t xml:space="preserve">53 RUE DE PASSY</t>
  </si>
  <si>
    <t xml:space="preserve">01 55 74 60 10</t>
  </si>
  <si>
    <t xml:space="preserve">48.8576089</t>
  </si>
  <si>
    <t xml:space="preserve">2.2796377</t>
  </si>
  <si>
    <t xml:space="preserve">MARIONNAUD ESPACES</t>
  </si>
  <si>
    <t xml:space="preserve">23 BOULEVARD DE LA MADELEINE</t>
  </si>
  <si>
    <t xml:space="preserve">01 40 20 08 80</t>
  </si>
  <si>
    <t xml:space="preserve">48.8692673</t>
  </si>
  <si>
    <t xml:space="preserve">2.3255141</t>
  </si>
  <si>
    <t xml:space="preserve">ENTREPOT PARAPHARMACIE MONOPRIX</t>
  </si>
  <si>
    <t xml:space="preserve">104 B RUE SAINT CHARLES</t>
  </si>
  <si>
    <t xml:space="preserve">48.8412004</t>
  </si>
  <si>
    <t xml:space="preserve">2.2807961</t>
  </si>
  <si>
    <t xml:space="preserve">104 AVENUE DES CHAMPS ELYSEES</t>
  </si>
  <si>
    <t xml:space="preserve">01 53 96 50 00</t>
  </si>
  <si>
    <t xml:space="preserve">48.8719725</t>
  </si>
  <si>
    <t xml:space="preserve">2.3018362</t>
  </si>
  <si>
    <t xml:space="preserve">10 RUE DES BELLES FEUILLES</t>
  </si>
  <si>
    <t xml:space="preserve">01 44 05 91 12</t>
  </si>
  <si>
    <t xml:space="preserve">48.8661757</t>
  </si>
  <si>
    <t xml:space="preserve">2.2827604</t>
  </si>
  <si>
    <t xml:space="preserve">DUROC MEDICAL</t>
  </si>
  <si>
    <t xml:space="preserve">1 RUE MAYET</t>
  </si>
  <si>
    <t xml:space="preserve">01 42 73 51 27</t>
  </si>
  <si>
    <t xml:space="preserve">48.8472434</t>
  </si>
  <si>
    <t xml:space="preserve">2.3184317</t>
  </si>
  <si>
    <t xml:space="preserve">18 RUE DE PASSY</t>
  </si>
  <si>
    <t xml:space="preserve">01 45 20 17 52</t>
  </si>
  <si>
    <t xml:space="preserve">48.8582216</t>
  </si>
  <si>
    <t xml:space="preserve">2.2821508</t>
  </si>
  <si>
    <t xml:space="preserve">24 RUE DU COMMERCE</t>
  </si>
  <si>
    <t xml:space="preserve">01 45 77 07 15</t>
  </si>
  <si>
    <t xml:space="preserve">48.847732</t>
  </si>
  <si>
    <t xml:space="preserve">2.2964109</t>
  </si>
  <si>
    <t xml:space="preserve">LEVALLOIS MEDICAL SERVICE</t>
  </si>
  <si>
    <t xml:space="preserve">18 RUE DE VILLIERS</t>
  </si>
  <si>
    <t xml:space="preserve">01 41 05 01 23</t>
  </si>
  <si>
    <t xml:space="preserve">48.8879125</t>
  </si>
  <si>
    <t xml:space="preserve">2.2822605</t>
  </si>
  <si>
    <t xml:space="preserve">2 4 RUE HENRI BARBUSSE</t>
  </si>
  <si>
    <t xml:space="preserve">01 47 37 17 41</t>
  </si>
  <si>
    <t xml:space="preserve">48.8909778</t>
  </si>
  <si>
    <t xml:space="preserve">2.2900234</t>
  </si>
  <si>
    <t xml:space="preserve">BEAUCLER</t>
  </si>
  <si>
    <t xml:space="preserve">28 30 RUE DE CHAZELLES</t>
  </si>
  <si>
    <t xml:space="preserve">01 40 53 07 99</t>
  </si>
  <si>
    <t xml:space="preserve">48.8800921</t>
  </si>
  <si>
    <t xml:space="preserve">2.3046941</t>
  </si>
  <si>
    <t xml:space="preserve">EPILIUM</t>
  </si>
  <si>
    <t xml:space="preserve">8 RUE LINCOLN</t>
  </si>
  <si>
    <t xml:space="preserve">48.8700875</t>
  </si>
  <si>
    <t xml:space="preserve">2.3027674</t>
  </si>
  <si>
    <t xml:space="preserve">LECLERC</t>
  </si>
  <si>
    <t xml:space="preserve">38 RUE D ALSACE</t>
  </si>
  <si>
    <t xml:space="preserve">01 41 27 91 60</t>
  </si>
  <si>
    <t xml:space="preserve">48.89220065</t>
  </si>
  <si>
    <t xml:space="preserve">2.298236674271392</t>
  </si>
  <si>
    <t xml:space="preserve">PARACLUB</t>
  </si>
  <si>
    <t xml:space="preserve">30 RUE OLIVIER DE SERRES</t>
  </si>
  <si>
    <t xml:space="preserve">48.8357917</t>
  </si>
  <si>
    <t xml:space="preserve">2.2968143</t>
  </si>
  <si>
    <t xml:space="preserve">ENTREPOT PHARMACIE MONTPARNASSE</t>
  </si>
  <si>
    <t xml:space="preserve">9 RUE ROBERT DE FLERS</t>
  </si>
  <si>
    <t xml:space="preserve">01 43 20 70 22</t>
  </si>
  <si>
    <t xml:space="preserve">48.8500337</t>
  </si>
  <si>
    <t xml:space="preserve">2.2848564</t>
  </si>
  <si>
    <t xml:space="preserve">ENTREPOT PARAPHARMACIE LECLERC</t>
  </si>
  <si>
    <t xml:space="preserve">42 RUE D ALSACE</t>
  </si>
  <si>
    <t xml:space="preserve">48.8930345</t>
  </si>
  <si>
    <t xml:space="preserve">2.298784</t>
  </si>
  <si>
    <t xml:space="preserve">CFEB SISLEY</t>
  </si>
  <si>
    <t xml:space="preserve">16 AVENUE GEORGE V</t>
  </si>
  <si>
    <t xml:space="preserve">01 49 52 35 00</t>
  </si>
  <si>
    <t xml:space="preserve">48.8665441</t>
  </si>
  <si>
    <t xml:space="preserve">2.3015921</t>
  </si>
  <si>
    <t xml:space="preserve">72 AVENUE CHARLES DE GAULLE</t>
  </si>
  <si>
    <t xml:space="preserve">48.8816754</t>
  </si>
  <si>
    <t xml:space="preserve">2.2712941</t>
  </si>
  <si>
    <t xml:space="preserve">MONOPRIX SAINT AUGUSTIN</t>
  </si>
  <si>
    <t xml:space="preserve">47 BOULEVARD MALESHERBES</t>
  </si>
  <si>
    <t xml:space="preserve">48.8744428</t>
  </si>
  <si>
    <t xml:space="preserve">2.3198981</t>
  </si>
  <si>
    <t xml:space="preserve">TOTUM PHARMACIENS</t>
  </si>
  <si>
    <t xml:space="preserve">121 AVENUE DES CHAMPS ELYSEES</t>
  </si>
  <si>
    <t xml:space="preserve">01 72 71 85 86</t>
  </si>
  <si>
    <t xml:space="preserve">48.8723901</t>
  </si>
  <si>
    <t xml:space="preserve">2.2982916</t>
  </si>
  <si>
    <t xml:space="preserve">GROUPE CARREFOUR</t>
  </si>
  <si>
    <t xml:space="preserve">26 QUAI CHARLES PASQUA</t>
  </si>
  <si>
    <t xml:space="preserve">01 55 63 39 00</t>
  </si>
  <si>
    <t xml:space="preserve">48.8980609</t>
  </si>
  <si>
    <t xml:space="preserve">2.2784821</t>
  </si>
  <si>
    <t xml:space="preserve">FOLLEREAU LOGISTIQUE</t>
  </si>
  <si>
    <t xml:space="preserve">33 RUE DE DANTZIG</t>
  </si>
  <si>
    <t xml:space="preserve">01 48 56 60 50</t>
  </si>
  <si>
    <t xml:space="preserve">48.8338207</t>
  </si>
  <si>
    <t xml:space="preserve">2.2991816</t>
  </si>
  <si>
    <t xml:space="preserve">CENTRE MEDICAL ESTHETIQUE ROOSEVELT</t>
  </si>
  <si>
    <t xml:space="preserve">48.870616</t>
  </si>
  <si>
    <t xml:space="preserve">2.310222</t>
  </si>
  <si>
    <t xml:space="preserve">HAIRSUN</t>
  </si>
  <si>
    <t xml:space="preserve">16 RUE ANATOLE FRANCE</t>
  </si>
  <si>
    <t xml:space="preserve">48.8886717</t>
  </si>
  <si>
    <t xml:space="preserve">2.2882665</t>
  </si>
  <si>
    <t xml:space="preserve">HEALTHWORKS FRANCE</t>
  </si>
  <si>
    <t xml:space="preserve">6 RUE DE CASTELLANE</t>
  </si>
  <si>
    <t xml:space="preserve">01 42 66 15 59</t>
  </si>
  <si>
    <t xml:space="preserve">48.8723076</t>
  </si>
  <si>
    <t xml:space="preserve">2.3253001</t>
  </si>
  <si>
    <t xml:space="preserve">INSTITUT LAZERIS</t>
  </si>
  <si>
    <t xml:space="preserve">45 RUE DE COURCELLES</t>
  </si>
  <si>
    <t xml:space="preserve">01 40 68 97 46</t>
  </si>
  <si>
    <t xml:space="preserve">48.8761646</t>
  </si>
  <si>
    <t xml:space="preserve">2.3078901</t>
  </si>
  <si>
    <t xml:space="preserve">PHARMACIE DE LA BOURDONNAIS</t>
  </si>
  <si>
    <t xml:space="preserve">01 45 51 01 51</t>
  </si>
  <si>
    <t xml:space="preserve">48.8563439</t>
  </si>
  <si>
    <t xml:space="preserve">2.301931</t>
  </si>
  <si>
    <t xml:space="preserve">ville</t>
  </si>
  <si>
    <t xml:space="preserve">url</t>
  </si>
  <si>
    <t xml:space="preserve">GLEVAREC</t>
  </si>
  <si>
    <t xml:space="preserve">GLEVAREC PAULINE#https://annuairesante.ameli.fr/professionnels-de-sante/recherche/fiche-detaillee-CbA1kjcxNzCy.html</t>
  </si>
  <si>
    <t xml:space="preserve">09:00-14:00(R)&lt;br/&gt;</t>
  </si>
  <si>
    <t xml:space="preserve">14:00-18:00(R)&lt;br/&gt;</t>
  </si>
  <si>
    <t xml:space="preserve">14:00-19:00(R)&lt;br/&gt;</t>
  </si>
  <si>
    <t xml:space="preserve">14:00-17:00(R)&lt;br/&gt;</t>
  </si>
  <si>
    <t xml:space="preserve">75</t>
  </si>
  <si>
    <t xml:space="preserve">KABLA</t>
  </si>
  <si>
    <t xml:space="preserve">24 RUE RIVAY</t>
  </si>
  <si>
    <t xml:space="preserve">KABLA DAVID#https://annuairesante.ameli.fr/professionnels-de-sante/recherche/fiche-detaillee-CbA1kjo1NDa6.html</t>
  </si>
  <si>
    <t xml:space="preserve">09:30-14:00(R)&lt;br/&gt;</t>
  </si>
  <si>
    <t xml:space="preserve">24</t>
  </si>
  <si>
    <t xml:space="preserve">KORCHI</t>
  </si>
  <si>
    <t xml:space="preserve">AMEL</t>
  </si>
  <si>
    <t xml:space="preserve">104 RUE LOUIS ROUQUIER</t>
  </si>
  <si>
    <t xml:space="preserve">KORCHI AMEL#https://annuairesante.ameli.fr/professionnels-de-sante/recherche/fiche-detaillee-CbA1mjYyODC1.html</t>
  </si>
  <si>
    <t xml:space="preserve">104</t>
  </si>
  <si>
    <t xml:space="preserve">MARIE CAROLINE</t>
  </si>
  <si>
    <t xml:space="preserve">128 RUE MARIUS AUFAN</t>
  </si>
  <si>
    <t xml:space="preserve">01 46 39 06 67</t>
  </si>
  <si>
    <t xml:space="preserve">GAILLARD MARIE CAROLINE#https://annuairesante.ameli.fr/professionnels-de-sante/recherche/fiche-detaillee-CbA1kzcxNjSy.html</t>
  </si>
  <si>
    <t xml:space="preserve">128</t>
  </si>
  <si>
    <t xml:space="preserve">6 PLACE DE LA REPUBLIQUE</t>
  </si>
  <si>
    <t xml:space="preserve">01 47 37 58 59</t>
  </si>
  <si>
    <t xml:space="preserve">UZAN SANDRINE#https://annuairesante.ameli.fr/professionnels-de-sante/recherche/fiche-detaillee-CbA1kzQzNTC3.html</t>
  </si>
  <si>
    <t xml:space="preserve">PLACE DE LA REPUBLIQUE</t>
  </si>
  <si>
    <t xml:space="preserve">6</t>
  </si>
  <si>
    <t xml:space="preserve">GODARD</t>
  </si>
  <si>
    <t xml:space="preserve">GODARD PIERRE#https://annuairesante.ameli.fr/professionnels-de-sante/recherche/fiche-detaillee-CbA1mjYyMDO1.html</t>
  </si>
  <si>
    <t xml:space="preserve">ECH</t>
  </si>
  <si>
    <t xml:space="preserve">9</t>
  </si>
  <si>
    <t xml:space="preserve">BLADIER</t>
  </si>
  <si>
    <t xml:space="preserve">41 RUE JEAN JAURES</t>
  </si>
  <si>
    <t xml:space="preserve">01 47 30 08 80</t>
  </si>
  <si>
    <t xml:space="preserve">BLADIER GERARD#https://annuairesante.ameli.fr/professionnels-de-sante/recherche/fiche-detaillee-CbA1kzI3Mze1.html</t>
  </si>
  <si>
    <t xml:space="preserve">14:00-21:00(R)&lt;br/&gt;</t>
  </si>
  <si>
    <t xml:space="preserve">08:30-14:00(R)&lt;br/&gt;</t>
  </si>
  <si>
    <t xml:space="preserve">16:00-21:00(R)&lt;br/&gt;</t>
  </si>
  <si>
    <t xml:space="preserve">14:00-22:00(R)&lt;br/&gt;</t>
  </si>
  <si>
    <t xml:space="preserve">RUE JEAN JAURES</t>
  </si>
  <si>
    <t xml:space="preserve">41</t>
  </si>
  <si>
    <t xml:space="preserve">JEAN LIONEL</t>
  </si>
  <si>
    <t xml:space="preserve">BAGOT JEAN LIONEL#https://annuairesante.ameli.fr/professionnels-de-sante/recherche/fiche-detaillee-CbA1mjE4Mzu3.html</t>
  </si>
  <si>
    <t xml:space="preserve">3</t>
  </si>
  <si>
    <t xml:space="preserve">RAULT</t>
  </si>
  <si>
    <t xml:space="preserve">06 82 30 54 72</t>
  </si>
  <si>
    <t xml:space="preserve">RAULT MARIE EVE#https://annuairesante.ameli.fr/professionnels-de-sante/recherche/fiche-detaillee-CbA1kzozNze2.html</t>
  </si>
  <si>
    <t xml:space="preserve">08:45-14:00(R)&lt;br/&gt;</t>
  </si>
  <si>
    <t xml:space="preserve">29</t>
  </si>
  <si>
    <t xml:space="preserve">MARCIANO</t>
  </si>
  <si>
    <t xml:space="preserve">SEBASTIAN</t>
  </si>
  <si>
    <t xml:space="preserve">01 88 59 08 88</t>
  </si>
  <si>
    <t xml:space="preserve">MARCIANO SEBASTIAN#https://annuairesante.ameli.fr/professionnels-de-sante/recherche/fiche-detaillee-CbA1mjYzMjW2.html</t>
  </si>
  <si>
    <t xml:space="preserve">82</t>
  </si>
  <si>
    <t xml:space="preserve">FOGIEL</t>
  </si>
  <si>
    <t xml:space="preserve">01 42 70 00 12</t>
  </si>
  <si>
    <t xml:space="preserve">FOGIEL VERONIQUE#https://annuairesante.ameli.fr/professionnels-de-sante/recherche/fiche-detaillee-CbA1kzU2MDq3.html</t>
  </si>
  <si>
    <t xml:space="preserve">23</t>
  </si>
  <si>
    <t xml:space="preserve">DE LA DEBUTRIE</t>
  </si>
  <si>
    <t xml:space="preserve">01 79 62 56 19</t>
  </si>
  <si>
    <t xml:space="preserve">DE LA DEBUTRIE ISABELLE#https://annuairesante.ameli.fr/professionnels-de-sante/recherche/fiche-detaillee-CbA1kzszNDGz.html</t>
  </si>
  <si>
    <t xml:space="preserve">14:00-19:30(R)&lt;br/&gt;</t>
  </si>
  <si>
    <t xml:space="preserve">14:00-18:30(R)&lt;br/&gt;</t>
  </si>
  <si>
    <t xml:space="preserve">HODARA DARMON</t>
  </si>
  <si>
    <t xml:space="preserve">HODARA DARMON CAROLINE#https://annuairesante.ameli.fr/professionnels-de-sante/recherche/fiche-detaillee-CbA1kjUzOTWz.html</t>
  </si>
  <si>
    <t xml:space="preserve">DARMENDRAIL</t>
  </si>
  <si>
    <t xml:space="preserve">37 RUE LOUIS ROUQUIER</t>
  </si>
  <si>
    <t xml:space="preserve">DARMENDRAIL JEANNE#https://annuairesante.ameli.fr/professionnels-de-sante/recherche/fiche-detaillee-CbA1kjo1NDK0.html</t>
  </si>
  <si>
    <t xml:space="preserve">08:00-14:00(R)&lt;br/&gt;</t>
  </si>
  <si>
    <t xml:space="preserve">37</t>
  </si>
  <si>
    <t xml:space="preserve">19 RUE ANTONIN RAYNAUD</t>
  </si>
  <si>
    <t xml:space="preserve">07 66 11 60 01</t>
  </si>
  <si>
    <t xml:space="preserve">KABLA CHARLES#https://annuairesante.ameli.fr/professionnels-de-sante/recherche/fiche-detaillee-CbA1mjYxNTKy.html</t>
  </si>
  <si>
    <t xml:space="preserve">RUE ANTONIN RAYNAUD</t>
  </si>
  <si>
    <t xml:space="preserve">19</t>
  </si>
  <si>
    <t xml:space="preserve">STRUK</t>
  </si>
  <si>
    <t xml:space="preserve">STRUK ALAIN#https://annuairesante.ameli.fr/professionnels-de-sante/recherche/fiche-detaillee-CbA1kzAyNzGx.html</t>
  </si>
  <si>
    <t xml:space="preserve">15:00-18:00(R)&lt;br/&gt;</t>
  </si>
  <si>
    <t xml:space="preserve">12:00-14:00(R)&lt;br/&gt;</t>
  </si>
  <si>
    <t xml:space="preserve">14:00-15:00(R)&lt;br/&gt;17:00-20:00(R)&lt;br/&gt;</t>
  </si>
  <si>
    <t xml:space="preserve">DOWDING</t>
  </si>
  <si>
    <t xml:space="preserve">14 RUE JULES CLARETIE</t>
  </si>
  <si>
    <t xml:space="preserve">DOWDING ADRIEN#https://annuairesante.ameli.fr/professionnels-de-sante/recherche/fiche-detaillee-B7c1kzQ2NjS7.html</t>
  </si>
  <si>
    <t xml:space="preserve">RUE JULES CLARETIE</t>
  </si>
  <si>
    <t xml:space="preserve">14</t>
  </si>
  <si>
    <t xml:space="preserve">SAINT GERMAIN</t>
  </si>
  <si>
    <t xml:space="preserve">SAINT GERMAIN PIERRE#https://annuairesante.ameli.fr/professionnels-de-sante/recherche/fiche-detaillee-B7c1ljo3NTe0.html</t>
  </si>
  <si>
    <t xml:space="preserve">15:00-19:30(R)&lt;br/&gt;</t>
  </si>
  <si>
    <t xml:space="preserve">17:00-19:30(R)&lt;br/&gt;</t>
  </si>
  <si>
    <t xml:space="preserve">11</t>
  </si>
  <si>
    <t xml:space="preserve">LARGE</t>
  </si>
  <si>
    <t xml:space="preserve">LARGE MELISSA#https://annuairesante.ameli.fr/professionnels-de-sante/recherche/fiche-detaillee-B7c1kzYxNTe7.html</t>
  </si>
  <si>
    <t xml:space="preserve">09:15-14:00(R)&lt;br/&gt;</t>
  </si>
  <si>
    <t xml:space="preserve">REKIK</t>
  </si>
  <si>
    <t xml:space="preserve">FAKHER</t>
  </si>
  <si>
    <t xml:space="preserve">19 RUE DE CHAILLOT</t>
  </si>
  <si>
    <t xml:space="preserve">01 42 18 48 48</t>
  </si>
  <si>
    <t xml:space="preserve">REKIK FAKHER#https://annuairesante.ameli.fr/professionnels-de-sante/recherche/fiche-detaillee-B7c1lTYwNja0.html</t>
  </si>
  <si>
    <t xml:space="preserve">10:00-13:20(R)&lt;br/&gt;</t>
  </si>
  <si>
    <t xml:space="preserve">15:00-19:00(R)&lt;br/&gt;</t>
  </si>
  <si>
    <t xml:space="preserve">RUE DE CHAILLOT</t>
  </si>
  <si>
    <t xml:space="preserve">BOMPARD</t>
  </si>
  <si>
    <t xml:space="preserve">BOMPARD FREDERIC#https://annuairesante.ameli.fr/professionnels-de-sante/recherche/fiche-detaillee-B7c1mjMwNzSz.html</t>
  </si>
  <si>
    <t xml:space="preserve">45</t>
  </si>
  <si>
    <t xml:space="preserve">TAOUEB</t>
  </si>
  <si>
    <t xml:space="preserve">KELTHOUM</t>
  </si>
  <si>
    <t xml:space="preserve">22 AVENUE PIERRE 1ER DE SERBIE</t>
  </si>
  <si>
    <t xml:space="preserve">01 40 70 17 27</t>
  </si>
  <si>
    <t xml:space="preserve">TAOUEB KELTHOUM#https://annuairesante.ameli.fr/professionnels-de-sante/recherche/fiche-detaillee-B7c1lTIyNDK0.html</t>
  </si>
  <si>
    <t xml:space="preserve">22</t>
  </si>
  <si>
    <t xml:space="preserve">HONARYAR</t>
  </si>
  <si>
    <t xml:space="preserve">MANOJ</t>
  </si>
  <si>
    <t xml:space="preserve">HONARYAR MANOJ#https://annuairesante.ameli.fr/professionnels-de-sante/recherche/fiche-detaillee-B7c1ljowNTqz.html</t>
  </si>
  <si>
    <t xml:space="preserve">FERRAND MANGIN</t>
  </si>
  <si>
    <t xml:space="preserve">FERRAND MANGIN VERONIQUE#https://annuairesante.ameli.fr/professionnels-de-sante/recherche/fiche-detaillee-B7c1ljo5Nzey.html</t>
  </si>
  <si>
    <t xml:space="preserve">51</t>
  </si>
  <si>
    <t xml:space="preserve">REY ANTOINE#https://annuairesante.ameli.fr/professionnels-de-sante/recherche/fiche-detaillee-B7c1mzE5NzG7.html</t>
  </si>
  <si>
    <t xml:space="preserve">133</t>
  </si>
  <si>
    <t xml:space="preserve">DELAYE</t>
  </si>
  <si>
    <t xml:space="preserve">36 RUE DU GENERAL DELESTRAINT</t>
  </si>
  <si>
    <t xml:space="preserve">DELAYE CECILE#https://annuairesante.ameli.fr/professionnels-de-sante/recherche/fiche-detaillee-B7c1kzcwNzSw.html</t>
  </si>
  <si>
    <t xml:space="preserve">36</t>
  </si>
  <si>
    <t xml:space="preserve">CHOUQUET</t>
  </si>
  <si>
    <t xml:space="preserve">MARIE BRIGITTE</t>
  </si>
  <si>
    <t xml:space="preserve">24 AVENUE THEOPHILE GAUTIER</t>
  </si>
  <si>
    <t xml:space="preserve">01 42 24 37 84</t>
  </si>
  <si>
    <t xml:space="preserve">CHOUQUET MARIE BRIGITTE#https://annuairesante.ameli.fr/professionnels-de-sante/recherche/fiche-detaillee-B7c1lDsyODu0.html</t>
  </si>
  <si>
    <t xml:space="preserve">HUGUET</t>
  </si>
  <si>
    <t xml:space="preserve">96 AVENUE KLEBER</t>
  </si>
  <si>
    <t xml:space="preserve">HUGUET SOPHIE#https://annuairesante.ameli.fr/professionnels-de-sante/recherche/fiche-detaillee-B7c1lTA0NzK0.html</t>
  </si>
  <si>
    <t xml:space="preserve">96</t>
  </si>
  <si>
    <t xml:space="preserve">ZEITOUN WERTEL</t>
  </si>
  <si>
    <t xml:space="preserve">91 AVENUE RAYMOND POINCARE</t>
  </si>
  <si>
    <t xml:space="preserve">ZEITOUN WERTEL REBECCA#https://annuairesante.ameli.fr/professionnels-de-sante/recherche/fiche-detaillee-B7c1lTY0MTC0.html</t>
  </si>
  <si>
    <t xml:space="preserve">91</t>
  </si>
  <si>
    <t xml:space="preserve">PIBLINGER TOUZET</t>
  </si>
  <si>
    <t xml:space="preserve">01 42 15 41 48</t>
  </si>
  <si>
    <t xml:space="preserve">PIBLINGER TOUZET MARIE CHRISTINE#https://annuairesante.ameli.fr/professionnels-de-sante/recherche/fiche-detaillee-B7c1lzo2NTOy.html</t>
  </si>
  <si>
    <t xml:space="preserve">DJIAN AUDREY#https://annuairesante.ameli.fr/professionnels-de-sante/recherche/fiche-detaillee-B7c1lzUzNTq1.html</t>
  </si>
  <si>
    <t xml:space="preserve">09:45-14:00(R)&lt;br/&gt;</t>
  </si>
  <si>
    <t xml:space="preserve">14:00-20:00(R)&lt;br/&gt;</t>
  </si>
  <si>
    <t xml:space="preserve">14:00-15:00(R)&lt;br/&gt;</t>
  </si>
  <si>
    <t xml:space="preserve">108</t>
  </si>
  <si>
    <t xml:space="preserve">PATOUILLERE</t>
  </si>
  <si>
    <t xml:space="preserve">06 07 41 91 13</t>
  </si>
  <si>
    <t xml:space="preserve">PATOUILLERE CEDRIC#https://annuairesante.ameli.fr/professionnels-de-sante/recherche/fiche-detaillee-B7c1mzY2Mjq2.html</t>
  </si>
  <si>
    <t xml:space="preserve">MAISONNIER</t>
  </si>
  <si>
    <t xml:space="preserve">28 RUE SCHEFFER</t>
  </si>
  <si>
    <t xml:space="preserve">MAISONNIER MARIE HELENE#https://annuairesante.ameli.fr/professionnels-de-sante/recherche/fiche-detaillee-B7c1mzEyMjC1.html</t>
  </si>
  <si>
    <t xml:space="preserve">28</t>
  </si>
  <si>
    <t xml:space="preserve">CANDIOTTI</t>
  </si>
  <si>
    <t xml:space="preserve">1 AVENUE ST HONORE D EYLAU</t>
  </si>
  <si>
    <t xml:space="preserve">CANDIOTTI ANDRE#https://annuairesante.ameli.fr/professionnels-de-sante/recherche/fiche-detaillee-B7c1kTc5MjO7.html</t>
  </si>
  <si>
    <t xml:space="preserve">1</t>
  </si>
  <si>
    <t xml:space="preserve">LE FAOU</t>
  </si>
  <si>
    <t xml:space="preserve">12B RUE RAYNOUARD</t>
  </si>
  <si>
    <t xml:space="preserve">06 75 15 73 38</t>
  </si>
  <si>
    <t xml:space="preserve">LE FAOU MICHEL#https://annuairesante.ameli.fr/professionnels-de-sante/recherche/fiche-detaillee-B7c1lDU4Njq7.html</t>
  </si>
  <si>
    <t xml:space="preserve">10:00-14:00(R)&lt;br/&gt;</t>
  </si>
  <si>
    <t xml:space="preserve">12</t>
  </si>
  <si>
    <t xml:space="preserve">MALOUBIER</t>
  </si>
  <si>
    <t xml:space="preserve">ARNAULD</t>
  </si>
  <si>
    <t xml:space="preserve">18 AVENUE KLEBER</t>
  </si>
  <si>
    <t xml:space="preserve">06 19 03 28 85</t>
  </si>
  <si>
    <t xml:space="preserve">MALOUBIER ARNAULD#https://annuairesante.ameli.fr/professionnels-de-sante/recherche/fiche-detaillee-B7c1lDA2Nzu3.html</t>
  </si>
  <si>
    <t xml:space="preserve">18</t>
  </si>
  <si>
    <t xml:space="preserve">PREVOST BELGHITI</t>
  </si>
  <si>
    <t xml:space="preserve">40 BOULEVARD EXELMANS</t>
  </si>
  <si>
    <t xml:space="preserve">01 55 73 03 35</t>
  </si>
  <si>
    <t xml:space="preserve">PREVOST BELGHITI CAROLINE#https://annuairesante.ameli.fr/professionnels-de-sante/recherche/fiche-detaillee-B7c1lDYyNTa3.html</t>
  </si>
  <si>
    <t xml:space="preserve">40</t>
  </si>
  <si>
    <t xml:space="preserve">BEN SADOUN</t>
  </si>
  <si>
    <t xml:space="preserve">24 RUE VINEUSE</t>
  </si>
  <si>
    <t xml:space="preserve">BEN SADOUN SONIA#https://annuairesante.ameli.fr/professionnels-de-sante/recherche/fiche-detaillee-B7c1lDU1NTWx.html</t>
  </si>
  <si>
    <t xml:space="preserve">RUE VINEUSE</t>
  </si>
  <si>
    <t xml:space="preserve">56 RUE MICHEL ANGE</t>
  </si>
  <si>
    <t xml:space="preserve">SEBBAH SIMON#https://annuairesante.ameli.fr/professionnels-de-sante/recherche/fiche-detaillee-B7c1lTA3NTO2.html</t>
  </si>
  <si>
    <t xml:space="preserve">56</t>
  </si>
  <si>
    <t xml:space="preserve">ATLAN MICHAEL#https://annuairesante.ameli.fr/professionnels-de-sante/recherche/fiche-detaillee-B7c1lTA3MTS1.html</t>
  </si>
  <si>
    <t xml:space="preserve">BRULIN</t>
  </si>
  <si>
    <t xml:space="preserve">01 45 24 33 25</t>
  </si>
  <si>
    <t xml:space="preserve">BRULIN CATHERINE#https://annuairesante.ameli.fr/professionnels-de-sante/recherche/fiche-detaillee-B7c1kjExODS1.html</t>
  </si>
  <si>
    <t xml:space="preserve">HOMEO-EX</t>
  </si>
  <si>
    <t xml:space="preserve">VEGA</t>
  </si>
  <si>
    <t xml:space="preserve">5 RUE ANTOINE ARNAULD</t>
  </si>
  <si>
    <t xml:space="preserve">VEGA CHRISTOPHE#https://annuairesante.ameli.fr/professionnels-de-sante/recherche/fiche-detaillee-B7c1mjEzMDWw.html</t>
  </si>
  <si>
    <t xml:space="preserve">RUE ANTOINE ARNAULD</t>
  </si>
  <si>
    <t xml:space="preserve">5</t>
  </si>
  <si>
    <t xml:space="preserve">BEAULIEU</t>
  </si>
  <si>
    <t xml:space="preserve">16 RUE LAURISTON</t>
  </si>
  <si>
    <t xml:space="preserve">BEAULIEU PHILIPPE#https://annuairesante.ameli.fr/professionnels-de-sante/recherche/fiche-detaillee-B7c1mzE1NTe3.html</t>
  </si>
  <si>
    <t xml:space="preserve">16</t>
  </si>
  <si>
    <t xml:space="preserve">BENET</t>
  </si>
  <si>
    <t xml:space="preserve">78 RUE DE LA FAISANDERIE</t>
  </si>
  <si>
    <t xml:space="preserve">06 03 21 20 00</t>
  </si>
  <si>
    <t xml:space="preserve">BENET PAUL#https://annuairesante.ameli.fr/professionnels-de-sante/recherche/fiche-detaillee-B7c1lTE3ODa2.html</t>
  </si>
  <si>
    <t xml:space="preserve">09:30-13:00(R)&lt;br/&gt;</t>
  </si>
  <si>
    <t xml:space="preserve">78</t>
  </si>
  <si>
    <t xml:space="preserve">CHAHIM</t>
  </si>
  <si>
    <t xml:space="preserve">48 RUE VITAL</t>
  </si>
  <si>
    <t xml:space="preserve">01 45 24 20 02</t>
  </si>
  <si>
    <t xml:space="preserve">CHAHIM MAXIME#https://annuairesante.ameli.fr/professionnels-de-sante/recherche/fiche-detaillee-B7c1lzo4Mzuz.html</t>
  </si>
  <si>
    <t xml:space="preserve">09:00-12:00(R)&lt;br/&gt;</t>
  </si>
  <si>
    <t xml:space="preserve">48</t>
  </si>
  <si>
    <t xml:space="preserve">LEBRUN</t>
  </si>
  <si>
    <t xml:space="preserve">11 RUE VARIZE</t>
  </si>
  <si>
    <t xml:space="preserve">LEBRUN JULIETTE#https://annuairesante.ameli.fr/professionnels-de-sante/recherche/fiche-detaillee-B7c1kzQ3NjW7.html</t>
  </si>
  <si>
    <t xml:space="preserve">RUE VARIZE</t>
  </si>
  <si>
    <t xml:space="preserve">SCHINAZI</t>
  </si>
  <si>
    <t xml:space="preserve">JAMES</t>
  </si>
  <si>
    <t xml:space="preserve">SCHINAZI JAMES#https://annuairesante.ameli.fr/professionnels-de-sante/recherche/fiche-detaillee-B7c1lTEyODuy.html</t>
  </si>
  <si>
    <t xml:space="preserve">7 AVENUE ALPHONSE XIII</t>
  </si>
  <si>
    <t xml:space="preserve">01 43 79 12 80</t>
  </si>
  <si>
    <t xml:space="preserve">BENHAMOU CHARLES#https://annuairesante.ameli.fr/professionnels-de-sante/recherche/fiche-detaillee-B7c1kTo2Nje3.html</t>
  </si>
  <si>
    <t xml:space="preserve">07:30-14:00(R)&lt;br/&gt;</t>
  </si>
  <si>
    <t xml:space="preserve">14:00-20:30(R)&lt;br/&gt;</t>
  </si>
  <si>
    <t xml:space="preserve">AVENUE ALPHONSE XIII</t>
  </si>
  <si>
    <t xml:space="preserve">7</t>
  </si>
  <si>
    <t xml:space="preserve">FOLLIOT</t>
  </si>
  <si>
    <t xml:space="preserve">37 RUE MOLITOR</t>
  </si>
  <si>
    <t xml:space="preserve">FOLLIOT CAMILLE#https://annuairesante.ameli.fr/professionnels-de-sante/recherche/fiche-detaillee-B7c1kzMwOTu6.html</t>
  </si>
  <si>
    <t xml:space="preserve">09:00-14:00(?)&lt;br/&gt;</t>
  </si>
  <si>
    <t xml:space="preserve">KONE</t>
  </si>
  <si>
    <t xml:space="preserve">MIMA</t>
  </si>
  <si>
    <t xml:space="preserve">57B RUE JEAN DE LA FONTAINE</t>
  </si>
  <si>
    <t xml:space="preserve">KONE MIMA#https://annuairesante.ameli.fr/professionnels-de-sante/recherche/fiche-detaillee-B7c1mjA5Nzay.html</t>
  </si>
  <si>
    <t xml:space="preserve">57</t>
  </si>
  <si>
    <t xml:space="preserve">SULZER</t>
  </si>
  <si>
    <t xml:space="preserve">1 RUE EUGENE MANUEL</t>
  </si>
  <si>
    <t xml:space="preserve">01 46 47 44 68</t>
  </si>
  <si>
    <t xml:space="preserve">SULZER PHILIPPE#https://annuairesante.ameli.fr/professionnels-de-sante/recherche/fiche-detaillee-B7c1ljAwNDa1.html</t>
  </si>
  <si>
    <t xml:space="preserve">RUE EUGENE MANUEL</t>
  </si>
  <si>
    <t xml:space="preserve">HALLADE RASQUIN</t>
  </si>
  <si>
    <t xml:space="preserve">66 RUE SPONTINI</t>
  </si>
  <si>
    <t xml:space="preserve">01 40 70 04 73</t>
  </si>
  <si>
    <t xml:space="preserve">HALLADE RASQUIN HELENE#https://annuairesante.ameli.fr/professionnels-de-sante/recherche/fiche-detaillee-B7c1kjYwMTG6.html</t>
  </si>
  <si>
    <t xml:space="preserve">66</t>
  </si>
  <si>
    <t xml:space="preserve">JARDIN</t>
  </si>
  <si>
    <t xml:space="preserve">7 RUE CHALGRIN</t>
  </si>
  <si>
    <t xml:space="preserve">01 45 00 00 07</t>
  </si>
  <si>
    <t xml:space="preserve">JARDIN MARTINE#https://annuairesante.ameli.fr/professionnels-de-sante/recherche/fiche-detaillee-B7c1kTE3OTS1.html</t>
  </si>
  <si>
    <t xml:space="preserve">RUE CHALGRIN</t>
  </si>
  <si>
    <t xml:space="preserve">MEURGEY</t>
  </si>
  <si>
    <t xml:space="preserve">53 AVENUE DE VERSAILLES</t>
  </si>
  <si>
    <t xml:space="preserve">01 55 73 06 01</t>
  </si>
  <si>
    <t xml:space="preserve">MEURGEY ISABELLE#https://annuairesante.ameli.fr/professionnels-de-sante/recherche/fiche-detaillee-B7c1mzEzNzS3.html</t>
  </si>
  <si>
    <t xml:space="preserve">53</t>
  </si>
  <si>
    <t xml:space="preserve">01 42 88 00 88</t>
  </si>
  <si>
    <t xml:space="preserve">SFEZ MICHAEL#https://annuairesante.ameli.fr/professionnels-de-sante/recherche/fiche-detaillee-B7c1mzY5MTqx.html</t>
  </si>
  <si>
    <t xml:space="preserve">ACHKAR</t>
  </si>
  <si>
    <t xml:space="preserve">WISSAM</t>
  </si>
  <si>
    <t xml:space="preserve">01 45 03 03 03</t>
  </si>
  <si>
    <t xml:space="preserve">ACHKAR WISSAM#https://annuairesante.ameli.fr/professionnels-de-sante/recherche/fiche-detaillee-B7c1lTYyNTq2.html</t>
  </si>
  <si>
    <t xml:space="preserve">60</t>
  </si>
  <si>
    <t xml:space="preserve">MAILLET</t>
  </si>
  <si>
    <t xml:space="preserve">MAILLET PATRICK#https://annuairesante.ameli.fr/professionnels-de-sante/recherche/fiche-detaillee-B7c1lzYxMTWy.html</t>
  </si>
  <si>
    <t xml:space="preserve">MOINET</t>
  </si>
  <si>
    <t xml:space="preserve">23 RUE GALILEE</t>
  </si>
  <si>
    <t xml:space="preserve">01 47 66 28 95</t>
  </si>
  <si>
    <t xml:space="preserve">MOINET OLIVIER#https://annuairesante.ameli.fr/professionnels-de-sante/recherche/fiche-detaillee-B7c1ljU2MTuz.html</t>
  </si>
  <si>
    <t xml:space="preserve">RUE GALILEE</t>
  </si>
  <si>
    <t xml:space="preserve">PAWLAK</t>
  </si>
  <si>
    <t xml:space="preserve">59 RUE ST DIDIER</t>
  </si>
  <si>
    <t xml:space="preserve">06 60 49 45 46</t>
  </si>
  <si>
    <t xml:space="preserve">PAWLAK JEAN CLAUDE#https://annuairesante.ameli.fr/professionnels-de-sante/recherche/fiche-detaillee-B7c1lTAyMTGz.html</t>
  </si>
  <si>
    <t xml:space="preserve">59</t>
  </si>
  <si>
    <t xml:space="preserve">DESPRAT</t>
  </si>
  <si>
    <t xml:space="preserve">JACKY</t>
  </si>
  <si>
    <t xml:space="preserve">DESPRAT JACKY#https://annuairesante.ameli.fr/professionnels-de-sante/recherche/fiche-detaillee-B7c1mzEzODCx.html</t>
  </si>
  <si>
    <t xml:space="preserve">LE THI LAN LEYVASTRE</t>
  </si>
  <si>
    <t xml:space="preserve">01 56 62 10 79</t>
  </si>
  <si>
    <t xml:space="preserve">LE THI LAN LEYVASTRE ANNE#https://annuairesante.ameli.fr/professionnels-de-sante/recherche/fiche-detaillee-B7c1kzAyMDuw.html</t>
  </si>
  <si>
    <t xml:space="preserve">ANG-EX</t>
  </si>
  <si>
    <t xml:space="preserve">FUSSIEN</t>
  </si>
  <si>
    <t xml:space="preserve">56 RUE DU DR BLANCHE</t>
  </si>
  <si>
    <t xml:space="preserve">01 45 27 06 66</t>
  </si>
  <si>
    <t xml:space="preserve">FUSSIEN EDOUARD#https://annuairesante.ameli.fr/professionnels-de-sante/recherche/fiche-detaillee-B7c1kDs3Mza2.html</t>
  </si>
  <si>
    <t xml:space="preserve">RUE DU DR BLANCHE</t>
  </si>
  <si>
    <t xml:space="preserve">GAMBOTTI</t>
  </si>
  <si>
    <t xml:space="preserve">78 AVENUE RAYMOND POINCARE</t>
  </si>
  <si>
    <t xml:space="preserve">06 09 39 40 38</t>
  </si>
  <si>
    <t xml:space="preserve">GAMBOTTI MARIE PASCALE#https://annuairesante.ameli.fr/professionnels-de-sante/recherche/fiche-detaillee-B7c1kzcwMzqw.html</t>
  </si>
  <si>
    <t xml:space="preserve">CYMERMAN TIMSIT</t>
  </si>
  <si>
    <t xml:space="preserve">COLETTE</t>
  </si>
  <si>
    <t xml:space="preserve">4B AVENUE ST HONORE D EYLAU</t>
  </si>
  <si>
    <t xml:space="preserve">01 42 56 83 40</t>
  </si>
  <si>
    <t xml:space="preserve">CYMERMAN TIMSIT COLETTE#https://annuairesante.ameli.fr/professionnels-de-sante/recherche/fiche-detaillee-B7c1lDQ4NzK0.html</t>
  </si>
  <si>
    <t xml:space="preserve">4</t>
  </si>
  <si>
    <t xml:space="preserve">JANCOVICI</t>
  </si>
  <si>
    <t xml:space="preserve">01 44 17 00 83</t>
  </si>
  <si>
    <t xml:space="preserve">JANCOVICI MARIE CLAUDE#https://annuairesante.ameli.fr/professionnels-de-sante/recherche/fiche-detaillee-B7c1lzo5NDG3.html</t>
  </si>
  <si>
    <t xml:space="preserve">122</t>
  </si>
  <si>
    <t xml:space="preserve">SERFATY LACROSNIERE</t>
  </si>
  <si>
    <t xml:space="preserve">SERFATY LACROSNIERE CATHERINE#https://annuairesante.ameli.fr/professionnels-de-sante/recherche/fiche-detaillee-B7c1lzU4NjK6.html</t>
  </si>
  <si>
    <t xml:space="preserve">8</t>
  </si>
  <si>
    <t xml:space="preserve">VANDERHAEGHE</t>
  </si>
  <si>
    <t xml:space="preserve">VANDERHAEGHE JONATHAN#https://annuairesante.ameli.fr/professionnels-de-sante/recherche/fiche-detaillee-B7c1mjAyODGw.html</t>
  </si>
  <si>
    <t xml:space="preserve">34</t>
  </si>
  <si>
    <t xml:space="preserve">TELPHON</t>
  </si>
  <si>
    <t xml:space="preserve">61 AVENUE MARCEAU</t>
  </si>
  <si>
    <t xml:space="preserve">TELPHON THIERRY#https://annuairesante.ameli.fr/professionnels-de-sante/recherche/fiche-detaillee-B7c1lzA0Mza0.html</t>
  </si>
  <si>
    <t xml:space="preserve">61</t>
  </si>
  <si>
    <t xml:space="preserve">KARINE</t>
  </si>
  <si>
    <t xml:space="preserve">2 RUE MICHEL ANGE</t>
  </si>
  <si>
    <t xml:space="preserve">01 42 15 07 77</t>
  </si>
  <si>
    <t xml:space="preserve">SLAMA KARINE#https://annuairesante.ameli.fr/professionnels-de-sante/recherche/fiche-detaillee-B7c1lzQ4NTe7.html</t>
  </si>
  <si>
    <t xml:space="preserve">2</t>
  </si>
  <si>
    <t xml:space="preserve">BONNAIRE PETROVER</t>
  </si>
  <si>
    <t xml:space="preserve">BONNAIRE PETROVER SARAH#https://annuairesante.ameli.fr/professionnels-de-sante/recherche/fiche-detaillee-B7c1mzc1MzSx.html</t>
  </si>
  <si>
    <t xml:space="preserve">VAILLANT MOGA</t>
  </si>
  <si>
    <t xml:space="preserve">01 47 55 14 71</t>
  </si>
  <si>
    <t xml:space="preserve">VAILLANT MOGA ANNE#https://annuairesante.ameli.fr/professionnels-de-sante/recherche/fiche-detaillee-B7c1ljs2MDaz.html</t>
  </si>
  <si>
    <t xml:space="preserve">76</t>
  </si>
  <si>
    <t xml:space="preserve">LADAUGE</t>
  </si>
  <si>
    <t xml:space="preserve">01 88 40 20 30</t>
  </si>
  <si>
    <t xml:space="preserve">LADAUGE FABIEN#https://annuairesante.ameli.fr/professionnels-de-sante/recherche/fiche-detaillee-B7c1mjA0NjCz.html</t>
  </si>
  <si>
    <t xml:space="preserve">INGARGIOLA</t>
  </si>
  <si>
    <t xml:space="preserve">PIERRE ALEXANDR</t>
  </si>
  <si>
    <t xml:space="preserve">06 18 65 14 29</t>
  </si>
  <si>
    <t xml:space="preserve">INGARGIOLA PIERRE ALEXANDR#https://annuairesante.ameli.fr/professionnels-de-sante/recherche/fiche-detaillee-B7c1kzQ5Mjq1.html</t>
  </si>
  <si>
    <t xml:space="preserve">BEY</t>
  </si>
  <si>
    <t xml:space="preserve">BEY ETIENNE#https://annuairesante.ameli.fr/professionnels-de-sante/recherche/fiche-detaillee-B7c1kzYxOTq7.html</t>
  </si>
  <si>
    <t xml:space="preserve">15:00-19:00(?)&lt;br/&gt;</t>
  </si>
  <si>
    <t xml:space="preserve">SELLIER FRANCHITTI</t>
  </si>
  <si>
    <t xml:space="preserve">01 40 72 58 58</t>
  </si>
  <si>
    <t xml:space="preserve">SELLIER FRANCHITTI DOMINIQUE#https://annuairesante.ameli.fr/professionnels-de-sante/recherche/fiche-detaillee-B7c1lDQzNja2.html</t>
  </si>
  <si>
    <t xml:space="preserve">33</t>
  </si>
  <si>
    <t xml:space="preserve">MULLER</t>
  </si>
  <si>
    <t xml:space="preserve">21 RUE GEORGES BIZET</t>
  </si>
  <si>
    <t xml:space="preserve">MULLER SEBASTIEN#https://annuairesante.ameli.fr/professionnels-de-sante/recherche/fiche-detaillee-B7c1mjM4ODO2.html</t>
  </si>
  <si>
    <t xml:space="preserve">21</t>
  </si>
  <si>
    <t xml:space="preserve">OSTOIN</t>
  </si>
  <si>
    <t xml:space="preserve">BRANKO</t>
  </si>
  <si>
    <t xml:space="preserve">61 RUE JEAN DE LA FONTAINE</t>
  </si>
  <si>
    <t xml:space="preserve">OSTOIN BRANKO#https://annuairesante.ameli.fr/professionnels-de-sante/recherche/fiche-detaillee-B7c1kzE0Mja3.html</t>
  </si>
  <si>
    <t xml:space="preserve">DEJONGHE</t>
  </si>
  <si>
    <t xml:space="preserve">BASILE</t>
  </si>
  <si>
    <t xml:space="preserve">DEJONGHE BASILE#https://annuairesante.ameli.fr/professionnels-de-sante/recherche/fiche-detaillee-B7c1kzQ5NzC3.html</t>
  </si>
  <si>
    <t xml:space="preserve">69 AVENUE VICTOR HUGO</t>
  </si>
  <si>
    <t xml:space="preserve">06 03 35 79 93</t>
  </si>
  <si>
    <t xml:space="preserve">SACKSICK AUDE#https://annuairesante.ameli.fr/professionnels-de-sante/recherche/fiche-detaillee-B7c1kzQ4MTa3.html</t>
  </si>
  <si>
    <t xml:space="preserve">69</t>
  </si>
  <si>
    <t xml:space="preserve">LEGLISE</t>
  </si>
  <si>
    <t xml:space="preserve">9 RUE VAN LOO</t>
  </si>
  <si>
    <t xml:space="preserve">01 42 94 06 00</t>
  </si>
  <si>
    <t xml:space="preserve">LEGLISE MICHEL#https://annuairesante.ameli.fr/professionnels-de-sante/recherche/fiche-detaillee-B7c1kTs0NTe7.html</t>
  </si>
  <si>
    <t xml:space="preserve">RUE VAN LOO</t>
  </si>
  <si>
    <t xml:space="preserve">ZEMBRA</t>
  </si>
  <si>
    <t xml:space="preserve">60 AVENUE VICTOR HUGO</t>
  </si>
  <si>
    <t xml:space="preserve">09 81 04 16 99</t>
  </si>
  <si>
    <t xml:space="preserve">ZEMBRA FLORENCE#https://annuairesante.ameli.fr/professionnels-de-sante/recherche/fiche-detaillee-B7c1lzU2MDGw.html</t>
  </si>
  <si>
    <t xml:space="preserve">BONAN</t>
  </si>
  <si>
    <t xml:space="preserve">46 AVENUE DU PDT WILSON</t>
  </si>
  <si>
    <t xml:space="preserve">01 42 36 48 87</t>
  </si>
  <si>
    <t xml:space="preserve">BONAN KATHY#https://annuairesante.ameli.fr/professionnels-de-sante/recherche/fiche-detaillee-B7c1ljc3MDCz.html</t>
  </si>
  <si>
    <t xml:space="preserve">AVENUE DU PDT WILSON</t>
  </si>
  <si>
    <t xml:space="preserve">46</t>
  </si>
  <si>
    <t xml:space="preserve">16 RUE SPONTINI</t>
  </si>
  <si>
    <t xml:space="preserve">DRAY CELINE#https://annuairesante.ameli.fr/professionnels-de-sante/recherche/fiche-detaillee-B7c1mjEwOTW3.html</t>
  </si>
  <si>
    <t xml:space="preserve">JOLLY</t>
  </si>
  <si>
    <t xml:space="preserve">JOLLY GUNITA#https://annuairesante.ameli.fr/professionnels-de-sante/recherche/fiche-detaillee-B7c1kjozMDGx.html</t>
  </si>
  <si>
    <t xml:space="preserve">06 60 82 47 49</t>
  </si>
  <si>
    <t xml:space="preserve">MESNER ALEXANDRA#https://annuairesante.ameli.fr/professionnels-de-sante/recherche/fiche-detaillee-B7c1lTY2MTCw.html</t>
  </si>
  <si>
    <t xml:space="preserve">LASRY</t>
  </si>
  <si>
    <t xml:space="preserve">13 RUE NICOLO</t>
  </si>
  <si>
    <t xml:space="preserve">LASRY HELENE#https://annuairesante.ameli.fr/professionnels-de-sante/recherche/fiche-detaillee-B7c1mzE4NDSx.html</t>
  </si>
  <si>
    <t xml:space="preserve">13</t>
  </si>
  <si>
    <t xml:space="preserve">SAMANTHA</t>
  </si>
  <si>
    <t xml:space="preserve">55 RUE CORTAMBERT</t>
  </si>
  <si>
    <t xml:space="preserve">01 83 64 53 60</t>
  </si>
  <si>
    <t xml:space="preserve">DENIS SAMANTHA#https://annuairesante.ameli.fr/professionnels-de-sante/recherche/fiche-detaillee-B7c1kzI5NzK3.html</t>
  </si>
  <si>
    <t xml:space="preserve">55</t>
  </si>
  <si>
    <t xml:space="preserve">DE JAEGER</t>
  </si>
  <si>
    <t xml:space="preserve">127 RUE DE LA FAISANDERIE</t>
  </si>
  <si>
    <t xml:space="preserve">01 53 92 53 10</t>
  </si>
  <si>
    <t xml:space="preserve">DE JAEGER CHRISTOPHE#https://annuairesante.ameli.fr/professionnels-de-sante/recherche/fiche-detaillee-B7c1mzE3Njqx.html</t>
  </si>
  <si>
    <t xml:space="preserve">127</t>
  </si>
  <si>
    <t xml:space="preserve">MOSTOFI</t>
  </si>
  <si>
    <t xml:space="preserve">LILA</t>
  </si>
  <si>
    <t xml:space="preserve">64 RUE MICHEL ANGE</t>
  </si>
  <si>
    <t xml:space="preserve">MOSTOFI LILA#https://annuairesante.ameli.fr/professionnels-de-sante/recherche/fiche-detaillee-B7c1lzc1OTu7.html</t>
  </si>
  <si>
    <t xml:space="preserve">64</t>
  </si>
  <si>
    <t xml:space="preserve">CIUP</t>
  </si>
  <si>
    <t xml:space="preserve">CIUP SHARON#https://annuairesante.ameli.fr/professionnels-de-sante/recherche/fiche-detaillee-B7c1kzE2NDK1.html</t>
  </si>
  <si>
    <t xml:space="preserve">SALAHSHOUR</t>
  </si>
  <si>
    <t xml:space="preserve">139 AVENUE DE MALAKOFF</t>
  </si>
  <si>
    <t xml:space="preserve">SALAHSHOUR CAMILLE#https://annuairesante.ameli.fr/professionnels-de-sante/recherche/fiche-detaillee-B7c1mzEwNjC1.html</t>
  </si>
  <si>
    <t xml:space="preserve">139</t>
  </si>
  <si>
    <t xml:space="preserve">DALU</t>
  </si>
  <si>
    <t xml:space="preserve">113 AVENUE VICTOR HUGO</t>
  </si>
  <si>
    <t xml:space="preserve">DALU ALEXANDRA#https://annuairesante.ameli.fr/professionnels-de-sante/recherche/fiche-detaillee-B7c1mzo4MTOw.html</t>
  </si>
  <si>
    <t xml:space="preserve">113</t>
  </si>
  <si>
    <t xml:space="preserve">ADRAI</t>
  </si>
  <si>
    <t xml:space="preserve">06 10 25 09 50</t>
  </si>
  <si>
    <t xml:space="preserve">ADRAI VALERIE#https://annuairesante.ameli.fr/professionnels-de-sante/recherche/fiche-detaillee-B7c1lDExNzqz.html</t>
  </si>
  <si>
    <t xml:space="preserve">TRAMALLONI KECK</t>
  </si>
  <si>
    <t xml:space="preserve">1 RUE MIGNET</t>
  </si>
  <si>
    <t xml:space="preserve">01 40 50 03 73</t>
  </si>
  <si>
    <t xml:space="preserve">TRAMALLONI KECK CLAUDE#https://annuairesante.ameli.fr/professionnels-de-sante/recherche/fiche-detaillee-B7c1ljM5Mzux.html</t>
  </si>
  <si>
    <t xml:space="preserve">RUE MIGNET</t>
  </si>
  <si>
    <t xml:space="preserve">GUNOY</t>
  </si>
  <si>
    <t xml:space="preserve">DENISE</t>
  </si>
  <si>
    <t xml:space="preserve">06 31 12 02 06</t>
  </si>
  <si>
    <t xml:space="preserve">GUNOY DENISE#https://annuairesante.ameli.fr/professionnels-de-sante/recherche/fiche-detaillee-B7c1mjA5NzS3.html</t>
  </si>
  <si>
    <t xml:space="preserve">DOCUMET</t>
  </si>
  <si>
    <t xml:space="preserve">51 AVENUE BUGEAUD</t>
  </si>
  <si>
    <t xml:space="preserve">DOCUMET DAVID#https://annuairesante.ameli.fr/professionnels-de-sante/recherche/fiche-detaillee-B7c1mzY4NjKx.html</t>
  </si>
  <si>
    <t xml:space="preserve">AVENUE BUGEAUD</t>
  </si>
  <si>
    <t xml:space="preserve">BEN ISMAIL</t>
  </si>
  <si>
    <t xml:space="preserve">RAOUIA</t>
  </si>
  <si>
    <t xml:space="preserve">BEN ISMAIL RAOUIA#https://annuairesante.ameli.fr/professionnels-de-sante/recherche/fiche-detaillee-B7c1kzQ4MDa0.html</t>
  </si>
  <si>
    <t xml:space="preserve">RUBIO</t>
  </si>
  <si>
    <t xml:space="preserve">ELLIOT</t>
  </si>
  <si>
    <t xml:space="preserve">RUBIO ELLIOT#https://annuairesante.ameli.fr/professionnels-de-sante/recherche/fiche-detaillee-B7c1lTA5MTGy.html</t>
  </si>
  <si>
    <t xml:space="preserve">14:30-20:00(R)&lt;br/&gt;</t>
  </si>
  <si>
    <t xml:space="preserve">SEBAN ALAIN#https://annuairesante.ameli.fr/professionnels-de-sante/recherche/fiche-detaillee-B7c1lzI0MTWx.html</t>
  </si>
  <si>
    <t xml:space="preserve">08:00-12:00(R)&lt;br/&gt;</t>
  </si>
  <si>
    <t xml:space="preserve">16:30-19:00(R)&lt;br/&gt;</t>
  </si>
  <si>
    <t xml:space="preserve">09:00-12:00(D)&lt;br/&gt;</t>
  </si>
  <si>
    <t xml:space="preserve">ASTRUC</t>
  </si>
  <si>
    <t xml:space="preserve">43 RUE SPONTINI</t>
  </si>
  <si>
    <t xml:space="preserve">06 31 87 45 12</t>
  </si>
  <si>
    <t xml:space="preserve">ASTRUC JEAN LUC#https://annuairesante.ameli.fr/professionnels-de-sante/recherche/fiche-detaillee-B7c1kjQ2NTSw.html</t>
  </si>
  <si>
    <t xml:space="preserve">10:00-12:30(R)&lt;br/&gt;</t>
  </si>
  <si>
    <t xml:space="preserve">14:00-18:00(D)&lt;br/&gt;</t>
  </si>
  <si>
    <t xml:space="preserve">43</t>
  </si>
  <si>
    <t xml:space="preserve">TITON</t>
  </si>
  <si>
    <t xml:space="preserve">01 45 04 09 35</t>
  </si>
  <si>
    <t xml:space="preserve">TITON JEAN PIERRE#https://annuairesante.ameli.fr/professionnels-de-sante/recherche/fiche-detaillee-B7c1lDMyMDey.html</t>
  </si>
  <si>
    <t xml:space="preserve">74</t>
  </si>
  <si>
    <t xml:space="preserve">BISMUTH VAUCLIN</t>
  </si>
  <si>
    <t xml:space="preserve">33 AVENUE FOCH</t>
  </si>
  <si>
    <t xml:space="preserve">BISMUTH VAUCLIN SANDRA#https://annuairesante.ameli.fr/professionnels-de-sante/recherche/fiche-detaillee-B7c1kjs0NjK3.html</t>
  </si>
  <si>
    <t xml:space="preserve">AVENUE FOCH</t>
  </si>
  <si>
    <t xml:space="preserve">BLANCHEMAISON</t>
  </si>
  <si>
    <t xml:space="preserve">01 44 05 37 37</t>
  </si>
  <si>
    <t xml:space="preserve">BLANCHEMAISON PHILIPPE#https://annuairesante.ameli.fr/professionnels-de-sante/recherche/fiche-detaillee-B7c1lzI4MzC2.html</t>
  </si>
  <si>
    <t xml:space="preserve">HERNANDEZ</t>
  </si>
  <si>
    <t xml:space="preserve">HERNANDEZ CHRISTOPHE#https://annuairesante.ameli.fr/professionnels-de-sante/recherche/fiche-detaillee-B7c1mjMxNTC2.html</t>
  </si>
  <si>
    <t xml:space="preserve">LAAENGH MASSONI</t>
  </si>
  <si>
    <t xml:space="preserve">CLAUDINE</t>
  </si>
  <si>
    <t xml:space="preserve">LAAENGH MASSONI CLAUDINE#https://annuairesante.ameli.fr/professionnels-de-sante/recherche/fiche-detaillee-B7c1lzQxMTC7.html</t>
  </si>
  <si>
    <t xml:space="preserve">AUGEY</t>
  </si>
  <si>
    <t xml:space="preserve">AUGEY DOMINIQUE#https://annuairesante.ameli.fr/professionnels-de-sante/recherche/fiche-detaillee-B7c1mzExNjOz.html</t>
  </si>
  <si>
    <t xml:space="preserve">15:00-21:00(R)&lt;br/&gt;</t>
  </si>
  <si>
    <t xml:space="preserve">LEFORT ARTHUR#https://annuairesante.ameli.fr/professionnels-de-sante/recherche/fiche-detaillee-B7c1kzY4NTO7.html</t>
  </si>
  <si>
    <t xml:space="preserve">09:00-13:00(R)&lt;br/&gt;</t>
  </si>
  <si>
    <t xml:space="preserve">7 RUE ANDRE COLLEDEBOEUF</t>
  </si>
  <si>
    <t xml:space="preserve">SCHMITT JEAN NOEL#https://annuairesante.ameli.fr/professionnels-de-sante/recherche/fiche-detaillee-B7c1kTozODu0.html</t>
  </si>
  <si>
    <t xml:space="preserve">RUE ANDRE COLLEDEBOEUF</t>
  </si>
  <si>
    <t xml:space="preserve">01 80 87 35 28</t>
  </si>
  <si>
    <t xml:space="preserve">TAIEB JONATHAN#https://annuairesante.ameli.fr/professionnels-de-sante/recherche/fiche-detaillee-B7c1kzMxMzK3.html</t>
  </si>
  <si>
    <t xml:space="preserve">77</t>
  </si>
  <si>
    <t xml:space="preserve">CASCUA</t>
  </si>
  <si>
    <t xml:space="preserve">CASCUA STEPHANE#https://annuairesante.ameli.fr/professionnels-de-sante/recherche/fiche-detaillee-B7c1lzo5MjW6.html</t>
  </si>
  <si>
    <t xml:space="preserve">CHIVA</t>
  </si>
  <si>
    <t xml:space="preserve">38 RUE BOILEAU</t>
  </si>
  <si>
    <t xml:space="preserve">01 45 80 80 01</t>
  </si>
  <si>
    <t xml:space="preserve">CHIVA FREDERIQUE#https://annuairesante.ameli.fr/professionnels-de-sante/recherche/fiche-detaillee-B7c1lzcyODKz.html</t>
  </si>
  <si>
    <t xml:space="preserve">38</t>
  </si>
  <si>
    <t xml:space="preserve">IACINO</t>
  </si>
  <si>
    <t xml:space="preserve">IACINO JUSTINE#https://annuairesante.ameli.fr/professionnels-de-sante/recherche/fiche-detaillee-B7c1kzQ3MjO0.html</t>
  </si>
  <si>
    <t xml:space="preserve">BES DE BERC</t>
  </si>
  <si>
    <t xml:space="preserve">BES DE BERC HUGUES#https://annuairesante.ameli.fr/professionnels-de-sante/recherche/fiche-detaillee-B7c1ljQ4NDSz.html</t>
  </si>
  <si>
    <t xml:space="preserve">49</t>
  </si>
  <si>
    <t xml:space="preserve">SMADJA DEBORAH#https://annuairesante.ameli.fr/professionnels-de-sante/recherche/fiche-detaillee-B7c1kjoxNTay.html</t>
  </si>
  <si>
    <t xml:space="preserve">24 RUE DE LA TOUR</t>
  </si>
  <si>
    <t xml:space="preserve">MELLOUL CATHERINE#https://annuairesante.ameli.fr/professionnels-de-sante/recherche/fiche-detaillee-B7c1lzE4NDCy.html</t>
  </si>
  <si>
    <t xml:space="preserve">CLEMENT ROLAND#https://annuairesante.ameli.fr/professionnels-de-sante/recherche/fiche-detaillee-B7c1lDUxOTG0.html</t>
  </si>
  <si>
    <t xml:space="preserve">NORDON</t>
  </si>
  <si>
    <t xml:space="preserve">59 AVENUE KLEBER</t>
  </si>
  <si>
    <t xml:space="preserve">01 47 27 27 20</t>
  </si>
  <si>
    <t xml:space="preserve">NORDON OLIVIER#https://annuairesante.ameli.fr/professionnels-de-sante/recherche/fiche-detaillee-B7c1lDQ3OTe7.html</t>
  </si>
  <si>
    <t xml:space="preserve">AHIEKPOR DRAVI</t>
  </si>
  <si>
    <t xml:space="preserve">KOKOU LIVI</t>
  </si>
  <si>
    <t xml:space="preserve">170 RUE DE LA POMPE</t>
  </si>
  <si>
    <t xml:space="preserve">01 45 05 12 55</t>
  </si>
  <si>
    <t xml:space="preserve">AHIEKPOR DRAVI KOKOU LIVI#https://annuairesante.ameli.fr/professionnels-de-sante/recherche/fiche-detaillee-B7c1mzEyODK3.html</t>
  </si>
  <si>
    <t xml:space="preserve">170</t>
  </si>
  <si>
    <t xml:space="preserve">CHAMS</t>
  </si>
  <si>
    <t xml:space="preserve">10B RUE DU DOME</t>
  </si>
  <si>
    <t xml:space="preserve">PARIS 16</t>
  </si>
  <si>
    <t xml:space="preserve">CHAMS CHRISTIAN#https://annuairesante.ameli.fr/professionnels-de-sante/recherche/fiche-detaillee-B7c1ljAxMzGw.html</t>
  </si>
  <si>
    <t xml:space="preserve">10</t>
  </si>
  <si>
    <t xml:space="preserve">48B RUE DES BELLES FEUILLES</t>
  </si>
  <si>
    <t xml:space="preserve">OHAYON SIMON#https://annuairesante.ameli.fr/professionnels-de-sante/recherche/fiche-detaillee-B7c1lTE0NDu7.html</t>
  </si>
  <si>
    <t xml:space="preserve">TABOUREL</t>
  </si>
  <si>
    <t xml:space="preserve">ANGELIQUE</t>
  </si>
  <si>
    <t xml:space="preserve">TABOUREL ANGELIQUE#https://annuairesante.ameli.fr/professionnels-de-sante/recherche/fiche-detaillee-B7c1kzQwMzC2.html</t>
  </si>
  <si>
    <t xml:space="preserve">06 18 98 39 54</t>
  </si>
  <si>
    <t xml:space="preserve">JOSSE PHILIPPE#https://annuairesante.ameli.fr/professionnels-de-sante/recherche/fiche-detaillee-B7c1kzMzMDq1.html</t>
  </si>
  <si>
    <t xml:space="preserve">GENET</t>
  </si>
  <si>
    <t xml:space="preserve">42 RUE PAUL VALERY</t>
  </si>
  <si>
    <t xml:space="preserve">01 45 00 74 18</t>
  </si>
  <si>
    <t xml:space="preserve">GENET FREDERIC#https://annuairesante.ameli.fr/professionnels-de-sante/recherche/fiche-detaillee-B7c1lzE1OTuz.html</t>
  </si>
  <si>
    <t xml:space="preserve">42</t>
  </si>
  <si>
    <t xml:space="preserve">LOURY</t>
  </si>
  <si>
    <t xml:space="preserve">FERNAND YVES</t>
  </si>
  <si>
    <t xml:space="preserve">01 40 75 09 49</t>
  </si>
  <si>
    <t xml:space="preserve">LOURY FERNAND YVES#https://annuairesante.ameli.fr/professionnels-de-sante/recherche/fiche-detaillee-B7c1lzo4NjGz.html</t>
  </si>
  <si>
    <t xml:space="preserve">01 47 04 66 42</t>
  </si>
  <si>
    <t xml:space="preserve">LACOSTE CATHERINE#https://annuairesante.ameli.fr/professionnels-de-sante/recherche/fiche-detaillee-B7c1mzE4NDO2.html</t>
  </si>
  <si>
    <t xml:space="preserve">DOUCE</t>
  </si>
  <si>
    <t xml:space="preserve">34 BOULEVARD EXELMANS</t>
  </si>
  <si>
    <t xml:space="preserve">01 45 27 80 96</t>
  </si>
  <si>
    <t xml:space="preserve">DOUCE CLAIRE#https://annuairesante.ameli.fr/professionnels-de-sante/recherche/fiche-detaillee-B7c1mjA2MDu6.html</t>
  </si>
  <si>
    <t xml:space="preserve">LEGRAND</t>
  </si>
  <si>
    <t xml:space="preserve">56 BOULEVARD EXELMANS</t>
  </si>
  <si>
    <t xml:space="preserve">07 78 04 77 21</t>
  </si>
  <si>
    <t xml:space="preserve">LEGRAND CHARLES#https://annuairesante.ameli.fr/professionnels-de-sante/recherche/fiche-detaillee-B7c1lDA5MTWx.html</t>
  </si>
  <si>
    <t xml:space="preserve">BUTNARU</t>
  </si>
  <si>
    <t xml:space="preserve">BUTNARU ALAIN#https://annuairesante.ameli.fr/professionnels-de-sante/recherche/fiche-detaillee-B7c1lDoyMzS6.html</t>
  </si>
  <si>
    <t xml:space="preserve">HAIK</t>
  </si>
  <si>
    <t xml:space="preserve">46 AVENUE DU PRESIDENT WILSON</t>
  </si>
  <si>
    <t xml:space="preserve">HAIK CAROLE#https://annuairesante.ameli.fr/professionnels-de-sante/recherche/fiche-detaillee-B7c1mzQ1OTS0.html</t>
  </si>
  <si>
    <t xml:space="preserve">60 AVENUE D'IENA</t>
  </si>
  <si>
    <t xml:space="preserve">NOBLINSKI PATRICK#https://annuairesante.ameli.fr/professionnels-de-sante/recherche/fiche-detaillee-B7c1kTQ4NTa1.html</t>
  </si>
  <si>
    <t xml:space="preserve">AVENUE D'IENA</t>
  </si>
  <si>
    <t xml:space="preserve">MOREAU</t>
  </si>
  <si>
    <t xml:space="preserve">5 IMPASSE DES PRETRES</t>
  </si>
  <si>
    <t xml:space="preserve">MOREAU FLORENCE#https://annuairesante.ameli.fr/professionnels-de-sante/recherche/fiche-detaillee-B7c1mzY2OTCy.html</t>
  </si>
  <si>
    <t xml:space="preserve">00:00-14:00(D)&lt;br/&gt;</t>
  </si>
  <si>
    <t xml:space="preserve">14:00-23:55(D)&lt;br/&gt;</t>
  </si>
  <si>
    <t xml:space="preserve">00:55-14:00(D)&lt;br/&gt;</t>
  </si>
  <si>
    <t xml:space="preserve">IMPASSE DES PRETRES</t>
  </si>
  <si>
    <t xml:space="preserve">KHORASSANI ZADEH</t>
  </si>
  <si>
    <t xml:space="preserve">06 61 77 93 18</t>
  </si>
  <si>
    <t xml:space="preserve">KHORASSANI ZADEH DAVID#https://annuairesante.ameli.fr/professionnels-de-sante/recherche/fiche-detaillee-B7c1lTA2MTqz.html</t>
  </si>
  <si>
    <t xml:space="preserve">14:00-17:50(R)&lt;br/&gt;</t>
  </si>
  <si>
    <t xml:space="preserve">06 74 70 76 08</t>
  </si>
  <si>
    <t xml:space="preserve">BUI YEN#https://annuairesante.ameli.fr/professionnels-de-sante/recherche/fiche-detaillee-B7c1mzsxNzWz.html</t>
  </si>
  <si>
    <t xml:space="preserve">CHABOCHE</t>
  </si>
  <si>
    <t xml:space="preserve">ADRIAN</t>
  </si>
  <si>
    <t xml:space="preserve">CHABOCHE ADRIAN#https://annuairesante.ameli.fr/professionnels-de-sante/recherche/fiche-detaillee-B7c1kjowMDS6.html</t>
  </si>
  <si>
    <t xml:space="preserve">08:30-12:30(R)&lt;br/&gt;</t>
  </si>
  <si>
    <t xml:space="preserve">BETROUNE</t>
  </si>
  <si>
    <t xml:space="preserve">KAHINA</t>
  </si>
  <si>
    <t xml:space="preserve">3 SQUARE DE L'AVENUE DU BOIS</t>
  </si>
  <si>
    <t xml:space="preserve">BETROUNE KAHINA#https://annuairesante.ameli.fr/professionnels-de-sante/recherche/fiche-detaillee-B7c1kjM3MDO3.html</t>
  </si>
  <si>
    <t xml:space="preserve">SQUARE DE L'AVENUE DU BOIS</t>
  </si>
  <si>
    <t xml:space="preserve">HALLADE MASSU</t>
  </si>
  <si>
    <t xml:space="preserve">01 48 42 32 09</t>
  </si>
  <si>
    <t xml:space="preserve">HALLADE MASSU JEAN#https://annuairesante.ameli.fr/professionnels-de-sante/recherche/fiche-detaillee-B7c1lTM5MzWy.html</t>
  </si>
  <si>
    <t xml:space="preserve">SEROG</t>
  </si>
  <si>
    <t xml:space="preserve">01 47 27 67 33</t>
  </si>
  <si>
    <t xml:space="preserve">SEROG PATRICK#https://annuairesante.ameli.fr/professionnels-de-sante/recherche/fiche-detaillee-B7c1lTI4OTC2.html</t>
  </si>
  <si>
    <t xml:space="preserve">14:00-19:30(?)&lt;br/&gt;</t>
  </si>
  <si>
    <t xml:space="preserve">15:30-19:30(?)&lt;br/&gt;</t>
  </si>
  <si>
    <t xml:space="preserve">KOSOWSKI</t>
  </si>
  <si>
    <t xml:space="preserve">KOSOWSKI CATHERINE#https://annuairesante.ameli.fr/professionnels-de-sante/recherche/fiche-detaillee-B7c1mzE5MDux.html</t>
  </si>
  <si>
    <t xml:space="preserve">SULTAN</t>
  </si>
  <si>
    <t xml:space="preserve">32 AVENUE KLEBER</t>
  </si>
  <si>
    <t xml:space="preserve">01 45 02 12 50</t>
  </si>
  <si>
    <t xml:space="preserve">SULTAN PIERRE#https://annuairesante.ameli.fr/professionnels-de-sante/recherche/fiche-detaillee-B7c1kDU0NTex.html</t>
  </si>
  <si>
    <t xml:space="preserve">32</t>
  </si>
  <si>
    <t xml:space="preserve">SLOUS</t>
  </si>
  <si>
    <t xml:space="preserve">106 AVENUE VICTOR HUGO</t>
  </si>
  <si>
    <t xml:space="preserve">01 53 70 85 85</t>
  </si>
  <si>
    <t xml:space="preserve">SLOUS MARYSE#https://annuairesante.ameli.fr/professionnels-de-sante/recherche/fiche-detaillee-B7c1ljo3MDKw.html</t>
  </si>
  <si>
    <t xml:space="preserve">106</t>
  </si>
  <si>
    <t xml:space="preserve">ELBAZ</t>
  </si>
  <si>
    <t xml:space="preserve">4 RUE ALFRED BRUNEAU</t>
  </si>
  <si>
    <t xml:space="preserve">06 22 91 85 86</t>
  </si>
  <si>
    <t xml:space="preserve">ELBAZ NADINE#https://annuairesante.ameli.fr/professionnels-de-sante/recherche/fiche-detaillee-B7c1lTEwMDG3.html</t>
  </si>
  <si>
    <t xml:space="preserve">RUE ALFRED BRUNEAU</t>
  </si>
  <si>
    <t xml:space="preserve">TROKINER</t>
  </si>
  <si>
    <t xml:space="preserve">01 42 57 12 00</t>
  </si>
  <si>
    <t xml:space="preserve">TROKINER JEAN CLAUDE#https://annuairesante.ameli.fr/professionnels-de-sante/recherche/fiche-detaillee-B7c1kTM5MjOx.html</t>
  </si>
  <si>
    <t xml:space="preserve">MASSONI</t>
  </si>
  <si>
    <t xml:space="preserve">MASSONI JEAN MARC#https://annuairesante.ameli.fr/professionnels-de-sante/recherche/fiche-detaillee-B7c1ljsxOTa1.html</t>
  </si>
  <si>
    <t xml:space="preserve">VOIGNIER</t>
  </si>
  <si>
    <t xml:space="preserve">01 53 65 53 53</t>
  </si>
  <si>
    <t xml:space="preserve">VOIGNIER JEAN PIERRE#https://annuairesante.ameli.fr/professionnels-de-sante/recherche/fiche-detaillee-B7c1lDA2ODOz.html</t>
  </si>
  <si>
    <t xml:space="preserve">RABINOVITCH</t>
  </si>
  <si>
    <t xml:space="preserve">3 RUE DE ST SIMON</t>
  </si>
  <si>
    <t xml:space="preserve">01 45 49 18 19</t>
  </si>
  <si>
    <t xml:space="preserve">RABINOVITCH MICHEL#https://annuairesante.ameli.fr/professionnels-de-sante/recherche/fiche-detaillee-B7c1ljYwMzex.html</t>
  </si>
  <si>
    <t xml:space="preserve">5 RUE COGNAC JAY</t>
  </si>
  <si>
    <t xml:space="preserve">CAHANE MARIE CLAUDE#https://annuairesante.ameli.fr/professionnels-de-sante/recherche/fiche-detaillee-B7c1ljUwMzax.html</t>
  </si>
  <si>
    <t xml:space="preserve">RUE COGNAC JAY</t>
  </si>
  <si>
    <t xml:space="preserve">THANH PHAT DAT</t>
  </si>
  <si>
    <t xml:space="preserve">01 45 48 01 37</t>
  </si>
  <si>
    <t xml:space="preserve">NGUYEN THANH PHAT DAT#https://annuairesante.ameli.fr/professionnels-de-sante/recherche/fiche-detaillee-B7c1mjAyNzS0.html</t>
  </si>
  <si>
    <t xml:space="preserve">14:00-18:00(?)&lt;br/&gt;</t>
  </si>
  <si>
    <t xml:space="preserve">09:00-13:00(?)&lt;br/&gt;</t>
  </si>
  <si>
    <t xml:space="preserve">BOUHERAOUA</t>
  </si>
  <si>
    <t xml:space="preserve">HAKIM</t>
  </si>
  <si>
    <t xml:space="preserve">117 RUE ST DOMINIQUE</t>
  </si>
  <si>
    <t xml:space="preserve">BOUHERAOUA HAKIM#https://annuairesante.ameli.fr/professionnels-de-sante/recherche/fiche-detaillee-B7c1kjAwNzuz.html</t>
  </si>
  <si>
    <t xml:space="preserve">117</t>
  </si>
  <si>
    <t xml:space="preserve">MAURIOT</t>
  </si>
  <si>
    <t xml:space="preserve">GILMA</t>
  </si>
  <si>
    <t xml:space="preserve">19 AVENUE DE SEGUR</t>
  </si>
  <si>
    <t xml:space="preserve">MAURIOT GILMA#https://annuairesante.ameli.fr/professionnels-de-sante/recherche/fiche-detaillee-B7c1mzE0NDa0.html</t>
  </si>
  <si>
    <t xml:space="preserve">20 RUE DU GENERAL BERTRAND</t>
  </si>
  <si>
    <t xml:space="preserve">01 46 51 75 05</t>
  </si>
  <si>
    <t xml:space="preserve">ALIMI PAUL#https://annuairesante.ameli.fr/professionnels-de-sante/recherche/fiche-detaillee-B7c1ljE0MDaz.html</t>
  </si>
  <si>
    <t xml:space="preserve">20</t>
  </si>
  <si>
    <t xml:space="preserve">LAUR</t>
  </si>
  <si>
    <t xml:space="preserve">LAUR CLEMENCE#https://annuairesante.ameli.fr/professionnels-de-sante/recherche/fiche-detaillee-B7c1kjQ5ODe7.html</t>
  </si>
  <si>
    <t xml:space="preserve">14:30-18:30(?)&lt;br/&gt;</t>
  </si>
  <si>
    <t xml:space="preserve">09:15-14:00(?)&lt;br/&gt;</t>
  </si>
  <si>
    <t xml:space="preserve">14:00-18:30(?)&lt;br/&gt;</t>
  </si>
  <si>
    <t xml:space="preserve">FRANCK COTINAT</t>
  </si>
  <si>
    <t xml:space="preserve">2 SQU DE LATOUR MAUBOURG</t>
  </si>
  <si>
    <t xml:space="preserve">FRANCK COTINAT MARTINE#https://annuairesante.ameli.fr/professionnels-de-sante/recherche/fiche-detaillee-B7c1kTI5NDK2.html</t>
  </si>
  <si>
    <t xml:space="preserve">SQU DE LATOUR MAUBOURG</t>
  </si>
  <si>
    <t xml:space="preserve">MIRIKELAM</t>
  </si>
  <si>
    <t xml:space="preserve">30 RUE DES SAINTS PERES</t>
  </si>
  <si>
    <t xml:space="preserve">MIRIKELAM VALERIE#https://annuairesante.ameli.fr/professionnels-de-sante/recherche/fiche-detaillee-B7c1lDExNTG2.html</t>
  </si>
  <si>
    <t xml:space="preserve">RUE DES SAINTS PERES</t>
  </si>
  <si>
    <t xml:space="preserve">30</t>
  </si>
  <si>
    <t xml:space="preserve">LE DESCHAULT DE MONREDON</t>
  </si>
  <si>
    <t xml:space="preserve">137 AVENUE DE SUFFREN</t>
  </si>
  <si>
    <t xml:space="preserve">06 14 02 70 93</t>
  </si>
  <si>
    <t xml:space="preserve">LE DESCHAULT DE MONREDON JOELLE#https://annuairesante.ameli.fr/professionnels-de-sante/recherche/fiche-detaillee-B7c1ljswOTq0.html</t>
  </si>
  <si>
    <t xml:space="preserve">137</t>
  </si>
  <si>
    <t xml:space="preserve">26 RUE DUVIVIER</t>
  </si>
  <si>
    <t xml:space="preserve">01 45 74 13 86</t>
  </si>
  <si>
    <t xml:space="preserve">CLEMENT PAUL#https://annuairesante.ameli.fr/professionnels-de-sante/recherche/fiche-detaillee-B7c1kjsxNzq6.html</t>
  </si>
  <si>
    <t xml:space="preserve">26</t>
  </si>
  <si>
    <t xml:space="preserve">8 RUE DE L UNIVERSITE</t>
  </si>
  <si>
    <t xml:space="preserve">01 45 56 98 38</t>
  </si>
  <si>
    <t xml:space="preserve">GUERIN DANIELE#https://annuairesante.ameli.fr/professionnels-de-sante/recherche/fiche-detaillee-B7c1lDMzOTG6.html</t>
  </si>
  <si>
    <t xml:space="preserve">KOEHLER</t>
  </si>
  <si>
    <t xml:space="preserve">01 42 22 77 77</t>
  </si>
  <si>
    <t xml:space="preserve">KOEHLER SYLVIA#https://annuairesante.ameli.fr/professionnels-de-sante/recherche/fiche-detaillee-B7c1ljYyNju6.html</t>
  </si>
  <si>
    <t xml:space="preserve">BEGUIN</t>
  </si>
  <si>
    <t xml:space="preserve">13 AVENUE DE LA MOTTE PICQUET</t>
  </si>
  <si>
    <t xml:space="preserve">01 45 50 25 21</t>
  </si>
  <si>
    <t xml:space="preserve">BEGUIN CHRISTIAN#https://annuairesante.ameli.fr/professionnels-de-sante/recherche/fiche-detaillee-B7c1lDo5MTKw.html</t>
  </si>
  <si>
    <t xml:space="preserve">BOESPFLUG</t>
  </si>
  <si>
    <t xml:space="preserve">01 47 05 02 35</t>
  </si>
  <si>
    <t xml:space="preserve">BOESPFLUG OLIVIER#https://annuairesante.ameli.fr/professionnels-de-sante/recherche/fiche-detaillee-B7c1kTExMTS6.html</t>
  </si>
  <si>
    <t xml:space="preserve">DE SAINTE LORETTE</t>
  </si>
  <si>
    <t xml:space="preserve">1 SQUARE DE ROBIAC</t>
  </si>
  <si>
    <t xml:space="preserve">06 11 27 25 77</t>
  </si>
  <si>
    <t xml:space="preserve">DE SAINTE LORETTE ERIC#https://annuairesante.ameli.fr/professionnels-de-sante/recherche/fiche-detaillee-B7c1ljA4MDez.html</t>
  </si>
  <si>
    <t xml:space="preserve">08:30-14:00(D)&lt;br/&gt;</t>
  </si>
  <si>
    <t xml:space="preserve">14:00-15:00(D)&lt;br/&gt;16:00-19:00(R)&lt;br/&gt;</t>
  </si>
  <si>
    <t xml:space="preserve">SQUARE DE ROBIAC</t>
  </si>
  <si>
    <t xml:space="preserve">DECOCK SALDUCCI</t>
  </si>
  <si>
    <t xml:space="preserve">01 45 48 51 84</t>
  </si>
  <si>
    <t xml:space="preserve">DECOCK SALDUCCI VANINA#https://annuairesante.ameli.fr/professionnels-de-sante/recherche/fiche-detaillee-B7c1kjI4Mzuy.html</t>
  </si>
  <si>
    <t xml:space="preserve">SAR</t>
  </si>
  <si>
    <t xml:space="preserve">SOTHEA REATH</t>
  </si>
  <si>
    <t xml:space="preserve">01 45 51 41 11</t>
  </si>
  <si>
    <t xml:space="preserve">SAR SOTHEA REATH#https://annuairesante.ameli.fr/professionnels-de-sante/recherche/fiche-detaillee-B7c1kjI1ODSw.html</t>
  </si>
  <si>
    <t xml:space="preserve">LECOMTE</t>
  </si>
  <si>
    <t xml:space="preserve">17 AVENUE DE TOURVILLE</t>
  </si>
  <si>
    <t xml:space="preserve">02 99 85 95 55</t>
  </si>
  <si>
    <t xml:space="preserve">LECOMTE PIERRE#https://annuairesante.ameli.fr/professionnels-de-sante/recherche/fiche-detaillee-B7c1lTE2NDOw.html</t>
  </si>
  <si>
    <t xml:space="preserve">17</t>
  </si>
  <si>
    <t xml:space="preserve">HANNOUN</t>
  </si>
  <si>
    <t xml:space="preserve">HANNOUN SONIA#https://annuairesante.ameli.fr/professionnels-de-sante/recherche/fiche-detaillee-B7c1lTI0ODCx.html</t>
  </si>
  <si>
    <t xml:space="preserve">160</t>
  </si>
  <si>
    <t xml:space="preserve">GARNEK</t>
  </si>
  <si>
    <t xml:space="preserve">40B AVENUE BOSQUET</t>
  </si>
  <si>
    <t xml:space="preserve">GARNEK PIERRE#https://annuairesante.ameli.fr/professionnels-de-sante/recherche/fiche-detaillee-B7c1kjY1Mza6.html</t>
  </si>
  <si>
    <t xml:space="preserve">MENOUILLARD</t>
  </si>
  <si>
    <t xml:space="preserve">MENOUILLARD ERIC#https://annuairesante.ameli.fr/professionnels-de-sante/recherche/fiche-detaillee-B7c1mjAxNjK0.html</t>
  </si>
  <si>
    <t xml:space="preserve">SERHROUCHNI</t>
  </si>
  <si>
    <t xml:space="preserve">SOPHIA</t>
  </si>
  <si>
    <t xml:space="preserve">26 RUE DE L UNIVERSITE</t>
  </si>
  <si>
    <t xml:space="preserve">01 42 61 12 38</t>
  </si>
  <si>
    <t xml:space="preserve">SERHROUCHNI SOPHIA#https://annuairesante.ameli.fr/professionnels-de-sante/recherche/fiche-detaillee-B7c1kjQ5MTO3.html</t>
  </si>
  <si>
    <t xml:space="preserve">KEROS</t>
  </si>
  <si>
    <t xml:space="preserve">PHILIP</t>
  </si>
  <si>
    <t xml:space="preserve">01 45 74 07 42</t>
  </si>
  <si>
    <t xml:space="preserve">KEROS PHILIP#https://annuairesante.ameli.fr/professionnels-de-sante/recherche/fiche-detaillee-B7c1lTI3ODG7.html</t>
  </si>
  <si>
    <t xml:space="preserve">TIANO</t>
  </si>
  <si>
    <t xml:space="preserve">TIANO SYLVIE#https://annuairesante.ameli.fr/professionnels-de-sante/recherche/fiche-detaillee-B7c1mjM4Nje1.html</t>
  </si>
  <si>
    <t xml:space="preserve">85</t>
  </si>
  <si>
    <t xml:space="preserve">LAVINIA CERASEL</t>
  </si>
  <si>
    <t xml:space="preserve">1 RUE VILLERSEXEL</t>
  </si>
  <si>
    <t xml:space="preserve">06 11 94 55 54</t>
  </si>
  <si>
    <t xml:space="preserve">IONITA LAVINIA CERASEL#https://annuairesante.ameli.fr/professionnels-de-sante/recherche/fiche-detaillee-B7c1kzA2MzO1.html</t>
  </si>
  <si>
    <t xml:space="preserve">RUE VILLERSEXEL</t>
  </si>
  <si>
    <t xml:space="preserve">MIRZA</t>
  </si>
  <si>
    <t xml:space="preserve">ANWAR</t>
  </si>
  <si>
    <t xml:space="preserve">10 BOULEVARD RASPAIL</t>
  </si>
  <si>
    <t xml:space="preserve">01 45 26 59 69</t>
  </si>
  <si>
    <t xml:space="preserve">MIRZA ANWAR#https://annuairesante.ameli.fr/professionnels-de-sante/recherche/fiche-detaillee-B7c1lTM0MTOz.html</t>
  </si>
  <si>
    <t xml:space="preserve">YILDIZ</t>
  </si>
  <si>
    <t xml:space="preserve">8 RUE PAUL LOUIS COURIER</t>
  </si>
  <si>
    <t xml:space="preserve">01 40 44 67 39</t>
  </si>
  <si>
    <t xml:space="preserve">YILDIZ JOSEPH#https://annuairesante.ameli.fr/professionnels-de-sante/recherche/fiche-detaillee-B7c1mzE5NzK3.html</t>
  </si>
  <si>
    <t xml:space="preserve">RUE PAUL LOUIS COURIER</t>
  </si>
  <si>
    <t xml:space="preserve">DENARIE</t>
  </si>
  <si>
    <t xml:space="preserve">9 AVENUE DUQUESNE</t>
  </si>
  <si>
    <t xml:space="preserve">01 47 05 66 88</t>
  </si>
  <si>
    <t xml:space="preserve">DENARIE NICOLAS#https://annuairesante.ameli.fr/professionnels-de-sante/recherche/fiche-detaillee-B7c1lDEwMTS7.html</t>
  </si>
  <si>
    <t xml:space="preserve">POPESCU</t>
  </si>
  <si>
    <t xml:space="preserve">CORINA RODICA</t>
  </si>
  <si>
    <t xml:space="preserve">72 AVENUE DE LA BOURDONNAIS</t>
  </si>
  <si>
    <t xml:space="preserve">09 83 54 04 90</t>
  </si>
  <si>
    <t xml:space="preserve">POPESCU CORINA RODICA#https://annuairesante.ameli.fr/professionnels-de-sante/recherche/fiche-detaillee-B7c1kzA0Nzqw.html</t>
  </si>
  <si>
    <t xml:space="preserve">72</t>
  </si>
  <si>
    <t xml:space="preserve">ROZBAN</t>
  </si>
  <si>
    <t xml:space="preserve">YALDA</t>
  </si>
  <si>
    <t xml:space="preserve">ROZBAN YALDA#https://annuairesante.ameli.fr/professionnels-de-sante/recherche/fiche-detaillee-B7c1lTYwMjay.html</t>
  </si>
  <si>
    <t xml:space="preserve">NAUDASCHER</t>
  </si>
  <si>
    <t xml:space="preserve">59 QUAI BRANLY</t>
  </si>
  <si>
    <t xml:space="preserve">01 47 53 74 14</t>
  </si>
  <si>
    <t xml:space="preserve">NAUDASCHER MICHEL#https://annuairesante.ameli.fr/professionnels-de-sante/recherche/fiche-detaillee-B7c1ljs4ODS2.html</t>
  </si>
  <si>
    <t xml:space="preserve">QUAI BRANLY</t>
  </si>
  <si>
    <t xml:space="preserve">SAND</t>
  </si>
  <si>
    <t xml:space="preserve">MILA CHANTAL</t>
  </si>
  <si>
    <t xml:space="preserve">SAND MILA CHANTAL#https://annuairesante.ameli.fr/professionnels-de-sante/recherche/fiche-detaillee-B7c1lzc5NTW6.html</t>
  </si>
  <si>
    <t xml:space="preserve">ROMAN</t>
  </si>
  <si>
    <t xml:space="preserve">ROMAN GEORGES#https://annuairesante.ameli.fr/professionnels-de-sante/recherche/fiche-detaillee-B7c1mzEzOTO2.html</t>
  </si>
  <si>
    <t xml:space="preserve">DE LA BROSSE</t>
  </si>
  <si>
    <t xml:space="preserve">11 CITE VANEAU</t>
  </si>
  <si>
    <t xml:space="preserve">DE LA BROSSE ANNE#https://annuairesante.ameli.fr/professionnels-de-sante/recherche/fiche-detaillee-B7c1lzozNDa0.html</t>
  </si>
  <si>
    <t xml:space="preserve">CITE VANEAU</t>
  </si>
  <si>
    <t xml:space="preserve">GICQUEL</t>
  </si>
  <si>
    <t xml:space="preserve">5B RUE DE SOLFERINO</t>
  </si>
  <si>
    <t xml:space="preserve">01 45 48 00 72</t>
  </si>
  <si>
    <t xml:space="preserve">GICQUEL ANDRE#https://annuairesante.ameli.fr/professionnels-de-sante/recherche/fiche-detaillee-B7c1mzE2NzCx.html</t>
  </si>
  <si>
    <t xml:space="preserve">RUE DE SOLFERINO</t>
  </si>
  <si>
    <t xml:space="preserve">01 45 55 61 74</t>
  </si>
  <si>
    <t xml:space="preserve">MONNIER EMMANUEL#https://annuairesante.ameli.fr/professionnels-de-sante/recherche/fiche-detaillee-B7c1mzYyMDez.html</t>
  </si>
  <si>
    <t xml:space="preserve">DEMBERT</t>
  </si>
  <si>
    <t xml:space="preserve">DEMBERT DEBORAH#https://annuairesante.ameli.fr/professionnels-de-sante/recherche/fiche-detaillee-B7c1kzM2NDqw.html</t>
  </si>
  <si>
    <t xml:space="preserve">08:55-14:00(R)&lt;br/&gt;</t>
  </si>
  <si>
    <t xml:space="preserve">ALLOUCHE</t>
  </si>
  <si>
    <t xml:space="preserve">REGINALD</t>
  </si>
  <si>
    <t xml:space="preserve">5 AVENUE DU GENERAL TRIPIER</t>
  </si>
  <si>
    <t xml:space="preserve">ALLOUCHE REGINALD#https://annuairesante.ameli.fr/professionnels-de-sante/recherche/fiche-detaillee-B7c1mzQ2NjCz.html</t>
  </si>
  <si>
    <t xml:space="preserve">AVENUE DU GENERAL TRIPIER</t>
  </si>
  <si>
    <t xml:space="preserve">DANJON ROUILLEAULT</t>
  </si>
  <si>
    <t xml:space="preserve">DANJON ROUILLEAULT SANDRINE#https://annuairesante.ameli.fr/professionnels-de-sante/recherche/fiche-detaillee-B7c1lTY1MDCy.html</t>
  </si>
  <si>
    <t xml:space="preserve">25</t>
  </si>
  <si>
    <t xml:space="preserve">GHEZ</t>
  </si>
  <si>
    <t xml:space="preserve">01 55 73 00 08</t>
  </si>
  <si>
    <t xml:space="preserve">GHEZ STEPHANE#https://annuairesante.ameli.fr/professionnels-de-sante/recherche/fiche-detaillee-B7c1mzcyNTGy.html</t>
  </si>
  <si>
    <t xml:space="preserve">149</t>
  </si>
  <si>
    <t xml:space="preserve">FUENTES LOPEZ</t>
  </si>
  <si>
    <t xml:space="preserve">MARIA DE LA CRU</t>
  </si>
  <si>
    <t xml:space="preserve">09 78 80 18 79</t>
  </si>
  <si>
    <t xml:space="preserve">FUENTES LOPEZ MARIA DE LA CRU#https://annuairesante.ameli.fr/professionnels-de-sante/recherche/fiche-detaillee-B7c1kzMxMzWy.html</t>
  </si>
  <si>
    <t xml:space="preserve">14:00-19:00(?)&lt;br/&gt;</t>
  </si>
  <si>
    <t xml:space="preserve">DUC HIEN</t>
  </si>
  <si>
    <t xml:space="preserve">01 40 56 32 27</t>
  </si>
  <si>
    <t xml:space="preserve">NGUYEN DUC HIEN#https://annuairesante.ameli.fr/professionnels-de-sante/recherche/fiche-detaillee-B7c1lTIyODW1.html</t>
  </si>
  <si>
    <t xml:space="preserve">LACHIVER</t>
  </si>
  <si>
    <t xml:space="preserve">109 RUE LECOURBE</t>
  </si>
  <si>
    <t xml:space="preserve">LACHIVER MARIE PIERRE#https://annuairesante.ameli.fr/professionnels-de-sante/recherche/fiche-detaillee-B7c1lzY1Nzax.html</t>
  </si>
  <si>
    <t xml:space="preserve">109</t>
  </si>
  <si>
    <t xml:space="preserve">PARPEX</t>
  </si>
  <si>
    <t xml:space="preserve">01 45 67 42 50</t>
  </si>
  <si>
    <t xml:space="preserve">PARPEX PATRICK#https://annuairesante.ameli.fr/professionnels-de-sante/recherche/fiche-detaillee-B7c1lDYwNzSw.html</t>
  </si>
  <si>
    <t xml:space="preserve">208</t>
  </si>
  <si>
    <t xml:space="preserve">VIOLLAZ ARCE</t>
  </si>
  <si>
    <t xml:space="preserve">VIOLLAZ ARCE GABRIELA#https://annuairesante.ameli.fr/professionnels-de-sante/recherche/fiche-detaillee-B7c1kjQ2NDCw.html</t>
  </si>
  <si>
    <t xml:space="preserve">09:05-12:00(?)&lt;br/&gt;</t>
  </si>
  <si>
    <t xml:space="preserve">14:00-16:00(?)&lt;br/&gt;</t>
  </si>
  <si>
    <t xml:space="preserve">KRAWCZYK</t>
  </si>
  <si>
    <t xml:space="preserve">3 RUE BOUILLOUX LAFONT</t>
  </si>
  <si>
    <t xml:space="preserve">01 75 57 04 11</t>
  </si>
  <si>
    <t xml:space="preserve">KRAWCZYK MICHEL#https://annuairesante.ameli.fr/professionnels-de-sante/recherche/fiche-detaillee-B7c1lDs2ODSx.html</t>
  </si>
  <si>
    <t xml:space="preserve">RUE BOUILLOUX LAFONT</t>
  </si>
  <si>
    <t xml:space="preserve">BENSADOUN</t>
  </si>
  <si>
    <t xml:space="preserve">01 46 24 53 88</t>
  </si>
  <si>
    <t xml:space="preserve">BENSADOUN DAN#https://annuairesante.ameli.fr/professionnels-de-sante/recherche/fiche-detaillee-B7c1lTYxMTW0.html</t>
  </si>
  <si>
    <t xml:space="preserve">MANOUKIAN</t>
  </si>
  <si>
    <t xml:space="preserve">53 BOULEVARD VICTOR</t>
  </si>
  <si>
    <t xml:space="preserve">01 43 20 33 33</t>
  </si>
  <si>
    <t xml:space="preserve">MANOUKIAN FRANCOIS#https://annuairesante.ameli.fr/professionnels-de-sante/recherche/fiche-detaillee-B7c1ljE5NzK0.html</t>
  </si>
  <si>
    <t xml:space="preserve">BOULEVARD VICTOR</t>
  </si>
  <si>
    <t xml:space="preserve">LAEMMEL</t>
  </si>
  <si>
    <t xml:space="preserve">MARIE GEORGE</t>
  </si>
  <si>
    <t xml:space="preserve">LAEMMEL MARIE GEORGE#https://annuairesante.ameli.fr/professionnels-de-sante/recherche/fiche-detaillee-B7c1mzY4MDC3.html</t>
  </si>
  <si>
    <t xml:space="preserve">OUIDED</t>
  </si>
  <si>
    <t xml:space="preserve">LIMAIEM JOUMNI OUIDED#https://annuairesante.ameli.fr/professionnels-de-sante/recherche/fiche-detaillee-B7c1lTExMTG0.html</t>
  </si>
  <si>
    <t xml:space="preserve">181</t>
  </si>
  <si>
    <t xml:space="preserve">CATENACCI</t>
  </si>
  <si>
    <t xml:space="preserve">149 RUE RUE DE SEVRES</t>
  </si>
  <si>
    <t xml:space="preserve">CATENACCI FABRICE#https://annuairesante.ameli.fr/professionnels-de-sante/recherche/fiche-detaillee-B7c1mjExNDe0.html</t>
  </si>
  <si>
    <t xml:space="preserve">RUE RUE DE SEVRES</t>
  </si>
  <si>
    <t xml:space="preserve">GORTCHAKOFF</t>
  </si>
  <si>
    <t xml:space="preserve">57 RUE DES MORILLONS</t>
  </si>
  <si>
    <t xml:space="preserve">07 86 60 62 48</t>
  </si>
  <si>
    <t xml:space="preserve">GORTCHAKOFF MICHEL#https://annuairesante.ameli.fr/professionnels-de-sante/recherche/fiche-detaillee-B7c1ljYyNTe1.html</t>
  </si>
  <si>
    <t xml:space="preserve">PINOT</t>
  </si>
  <si>
    <t xml:space="preserve">38 ALLEE DES FRERES VOISINS</t>
  </si>
  <si>
    <t xml:space="preserve">01 40 60 12 63</t>
  </si>
  <si>
    <t xml:space="preserve">PINOT JEAN MARC#https://annuairesante.ameli.fr/professionnels-de-sante/recherche/fiche-detaillee-B7c1kTU4OTuz.html</t>
  </si>
  <si>
    <t xml:space="preserve">11:30-14:00(R)&lt;br/&gt;</t>
  </si>
  <si>
    <t xml:space="preserve">ALLEE DES FRERES VOISINS</t>
  </si>
  <si>
    <t xml:space="preserve">ALLARD</t>
  </si>
  <si>
    <t xml:space="preserve">ALLARD AUDREY#https://annuairesante.ameli.fr/professionnels-de-sante/recherche/fiche-detaillee-B7c1kzI2MjKw.html</t>
  </si>
  <si>
    <t xml:space="preserve">BOULANGE</t>
  </si>
  <si>
    <t xml:space="preserve">01 86 47 85 54</t>
  </si>
  <si>
    <t xml:space="preserve">BOULANGE MARINE#https://annuairesante.ameli.fr/professionnels-de-sante/recherche/fiche-detaillee-B7c1lTYxNzCz.html</t>
  </si>
  <si>
    <t xml:space="preserve">08:00-14:00(?)&lt;br/&gt;</t>
  </si>
  <si>
    <t xml:space="preserve">ATHOUEL</t>
  </si>
  <si>
    <t xml:space="preserve">06 16 30 31 32</t>
  </si>
  <si>
    <t xml:space="preserve">ATHOUEL MICHEL#https://annuairesante.ameli.fr/professionnels-de-sante/recherche/fiche-detaillee-B7c1mjExMzK6.html</t>
  </si>
  <si>
    <t xml:space="preserve">BOUELET</t>
  </si>
  <si>
    <t xml:space="preserve">BOUELET EMMANUEL#https://annuairesante.ameli.fr/professionnels-de-sante/recherche/fiche-detaillee-B7c1kjU2OTaw.html</t>
  </si>
  <si>
    <t xml:space="preserve">10:30-12:15(R)&lt;br/&gt;</t>
  </si>
  <si>
    <t xml:space="preserve">09:00-11:00(D)&lt;br/&gt;11:00-12:15(R)&lt;br/&gt;</t>
  </si>
  <si>
    <t xml:space="preserve">52</t>
  </si>
  <si>
    <t xml:space="preserve">SAYEDOFF PUDERBEUTEL</t>
  </si>
  <si>
    <t xml:space="preserve">PERLE</t>
  </si>
  <si>
    <t xml:space="preserve">SAYEDOFF PUDERBEUTEL PERLE#https://annuairesante.ameli.fr/professionnels-de-sante/recherche/fiche-detaillee-B7c1kzc2MDe6.html</t>
  </si>
  <si>
    <t xml:space="preserve">14:00-18:05(?)&lt;br/&gt;</t>
  </si>
  <si>
    <t xml:space="preserve">01 45 77 78 41</t>
  </si>
  <si>
    <t xml:space="preserve">MORVAN SYLVIE#https://annuairesante.ameli.fr/professionnels-de-sante/recherche/fiche-detaillee-B7c1lDszNjK7.html</t>
  </si>
  <si>
    <t xml:space="preserve">146</t>
  </si>
  <si>
    <t xml:space="preserve">LE CHAUFF DE KERGUENEC</t>
  </si>
  <si>
    <t xml:space="preserve">3 SQUARE T JUDLIN</t>
  </si>
  <si>
    <t xml:space="preserve">LE CHAUFF DE KERGUENEC JENNIFER#https://annuairesante.ameli.fr/professionnels-de-sante/recherche/fiche-detaillee-B7c1ljQyMTe7.html</t>
  </si>
  <si>
    <t xml:space="preserve">SQUARE T JUDLIN</t>
  </si>
  <si>
    <t xml:space="preserve">PERRET</t>
  </si>
  <si>
    <t xml:space="preserve">MARIE RAPHAELLE</t>
  </si>
  <si>
    <t xml:space="preserve">PERRET MARIE RAPHAELLE#https://annuairesante.ameli.fr/professionnels-de-sante/recherche/fiche-detaillee-B7c1kjA2ODCw.html</t>
  </si>
  <si>
    <t xml:space="preserve">14:30-19:00(R)&lt;br/&gt;</t>
  </si>
  <si>
    <t xml:space="preserve">BEDDOK</t>
  </si>
  <si>
    <t xml:space="preserve">18 BOULEVARD DE GRENELLE</t>
  </si>
  <si>
    <t xml:space="preserve">BEDDOK ROMAIN#https://annuairesante.ameli.fr/professionnels-de-sante/recherche/fiche-detaillee-B7c1mjA2MTK0.html</t>
  </si>
  <si>
    <t xml:space="preserve">GWLADYS</t>
  </si>
  <si>
    <t xml:space="preserve">PETIT GWLADYS#https://annuairesante.ameli.fr/professionnels-de-sante/recherche/fiche-detaillee-B7c1mjEwMje0.html</t>
  </si>
  <si>
    <t xml:space="preserve">NGUYEN ANTOINE#https://annuairesante.ameli.fr/professionnels-de-sante/recherche/fiche-detaillee-B7c1mzcyNjOx.html</t>
  </si>
  <si>
    <t xml:space="preserve">CHABAGA THEBAUD</t>
  </si>
  <si>
    <t xml:space="preserve">HAFIZA</t>
  </si>
  <si>
    <t xml:space="preserve">CHABAGA THEBAUD HAFIZA#https://annuairesante.ameli.fr/professionnels-de-sante/recherche/fiche-detaillee-B7c1lDc2NzO7.html</t>
  </si>
  <si>
    <t xml:space="preserve">01 45 33 29 95</t>
  </si>
  <si>
    <t xml:space="preserve">AZRIA PHILIPPE#https://annuairesante.ameli.fr/professionnels-de-sante/recherche/fiche-detaillee-B7c1lDsxNTa0.html</t>
  </si>
  <si>
    <t xml:space="preserve">13:00-14:00(R)&lt;br/&gt;</t>
  </si>
  <si>
    <t xml:space="preserve">237</t>
  </si>
  <si>
    <t xml:space="preserve">CHAUFTON</t>
  </si>
  <si>
    <t xml:space="preserve">17 RUE DE LA CROIX NIVERT</t>
  </si>
  <si>
    <t xml:space="preserve">09 78 81 27 60</t>
  </si>
  <si>
    <t xml:space="preserve">CHAUFTON CYRIL#https://annuairesante.ameli.fr/professionnels-de-sante/recherche/fiche-detaillee-B7c1kjEzODK0.html</t>
  </si>
  <si>
    <t xml:space="preserve">LALLEMAND</t>
  </si>
  <si>
    <t xml:space="preserve">06 08 56 55 12</t>
  </si>
  <si>
    <t xml:space="preserve">LALLEMAND LAURE#https://annuairesante.ameli.fr/professionnels-de-sante/recherche/fiche-detaillee-B7c1kzA2NTCx.html</t>
  </si>
  <si>
    <t xml:space="preserve">BONADONNA</t>
  </si>
  <si>
    <t xml:space="preserve">5 RUE DU LAOS</t>
  </si>
  <si>
    <t xml:space="preserve">01 43 06 14 51</t>
  </si>
  <si>
    <t xml:space="preserve">BONADONNA YVES#https://annuairesante.ameli.fr/professionnels-de-sante/recherche/fiche-detaillee-B7c1kTs1ODC0.html</t>
  </si>
  <si>
    <t xml:space="preserve">FLAHAUT</t>
  </si>
  <si>
    <t xml:space="preserve">01 40 59 01 01</t>
  </si>
  <si>
    <t xml:space="preserve">FLAHAUT JEROME#https://annuairesante.ameli.fr/professionnels-de-sante/recherche/fiche-detaillee-B7c1lzIzNje7.html</t>
  </si>
  <si>
    <t xml:space="preserve">08:30-13:00(R)&lt;br/&gt;</t>
  </si>
  <si>
    <t xml:space="preserve">PAPADIMA</t>
  </si>
  <si>
    <t xml:space="preserve">ANGELA DAIANA</t>
  </si>
  <si>
    <t xml:space="preserve">PAPADIMA ANGELA DAIANA#https://annuairesante.ameli.fr/professionnels-de-sante/recherche/fiche-detaillee-B7c1kjcwODO2.html</t>
  </si>
  <si>
    <t xml:space="preserve">14:00-17:30(?)&lt;br/&gt;</t>
  </si>
  <si>
    <t xml:space="preserve">09:30-14:00(?)&lt;br/&gt;</t>
  </si>
  <si>
    <t xml:space="preserve">08:30-14:00(?)&lt;br/&gt;</t>
  </si>
  <si>
    <t xml:space="preserve">14:00-17:15(?)&lt;br/&gt;</t>
  </si>
  <si>
    <t xml:space="preserve">TEBOUL</t>
  </si>
  <si>
    <t xml:space="preserve">01 86 76 12 05</t>
  </si>
  <si>
    <t xml:space="preserve">TEBOUL FRANCOIS#https://annuairesante.ameli.fr/professionnels-de-sante/recherche/fiche-detaillee-B7c1lTA5MzW7.html</t>
  </si>
  <si>
    <t xml:space="preserve">RAMADAN</t>
  </si>
  <si>
    <t xml:space="preserve">RAMADAN CHAIMA#https://annuairesante.ameli.fr/professionnels-de-sante/recherche/fiche-detaillee-B7c1kzc0NTWx.html</t>
  </si>
  <si>
    <t xml:space="preserve">BAH</t>
  </si>
  <si>
    <t xml:space="preserve">MARIAMA</t>
  </si>
  <si>
    <t xml:space="preserve">5 PLACE VIOLET</t>
  </si>
  <si>
    <t xml:space="preserve">BAH MARIAMA#https://annuairesante.ameli.fr/professionnels-de-sante/recherche/fiche-detaillee-B7c1mzY3MzC6.html</t>
  </si>
  <si>
    <t xml:space="preserve">FERFAR</t>
  </si>
  <si>
    <t xml:space="preserve">YASMINA</t>
  </si>
  <si>
    <t xml:space="preserve">01 44 19 50 00</t>
  </si>
  <si>
    <t xml:space="preserve">FERFAR YASMINA#https://annuairesante.ameli.fr/professionnels-de-sante/recherche/fiche-detaillee-B7c1lTA2Njew.html</t>
  </si>
  <si>
    <t xml:space="preserve">CHEMOUL</t>
  </si>
  <si>
    <t xml:space="preserve">24 AVENUE DU MAINE</t>
  </si>
  <si>
    <t xml:space="preserve">01 42 22 40 00</t>
  </si>
  <si>
    <t xml:space="preserve">CHEMOUL BRIGITTE#https://annuairesante.ameli.fr/professionnels-de-sante/recherche/fiche-detaillee-B7c1lzU0NDK6.html</t>
  </si>
  <si>
    <t xml:space="preserve">AVENUE DU MAINE</t>
  </si>
  <si>
    <t xml:space="preserve">COUDERC</t>
  </si>
  <si>
    <t xml:space="preserve">15 RUE ALASSEUR</t>
  </si>
  <si>
    <t xml:space="preserve">COUDERC CHRISTINE#https://annuairesante.ameli.fr/professionnels-de-sante/recherche/fiche-detaillee-B7c1lDo3NDG1.html</t>
  </si>
  <si>
    <t xml:space="preserve">RUE ALASSEUR</t>
  </si>
  <si>
    <t xml:space="preserve">15</t>
  </si>
  <si>
    <t xml:space="preserve">DAGHER ROVANI</t>
  </si>
  <si>
    <t xml:space="preserve">NOUR</t>
  </si>
  <si>
    <t xml:space="preserve">DAGHER ROVANI NOUR#https://annuairesante.ameli.fr/professionnels-de-sante/recherche/fiche-detaillee-B7c1lTA3MjW2.html</t>
  </si>
  <si>
    <t xml:space="preserve">ELIE PAUL</t>
  </si>
  <si>
    <t xml:space="preserve">3 RUE SEXTIUS MICHEL</t>
  </si>
  <si>
    <t xml:space="preserve">01 53 96 04 62</t>
  </si>
  <si>
    <t xml:space="preserve">COHEN ELIE PAUL#https://annuairesante.ameli.fr/professionnels-de-sante/recherche/fiche-detaillee-B7c1lzEzNjS2.html</t>
  </si>
  <si>
    <t xml:space="preserve">RUE SEXTIUS MICHEL</t>
  </si>
  <si>
    <t xml:space="preserve">PENNAMEN PIERRE#https://annuairesante.ameli.fr/professionnels-de-sante/recherche/fiche-detaillee-B7c1kjEyNju1.html</t>
  </si>
  <si>
    <t xml:space="preserve">ILLOUZ</t>
  </si>
  <si>
    <t xml:space="preserve">ILLOUZ STEPHANE#https://annuairesante.ameli.fr/professionnels-de-sante/recherche/fiche-detaillee-B7c1mjEwNDG7.html</t>
  </si>
  <si>
    <t xml:space="preserve">NATHALIE MARIE</t>
  </si>
  <si>
    <t xml:space="preserve">AUTIER NATHALIE MARIE#https://annuairesante.ameli.fr/professionnels-de-sante/recherche/fiche-detaillee-B7c1lzUxOTa0.html</t>
  </si>
  <si>
    <t xml:space="preserve">09:00-13:00(R)&lt;br/&gt;13:45-14:00(R)&lt;br/&gt;</t>
  </si>
  <si>
    <t xml:space="preserve">14:00-18:40(R)&lt;br/&gt;</t>
  </si>
  <si>
    <t xml:space="preserve">09:00-11:40(R)&lt;br/&gt;</t>
  </si>
  <si>
    <t xml:space="preserve">15:00-18:40(R)&lt;br/&gt;</t>
  </si>
  <si>
    <t xml:space="preserve">LHOTELLIER</t>
  </si>
  <si>
    <t xml:space="preserve">06 74 02 40 34</t>
  </si>
  <si>
    <t xml:space="preserve">LHOTELLIER CHARLOTTE#https://annuairesante.ameli.fr/professionnels-de-sante/recherche/fiche-detaillee-B7c1kzQ3Mzqy.html</t>
  </si>
  <si>
    <t xml:space="preserve">GRUNY</t>
  </si>
  <si>
    <t xml:space="preserve">ANNE CAROLE</t>
  </si>
  <si>
    <t xml:space="preserve">01 84 25 48 54</t>
  </si>
  <si>
    <t xml:space="preserve">GRUNY ANNE CAROLE#https://annuairesante.ameli.fr/professionnels-de-sante/recherche/fiche-detaillee-B7c1kjIzMDa7.html</t>
  </si>
  <si>
    <t xml:space="preserve">HAFFAF</t>
  </si>
  <si>
    <t xml:space="preserve">26B RUE D ALLERAY</t>
  </si>
  <si>
    <t xml:space="preserve">HAFFAF SAMY#https://annuairesante.ameli.fr/professionnels-de-sante/recherche/fiche-detaillee-B7c1mjA2NDC7.html</t>
  </si>
  <si>
    <t xml:space="preserve">KUBALEK</t>
  </si>
  <si>
    <t xml:space="preserve">IGOR</t>
  </si>
  <si>
    <t xml:space="preserve">13 RUE DE L'AMIRAL ROUSSIN</t>
  </si>
  <si>
    <t xml:space="preserve">01 46 07 71 83</t>
  </si>
  <si>
    <t xml:space="preserve">KUBALEK IGOR#https://annuairesante.ameli.fr/professionnels-de-sante/recherche/fiche-detaillee-B7c1lDQ2NDG1.html</t>
  </si>
  <si>
    <t xml:space="preserve">RUE DE L'AMIRAL ROUSSIN</t>
  </si>
  <si>
    <t xml:space="preserve">SORIOT</t>
  </si>
  <si>
    <t xml:space="preserve">136B RUE BLOMET</t>
  </si>
  <si>
    <t xml:space="preserve">01 43 37 68 21</t>
  </si>
  <si>
    <t xml:space="preserve">SORIOT VINCENT#https://annuairesante.ameli.fr/professionnels-de-sante/recherche/fiche-detaillee-B7c1mjA2MTGy.html</t>
  </si>
  <si>
    <t xml:space="preserve">136</t>
  </si>
  <si>
    <t xml:space="preserve">BACRIE</t>
  </si>
  <si>
    <t xml:space="preserve">NORBERT</t>
  </si>
  <si>
    <t xml:space="preserve">19B RUE BARGUE</t>
  </si>
  <si>
    <t xml:space="preserve">01 40 51 03 42</t>
  </si>
  <si>
    <t xml:space="preserve">BACRIE NORBERT#https://annuairesante.ameli.fr/professionnels-de-sante/recherche/fiche-detaillee-B7c1kTY0Nzu2.html</t>
  </si>
  <si>
    <t xml:space="preserve">LAGOIDET</t>
  </si>
  <si>
    <t xml:space="preserve">84 AVENUE EMILE ZOLA</t>
  </si>
  <si>
    <t xml:space="preserve">01 45 67 10 11</t>
  </si>
  <si>
    <t xml:space="preserve">LAGOIDET JEAN PIERRE#https://annuairesante.ameli.fr/professionnels-de-sante/recherche/fiche-detaillee-B7c1lzQ0Nju6.html</t>
  </si>
  <si>
    <t xml:space="preserve">84</t>
  </si>
  <si>
    <t xml:space="preserve">GANTER GUICHARD</t>
  </si>
  <si>
    <t xml:space="preserve">06 17 92 46 22</t>
  </si>
  <si>
    <t xml:space="preserve">GANTER GUICHARD CECILE#https://annuairesante.ameli.fr/professionnels-de-sante/recherche/fiche-detaillee-B7c1mzY0ODC3.html</t>
  </si>
  <si>
    <t xml:space="preserve">14:00-18:15(R)&lt;br/&gt;</t>
  </si>
  <si>
    <t xml:space="preserve">GORIN DE PONSAY</t>
  </si>
  <si>
    <t xml:space="preserve">281 RUE DE VAUGIRARD</t>
  </si>
  <si>
    <t xml:space="preserve">01 55 76 63 44</t>
  </si>
  <si>
    <t xml:space="preserve">GORIN DE PONSAY VICTOR#https://annuairesante.ameli.fr/professionnels-de-sante/recherche/fiche-detaillee-B7c1kzYxNTW3.html</t>
  </si>
  <si>
    <t xml:space="preserve">281</t>
  </si>
  <si>
    <t xml:space="preserve">YAZJI</t>
  </si>
  <si>
    <t xml:space="preserve">MONA</t>
  </si>
  <si>
    <t xml:space="preserve">4 RUE DU DDOCTEUR ROUX</t>
  </si>
  <si>
    <t xml:space="preserve">06 67 32 14 47</t>
  </si>
  <si>
    <t xml:space="preserve">YAZJI MONA#https://annuairesante.ameli.fr/professionnels-de-sante/recherche/fiche-detaillee-B7c1mzc4NjOy.html</t>
  </si>
  <si>
    <t xml:space="preserve">RUE DU DDOCTEUR ROUX</t>
  </si>
  <si>
    <t xml:space="preserve">MAGLIOZZI</t>
  </si>
  <si>
    <t xml:space="preserve">FRANCESCO</t>
  </si>
  <si>
    <t xml:space="preserve">MAGLIOZZI FRANCESCO#https://annuairesante.ameli.fr/professionnels-de-sante/recherche/fiche-detaillee-B7c1mjEwOTO6.html</t>
  </si>
  <si>
    <t xml:space="preserve">KADRI</t>
  </si>
  <si>
    <t xml:space="preserve">10 RUE DE L ARRIVEE</t>
  </si>
  <si>
    <t xml:space="preserve">01 42 22 75 12</t>
  </si>
  <si>
    <t xml:space="preserve">KADRI FRANCOISE#https://annuairesante.ameli.fr/professionnels-de-sante/recherche/fiche-detaillee-B7c1kDM1NTu2.html</t>
  </si>
  <si>
    <t xml:space="preserve">RUE DE L ARRIVEE</t>
  </si>
  <si>
    <t xml:space="preserve">CHEVREL</t>
  </si>
  <si>
    <t xml:space="preserve">CHEVREL ANTOINE#https://annuairesante.ameli.fr/professionnels-de-sante/recherche/fiche-detaillee-B7c1lzYyOTW0.html</t>
  </si>
  <si>
    <t xml:space="preserve">CABRAL</t>
  </si>
  <si>
    <t xml:space="preserve">MARCO ALEXANDRE</t>
  </si>
  <si>
    <t xml:space="preserve">CABRAL MARCO ALEXANDRE#https://annuairesante.ameli.fr/professionnels-de-sante/recherche/fiche-detaillee-B7c1lTAxNTe6.html</t>
  </si>
  <si>
    <t xml:space="preserve">MARTINI</t>
  </si>
  <si>
    <t xml:space="preserve">MARTINI LAURENT#https://annuairesante.ameli.fr/professionnels-de-sante/recherche/fiche-detaillee-B7c1lTE5ODu7.html</t>
  </si>
  <si>
    <t xml:space="preserve">STANSAL</t>
  </si>
  <si>
    <t xml:space="preserve">STANSAL AUDREY#https://annuairesante.ameli.fr/professionnels-de-sante/recherche/fiche-detaillee-B7c1mjA3MjO3.html</t>
  </si>
  <si>
    <t xml:space="preserve">15 RUE CHASSELOUP LAUBAT</t>
  </si>
  <si>
    <t xml:space="preserve">GRANIER DELPHINE#https://annuairesante.ameli.fr/professionnels-de-sante/recherche/fiche-detaillee-B7c1mzY5MzGw.html</t>
  </si>
  <si>
    <t xml:space="preserve">RUE CHASSELOUP LAUBAT</t>
  </si>
  <si>
    <t xml:space="preserve">GUYADER</t>
  </si>
  <si>
    <t xml:space="preserve">01 45 66 44 09</t>
  </si>
  <si>
    <t xml:space="preserve">GUYADER MICHELE#https://annuairesante.ameli.fr/professionnels-de-sante/recherche/fiche-detaillee-B7c1lDs4MzO3.html</t>
  </si>
  <si>
    <t xml:space="preserve">WANONO</t>
  </si>
  <si>
    <t xml:space="preserve">WANONO EMMANUELLE#https://annuairesante.ameli.fr/professionnels-de-sante/recherche/fiche-detaillee-B7c1mjA4MDew.html</t>
  </si>
  <si>
    <t xml:space="preserve">GRANIER RENE#https://annuairesante.ameli.fr/professionnels-de-sante/recherche/fiche-detaillee-B7c1lDo2ODa7.html</t>
  </si>
  <si>
    <t xml:space="preserve">BRILLANT</t>
  </si>
  <si>
    <t xml:space="preserve">4 IMPASSE MATHIEU</t>
  </si>
  <si>
    <t xml:space="preserve">01 43 21 68 85</t>
  </si>
  <si>
    <t xml:space="preserve">BRILLANT FRANCOISE#https://annuairesante.ameli.fr/professionnels-de-sante/recherche/fiche-detaillee-B7c1kTs0MzKw.html</t>
  </si>
  <si>
    <t xml:space="preserve">IMPASSE MATHIEU</t>
  </si>
  <si>
    <t xml:space="preserve">DOUKHAN GUY#https://annuairesante.ameli.fr/professionnels-de-sante/recherche/fiche-detaillee-B7c1kjE2NDC3.html</t>
  </si>
  <si>
    <t xml:space="preserve">DUCROS</t>
  </si>
  <si>
    <t xml:space="preserve">60 RUE CAMBRONNE</t>
  </si>
  <si>
    <t xml:space="preserve">01 43 06 89 00</t>
  </si>
  <si>
    <t xml:space="preserve">DUCROS JEAN JACQUES#https://annuairesante.ameli.fr/professionnels-de-sante/recherche/fiche-detaillee-B7c1ljoxMzq3.html</t>
  </si>
  <si>
    <t xml:space="preserve">BIBAS</t>
  </si>
  <si>
    <t xml:space="preserve">BIBAS JORDAN#https://annuairesante.ameli.fr/professionnels-de-sante/recherche/fiche-detaillee-B7c1mjA1NjO0.html</t>
  </si>
  <si>
    <t xml:space="preserve">MADEC</t>
  </si>
  <si>
    <t xml:space="preserve">11 RUE HUMBLOT</t>
  </si>
  <si>
    <t xml:space="preserve">06 31 45 64 63</t>
  </si>
  <si>
    <t xml:space="preserve">MADEC FRANCOIS#https://annuairesante.ameli.fr/professionnels-de-sante/recherche/fiche-detaillee-B7c1lDswMje2.html</t>
  </si>
  <si>
    <t xml:space="preserve">RUE HUMBLOT</t>
  </si>
  <si>
    <t xml:space="preserve">VERCOUSTRE</t>
  </si>
  <si>
    <t xml:space="preserve">37 AVENUE FELIX FAURE</t>
  </si>
  <si>
    <t xml:space="preserve">VERCOUSTRE BEATRICE#https://annuairesante.ameli.fr/professionnels-de-sante/recherche/fiche-detaillee-B7c1kzI0OTGx.html</t>
  </si>
  <si>
    <t xml:space="preserve">15:00-20:00(R)&lt;br/&gt;</t>
  </si>
  <si>
    <t xml:space="preserve">09:00-12:30(R)&lt;br/&gt;</t>
  </si>
  <si>
    <t xml:space="preserve">SFEIR</t>
  </si>
  <si>
    <t xml:space="preserve">THEOPHILE</t>
  </si>
  <si>
    <t xml:space="preserve">69 RUE DU THEATRE</t>
  </si>
  <si>
    <t xml:space="preserve">01 45 79 35 95</t>
  </si>
  <si>
    <t xml:space="preserve">SFEIR THEOPHILE#https://annuairesante.ameli.fr/professionnels-de-sante/recherche/fiche-detaillee-B7c1mzA4MDS6.html</t>
  </si>
  <si>
    <t xml:space="preserve">09:30-12:00(R)&lt;br/&gt;</t>
  </si>
  <si>
    <t xml:space="preserve">15:30-19:00(R)&lt;br/&gt;</t>
  </si>
  <si>
    <t xml:space="preserve">CHOUARFI</t>
  </si>
  <si>
    <t xml:space="preserve">FAIZA</t>
  </si>
  <si>
    <t xml:space="preserve">41 RUE RUE DE VOUILLE</t>
  </si>
  <si>
    <t xml:space="preserve">01 56 23 23 23</t>
  </si>
  <si>
    <t xml:space="preserve">CHOUARFI FAIZA#https://annuairesante.ameli.fr/professionnels-de-sante/recherche/fiche-detaillee-B7c1kjM0MzO2.html</t>
  </si>
  <si>
    <t xml:space="preserve">RUE RUE DE VOUILLE</t>
  </si>
  <si>
    <t xml:space="preserve">COESTER</t>
  </si>
  <si>
    <t xml:space="preserve">COESTER VALERIE#https://annuairesante.ameli.fr/professionnels-de-sante/recherche/fiche-detaillee-B7c1lTY3MTe1.html</t>
  </si>
  <si>
    <t xml:space="preserve">31 AVENUE F FAURE</t>
  </si>
  <si>
    <t xml:space="preserve">SEBBAH ANDRE#https://annuairesante.ameli.fr/professionnels-de-sante/recherche/fiche-detaillee-B7c1ljcwMzOz.html</t>
  </si>
  <si>
    <t xml:space="preserve">AVENUE F FAURE</t>
  </si>
  <si>
    <t xml:space="preserve">31</t>
  </si>
  <si>
    <t xml:space="preserve">FURGE</t>
  </si>
  <si>
    <t xml:space="preserve">FURGE CAMILLE#https://annuairesante.ameli.fr/professionnels-de-sante/recherche/fiche-detaillee-B7c1mzY0MDWw.html</t>
  </si>
  <si>
    <t xml:space="preserve">14:40-18:00(R)&lt;br/&gt;</t>
  </si>
  <si>
    <t xml:space="preserve">12:00-14:00(D)&lt;br/&gt;08:30-12:00(R)&lt;br/&gt;</t>
  </si>
  <si>
    <t xml:space="preserve">14:30-18:30(R)&lt;br/&gt;</t>
  </si>
  <si>
    <t xml:space="preserve">08:40-12:00(R)&lt;br/&gt;</t>
  </si>
  <si>
    <t xml:space="preserve">199</t>
  </si>
  <si>
    <t xml:space="preserve">BODKIER</t>
  </si>
  <si>
    <t xml:space="preserve">BODKIER MICHEL#https://annuairesante.ameli.fr/professionnels-de-sante/recherche/fiche-detaillee-B7c1lTYxNzWy.html</t>
  </si>
  <si>
    <t xml:space="preserve">BEKKA</t>
  </si>
  <si>
    <t xml:space="preserve">SOPHIANE</t>
  </si>
  <si>
    <t xml:space="preserve">BEKKA SOPHIANE#https://annuairesante.ameli.fr/professionnels-de-sante/recherche/fiche-detaillee-B7c1kjo4NTqw.html</t>
  </si>
  <si>
    <t xml:space="preserve">GRANAT</t>
  </si>
  <si>
    <t xml:space="preserve">GRANAT STEPHANE#https://annuairesante.ameli.fr/professionnels-de-sante/recherche/fiche-detaillee-B7c1lDEzODa3.html</t>
  </si>
  <si>
    <t xml:space="preserve">PARENT</t>
  </si>
  <si>
    <t xml:space="preserve">PARENT ALAIN#https://annuairesante.ameli.fr/professionnels-de-sante/recherche/fiche-detaillee-B7c1ljI0OTC7.html</t>
  </si>
  <si>
    <t xml:space="preserve">ALBANEL GUINARD</t>
  </si>
  <si>
    <t xml:space="preserve">9 RUE DE L'ABBE GROULT</t>
  </si>
  <si>
    <t xml:space="preserve">ALBANEL GUINARD AUDE#https://annuairesante.ameli.fr/professionnels-de-sante/recherche/fiche-detaillee-B7c1lDo4NTa6.html</t>
  </si>
  <si>
    <t xml:space="preserve">RUE DE L'ABBE GROULT</t>
  </si>
  <si>
    <t xml:space="preserve">ADLER</t>
  </si>
  <si>
    <t xml:space="preserve">ADLER MARION#https://annuairesante.ameli.fr/professionnels-de-sante/recherche/fiche-detaillee-B7c1lzo0MDC1.html</t>
  </si>
  <si>
    <t xml:space="preserve">BOUAZIZ</t>
  </si>
  <si>
    <t xml:space="preserve">BOUAZIZ RENE#https://annuairesante.ameli.fr/professionnels-de-sante/recherche/fiche-detaillee-B7c1lTE3NDWz.html</t>
  </si>
  <si>
    <t xml:space="preserve">VIDART</t>
  </si>
  <si>
    <t xml:space="preserve">152 RUE LEGENDRE</t>
  </si>
  <si>
    <t xml:space="preserve">01 42 29 07 10</t>
  </si>
  <si>
    <t xml:space="preserve">VIDART ANNE#https://annuairesante.ameli.fr/professionnels-de-sante/recherche/fiche-detaillee-B7c1lDU5OTa1.html</t>
  </si>
  <si>
    <t xml:space="preserve">10:00-13:00(R)&lt;br/&gt;</t>
  </si>
  <si>
    <t xml:space="preserve">14:00-16:30(R)&lt;br/&gt;</t>
  </si>
  <si>
    <t xml:space="preserve">152</t>
  </si>
  <si>
    <t xml:space="preserve">CAZERES</t>
  </si>
  <si>
    <t xml:space="preserve">56 RUE POUCHET</t>
  </si>
  <si>
    <t xml:space="preserve">01 46 27 03 30</t>
  </si>
  <si>
    <t xml:space="preserve">CAZERES JOSEPH#https://annuairesante.ameli.fr/professionnels-de-sante/recherche/fiche-detaillee-B7c1kTo4MjK0.html</t>
  </si>
  <si>
    <t xml:space="preserve">RUE POUCHET</t>
  </si>
  <si>
    <t xml:space="preserve">LUGO</t>
  </si>
  <si>
    <t xml:space="preserve">01 46 27 36 60</t>
  </si>
  <si>
    <t xml:space="preserve">LUGO SEGOLENE#https://annuairesante.ameli.fr/professionnels-de-sante/recherche/fiche-detaillee-B7c1kjE2MTS7.html</t>
  </si>
  <si>
    <t xml:space="preserve">83 AVENUE DE CLICHY</t>
  </si>
  <si>
    <t xml:space="preserve">01 46 27 27 33</t>
  </si>
  <si>
    <t xml:space="preserve">HADDAD VICTOR#https://annuairesante.ameli.fr/professionnels-de-sante/recherche/fiche-detaillee-B7c1ljMwMzWw.html</t>
  </si>
  <si>
    <t xml:space="preserve">AVENUE DE CLICHY</t>
  </si>
  <si>
    <t xml:space="preserve">83</t>
  </si>
  <si>
    <t xml:space="preserve">CHEVET</t>
  </si>
  <si>
    <t xml:space="preserve">2 RUE FRANCIS GARNIER</t>
  </si>
  <si>
    <t xml:space="preserve">CHEVET LIONEL#https://annuairesante.ameli.fr/professionnels-de-sante/recherche/fiche-detaillee-B7c1mjA3MTO0.html</t>
  </si>
  <si>
    <t xml:space="preserve">RUE FRANCIS GARNIER</t>
  </si>
  <si>
    <t xml:space="preserve">GENTHIAL</t>
  </si>
  <si>
    <t xml:space="preserve">26 RUE NOLLET</t>
  </si>
  <si>
    <t xml:space="preserve">01 42 93 14 72</t>
  </si>
  <si>
    <t xml:space="preserve">GENTHIAL YVES#https://annuairesante.ameli.fr/professionnels-de-sante/recherche/fiche-detaillee-B7c1ljQxNTG0.html</t>
  </si>
  <si>
    <t xml:space="preserve">RUE NOLLET</t>
  </si>
  <si>
    <t xml:space="preserve">RANDRIANJAFINIMANANA</t>
  </si>
  <si>
    <t xml:space="preserve">NORO</t>
  </si>
  <si>
    <t xml:space="preserve">63 RUE NOLLET</t>
  </si>
  <si>
    <t xml:space="preserve">01 42 63 98 18</t>
  </si>
  <si>
    <t xml:space="preserve">RANDRIANJAFINIMANANA NORO#https://annuairesante.ameli.fr/professionnels-de-sante/recherche/fiche-detaillee-B7c1lzQ5ODe6.html</t>
  </si>
  <si>
    <t xml:space="preserve">63</t>
  </si>
  <si>
    <t xml:space="preserve">DUBRUJEAUD</t>
  </si>
  <si>
    <t xml:space="preserve">GAEL</t>
  </si>
  <si>
    <t xml:space="preserve">20 RUE LAUGIER</t>
  </si>
  <si>
    <t xml:space="preserve">01 40 54 89 18</t>
  </si>
  <si>
    <t xml:space="preserve">DUBRUJEAUD GAEL#https://annuairesante.ameli.fr/professionnels-de-sante/recherche/fiche-detaillee-B7c1lzYyNzq0.html</t>
  </si>
  <si>
    <t xml:space="preserve">09:00-11:00(R)&lt;br/&gt;</t>
  </si>
  <si>
    <t xml:space="preserve">16:00-20:00(R)&lt;br/&gt;</t>
  </si>
  <si>
    <t xml:space="preserve">VAN LAERE</t>
  </si>
  <si>
    <t xml:space="preserve">VAN LAERE MARTINE#https://annuairesante.ameli.fr/professionnels-de-sante/recherche/fiche-detaillee-B7c1ljM2Njuw.html</t>
  </si>
  <si>
    <t xml:space="preserve">CARON</t>
  </si>
  <si>
    <t xml:space="preserve">CARON NATHALIE#https://annuairesante.ameli.fr/professionnels-de-sante/recherche/fiche-detaillee-B7c1lDc2OTe6.html</t>
  </si>
  <si>
    <t xml:space="preserve">164</t>
  </si>
  <si>
    <t xml:space="preserve">01 48 88 26 37</t>
  </si>
  <si>
    <t xml:space="preserve">MIRAT BERTRAND#https://annuairesante.ameli.fr/professionnels-de-sante/recherche/fiche-detaillee-B7c1lTMyMjS2.html</t>
  </si>
  <si>
    <t xml:space="preserve">BOUADJILA</t>
  </si>
  <si>
    <t xml:space="preserve">5 RUE THEOPHILE DE BANVILLE</t>
  </si>
  <si>
    <t xml:space="preserve">01 46 22 66 39</t>
  </si>
  <si>
    <t xml:space="preserve">BOUADJILA MYRIAM#https://annuairesante.ameli.fr/professionnels-de-sante/recherche/fiche-detaillee-B7c1lDs5NTK1.html</t>
  </si>
  <si>
    <t xml:space="preserve">RUE THEOPHILE DE BANVILLE</t>
  </si>
  <si>
    <t xml:space="preserve">CROCHETON</t>
  </si>
  <si>
    <t xml:space="preserve">CROCHETON NICOLAS#https://annuairesante.ameli.fr/professionnels-de-sante/recherche/fiche-detaillee-B7c1lTMzMjqw.html</t>
  </si>
  <si>
    <t xml:space="preserve">9 RUE BRIDAINE</t>
  </si>
  <si>
    <t xml:space="preserve">09 61 29 50 34</t>
  </si>
  <si>
    <t xml:space="preserve">BERTHELOT LOUIS#https://annuairesante.ameli.fr/professionnels-de-sante/recherche/fiche-detaillee-B7c1lTc1NjK1.html</t>
  </si>
  <si>
    <t xml:space="preserve">RUE BRIDAINE</t>
  </si>
  <si>
    <t xml:space="preserve">KURTH</t>
  </si>
  <si>
    <t xml:space="preserve">71 RUE LEGENDRE</t>
  </si>
  <si>
    <t xml:space="preserve">01 42 28 42 26</t>
  </si>
  <si>
    <t xml:space="preserve">KURTH EVELYNE#https://annuairesante.ameli.fr/professionnels-de-sante/recherche/fiche-detaillee-B7c1lDI4NTCy.html</t>
  </si>
  <si>
    <t xml:space="preserve">71</t>
  </si>
  <si>
    <t xml:space="preserve">VAN DEN STEENE</t>
  </si>
  <si>
    <t xml:space="preserve">23 RUE BROCHANT</t>
  </si>
  <si>
    <t xml:space="preserve">01 44 85 19 00</t>
  </si>
  <si>
    <t xml:space="preserve">VAN DEN STEENE JEAN YVES#https://annuairesante.ameli.fr/professionnels-de-sante/recherche/fiche-detaillee-B7c1mzE4MDaw.html</t>
  </si>
  <si>
    <t xml:space="preserve">RUE BROCHANT</t>
  </si>
  <si>
    <t xml:space="preserve">CANDELLA</t>
  </si>
  <si>
    <t xml:space="preserve">CANDELLA SEBASTIEN#https://annuairesante.ameli.fr/professionnels-de-sante/recherche/fiche-detaillee-B7c1mjA0NTSx.html</t>
  </si>
  <si>
    <t xml:space="preserve">AMELINE</t>
  </si>
  <si>
    <t xml:space="preserve">20 RUE FOUCROY</t>
  </si>
  <si>
    <t xml:space="preserve">01 42 25 33 02</t>
  </si>
  <si>
    <t xml:space="preserve">AMELINE ISABELLE#https://annuairesante.ameli.fr/professionnels-de-sante/recherche/fiche-detaillee-B7c1lzQxNDW3.html</t>
  </si>
  <si>
    <t xml:space="preserve">RUE FOUCROY</t>
  </si>
  <si>
    <t xml:space="preserve">NGUYEN AUFFRAY</t>
  </si>
  <si>
    <t xml:space="preserve">THI</t>
  </si>
  <si>
    <t xml:space="preserve">92 AVENUE NIEL</t>
  </si>
  <si>
    <t xml:space="preserve">01 44 40 24 28</t>
  </si>
  <si>
    <t xml:space="preserve">NGUYEN AUFFRAY THI#https://annuairesante.ameli.fr/professionnels-de-sante/recherche/fiche-detaillee-B7c1lzM4NjW7.html</t>
  </si>
  <si>
    <t xml:space="preserve">92</t>
  </si>
  <si>
    <t xml:space="preserve">OUMAOUCHE</t>
  </si>
  <si>
    <t xml:space="preserve">SAID</t>
  </si>
  <si>
    <t xml:space="preserve">OUMAOUCHE SAID#https://annuairesante.ameli.fr/professionnels-de-sante/recherche/fiche-detaillee-B7c1mjA2Njax.html</t>
  </si>
  <si>
    <t xml:space="preserve">OGEREAU</t>
  </si>
  <si>
    <t xml:space="preserve">CARL</t>
  </si>
  <si>
    <t xml:space="preserve">4 AVENUE DES TERNES</t>
  </si>
  <si>
    <t xml:space="preserve">01 40 53 93 21</t>
  </si>
  <si>
    <t xml:space="preserve">OGEREAU CARL#https://annuairesante.ameli.fr/professionnels-de-sante/recherche/fiche-detaillee-B7c1lDs3ODK6.html</t>
  </si>
  <si>
    <t xml:space="preserve">DUMARET</t>
  </si>
  <si>
    <t xml:space="preserve">11B PASSAGE DOISY</t>
  </si>
  <si>
    <t xml:space="preserve">DUMARET JEANINE#https://annuairesante.ameli.fr/professionnels-de-sante/recherche/fiche-detaillee-B7c1lDo3OTO0.html</t>
  </si>
  <si>
    <t xml:space="preserve">TACONET</t>
  </si>
  <si>
    <t xml:space="preserve">TACONET ROGER#https://annuairesante.ameli.fr/professionnels-de-sante/recherche/fiche-detaillee-B7c1kzYwMTOy.html</t>
  </si>
  <si>
    <t xml:space="preserve">TUBIANA</t>
  </si>
  <si>
    <t xml:space="preserve">27 AVENUE MAC MAHON</t>
  </si>
  <si>
    <t xml:space="preserve">06 48 55 21 95</t>
  </si>
  <si>
    <t xml:space="preserve">TUBIANA JOELLE#https://annuairesante.ameli.fr/professionnels-de-sante/recherche/fiche-detaillee-B7c1mzcxNDa3.html</t>
  </si>
  <si>
    <t xml:space="preserve">08:30-13:30(R)&lt;br/&gt;</t>
  </si>
  <si>
    <t xml:space="preserve">27</t>
  </si>
  <si>
    <t xml:space="preserve">GRAND VINCENT</t>
  </si>
  <si>
    <t xml:space="preserve">97 AVENUE DE VILLIERS</t>
  </si>
  <si>
    <t xml:space="preserve">01 53 23 94 08</t>
  </si>
  <si>
    <t xml:space="preserve">GRAND VINCENT ANNE#https://annuairesante.ameli.fr/professionnels-de-sante/recherche/fiche-detaillee-B7c1lDo4NzCy.html</t>
  </si>
  <si>
    <t xml:space="preserve">97</t>
  </si>
  <si>
    <t xml:space="preserve">35 RUE LEMERCIER</t>
  </si>
  <si>
    <t xml:space="preserve">01 45 22 97 90</t>
  </si>
  <si>
    <t xml:space="preserve">COHEN OLIVIER#https://annuairesante.ameli.fr/professionnels-de-sante/recherche/fiche-detaillee-B7c1ljYwNjax.html</t>
  </si>
  <si>
    <t xml:space="preserve">RUE LEMERCIER</t>
  </si>
  <si>
    <t xml:space="preserve">35</t>
  </si>
  <si>
    <t xml:space="preserve">DANHACHE</t>
  </si>
  <si>
    <t xml:space="preserve">BUTHAINA</t>
  </si>
  <si>
    <t xml:space="preserve">162 BOULEVARD BERTHIER</t>
  </si>
  <si>
    <t xml:space="preserve">DANHACHE BUTHAINA#https://annuairesante.ameli.fr/professionnels-de-sante/recherche/fiche-detaillee-B7c1lDczMjCx.html</t>
  </si>
  <si>
    <t xml:space="preserve">10:10-14:00(R)&lt;br/&gt;</t>
  </si>
  <si>
    <t xml:space="preserve">162</t>
  </si>
  <si>
    <t xml:space="preserve">LAZIB</t>
  </si>
  <si>
    <t xml:space="preserve">4 RUE COLLETTE</t>
  </si>
  <si>
    <t xml:space="preserve">01 48 74 37 66</t>
  </si>
  <si>
    <t xml:space="preserve">LAZIB NADIA#https://annuairesante.ameli.fr/professionnels-de-sante/recherche/fiche-detaillee-B7c1lDUxMTKy.html</t>
  </si>
  <si>
    <t xml:space="preserve">RUE COLLETTE</t>
  </si>
  <si>
    <t xml:space="preserve">ARCANGIOLI</t>
  </si>
  <si>
    <t xml:space="preserve">ARCANGIOLI EMILIE#https://annuairesante.ameli.fr/professionnels-de-sante/recherche/fiche-detaillee-B7c1kzY1MDO3.html</t>
  </si>
  <si>
    <t xml:space="preserve">07:30-14:00(?)&lt;br/&gt;</t>
  </si>
  <si>
    <t xml:space="preserve">14:00-20:00(?)&lt;br/&gt;</t>
  </si>
  <si>
    <t xml:space="preserve">81</t>
  </si>
  <si>
    <t xml:space="preserve">HO SI</t>
  </si>
  <si>
    <t xml:space="preserve">NGAN</t>
  </si>
  <si>
    <t xml:space="preserve">HO SI NGAN#https://annuairesante.ameli.fr/professionnels-de-sante/recherche/fiche-detaillee-B7c1lDE1MTSx.html</t>
  </si>
  <si>
    <t xml:space="preserve">11:00-14:00(R)&lt;br/&gt;</t>
  </si>
  <si>
    <t xml:space="preserve">LEBON</t>
  </si>
  <si>
    <t xml:space="preserve">82 RUE LEMERCIER</t>
  </si>
  <si>
    <t xml:space="preserve">01 46 27 79 98</t>
  </si>
  <si>
    <t xml:space="preserve">LEBON RENE#https://annuairesante.ameli.fr/professionnels-de-sante/recherche/fiche-detaillee-B7c1lDM3NDS1.html</t>
  </si>
  <si>
    <t xml:space="preserve">10:40-11:40(R)&lt;br/&gt;</t>
  </si>
  <si>
    <t xml:space="preserve">SARPDAG</t>
  </si>
  <si>
    <t xml:space="preserve">SEYAHAT</t>
  </si>
  <si>
    <t xml:space="preserve">34 RUE POUCHET</t>
  </si>
  <si>
    <t xml:space="preserve">01 42 26 36 30</t>
  </si>
  <si>
    <t xml:space="preserve">SARPDAG SEYAHAT#https://annuairesante.ameli.fr/professionnels-de-sante/recherche/fiche-detaillee-B7c1mzYwMDq7.html</t>
  </si>
  <si>
    <t xml:space="preserve">LANTZ</t>
  </si>
  <si>
    <t xml:space="preserve">101 RUE NOLLET</t>
  </si>
  <si>
    <t xml:space="preserve">09 81 88 44 11</t>
  </si>
  <si>
    <t xml:space="preserve">LANTZ DIANE#https://annuairesante.ameli.fr/professionnels-de-sante/recherche/fiche-detaillee-B7c1kjExMDGw.html</t>
  </si>
  <si>
    <t xml:space="preserve">101</t>
  </si>
  <si>
    <t xml:space="preserve">DU BREUIL HELION DE LA GU</t>
  </si>
  <si>
    <t xml:space="preserve">DU BREUIL HELION DE LA GU FLORENCE#https://annuairesante.ameli.fr/professionnels-de-sante/recherche/fiche-detaillee-B7c1kjU0ODG7.html</t>
  </si>
  <si>
    <t xml:space="preserve">MRAD</t>
  </si>
  <si>
    <t xml:space="preserve">SANAA</t>
  </si>
  <si>
    <t xml:space="preserve">40 AVENUE DE LA GRANDE ARMEE</t>
  </si>
  <si>
    <t xml:space="preserve">09 50 66 20 17</t>
  </si>
  <si>
    <t xml:space="preserve">MRAD SANAA#https://annuairesante.ameli.fr/professionnels-de-sante/recherche/fiche-detaillee-B7c1mzE0NjW1.html</t>
  </si>
  <si>
    <t xml:space="preserve">DABON</t>
  </si>
  <si>
    <t xml:space="preserve">4 RUE GEORGES BERGER</t>
  </si>
  <si>
    <t xml:space="preserve">01 42 67 72 00</t>
  </si>
  <si>
    <t xml:space="preserve">DABON PHILIPPE#https://annuairesante.ameli.fr/professionnels-de-sante/recherche/fiche-detaillee-B7c1lDE2NzW6.html</t>
  </si>
  <si>
    <t xml:space="preserve">THERRIE</t>
  </si>
  <si>
    <t xml:space="preserve">MARIE SOPHIE</t>
  </si>
  <si>
    <t xml:space="preserve">6 VILLA MONCEAU</t>
  </si>
  <si>
    <t xml:space="preserve">06 87 42 25 71</t>
  </si>
  <si>
    <t xml:space="preserve">THERRIE MARIE SOPHIE#https://annuairesante.ameli.fr/professionnels-de-sante/recherche/fiche-detaillee-B7c1mzczODWy.html</t>
  </si>
  <si>
    <t xml:space="preserve">PISON DUMEUR</t>
  </si>
  <si>
    <t xml:space="preserve">DOROTHEE</t>
  </si>
  <si>
    <t xml:space="preserve">2 RUE DES DARDANELLES</t>
  </si>
  <si>
    <t xml:space="preserve">07 82 65 80 97</t>
  </si>
  <si>
    <t xml:space="preserve">PISON DUMEUR DOROTHEE#https://annuairesante.ameli.fr/professionnels-de-sante/recherche/fiche-detaillee-B7c1lzQ2MzWz.html</t>
  </si>
  <si>
    <t xml:space="preserve">RUE DES DARDANELLES</t>
  </si>
  <si>
    <t xml:space="preserve">MARQUES</t>
  </si>
  <si>
    <t xml:space="preserve">01 46 27 87 27</t>
  </si>
  <si>
    <t xml:space="preserve">MARQUES PHILIPPE#https://annuairesante.ameli.fr/professionnels-de-sante/recherche/fiche-detaillee-B7c1lDIxMja6.html</t>
  </si>
  <si>
    <t xml:space="preserve">MIRALLES</t>
  </si>
  <si>
    <t xml:space="preserve">33 RUE DE CHAZELLES</t>
  </si>
  <si>
    <t xml:space="preserve">01 43 59 32 55</t>
  </si>
  <si>
    <t xml:space="preserve">MIRALLES LAURENT#https://annuairesante.ameli.fr/professionnels-de-sante/recherche/fiche-detaillee-B7c1lTIyNjCy.html</t>
  </si>
  <si>
    <t xml:space="preserve">BORACH</t>
  </si>
  <si>
    <t xml:space="preserve">38 RUE JOUFFROY D ABBANS</t>
  </si>
  <si>
    <t xml:space="preserve">BORACH MARIANNE#https://annuairesante.ameli.fr/professionnels-de-sante/recherche/fiche-detaillee-B7c1mjA2Njey.html</t>
  </si>
  <si>
    <t xml:space="preserve">KRAIF MIMOUN</t>
  </si>
  <si>
    <t xml:space="preserve">EVA</t>
  </si>
  <si>
    <t xml:space="preserve">10 RUE ANATOLE DE LA FORGE</t>
  </si>
  <si>
    <t xml:space="preserve">01 45 72 06 60</t>
  </si>
  <si>
    <t xml:space="preserve">KRAIF MIMOUN EVA#https://annuairesante.ameli.fr/professionnels-de-sante/recherche/fiche-detaillee-B7c1lTMyODG3.html</t>
  </si>
  <si>
    <t xml:space="preserve">BERNASCONI</t>
  </si>
  <si>
    <t xml:space="preserve">01 48 88 25 25</t>
  </si>
  <si>
    <t xml:space="preserve">BERNASCONI JULIEN#https://annuairesante.ameli.fr/professionnels-de-sante/recherche/fiche-detaillee-B7c1lTA3ODq0.html</t>
  </si>
  <si>
    <t xml:space="preserve">60 RUE DAVY</t>
  </si>
  <si>
    <t xml:space="preserve">01 42 63 14 02</t>
  </si>
  <si>
    <t xml:space="preserve">GODARD BRUNO#https://annuairesante.ameli.fr/professionnels-de-sante/recherche/fiche-detaillee-B7c1lzIxMzO3.html</t>
  </si>
  <si>
    <t xml:space="preserve">RUE DAVY</t>
  </si>
  <si>
    <t xml:space="preserve">SARA</t>
  </si>
  <si>
    <t xml:space="preserve">6 RUE MARIOTTE</t>
  </si>
  <si>
    <t xml:space="preserve">01 83 64 27 59</t>
  </si>
  <si>
    <t xml:space="preserve">ELBAZ SARA#https://annuairesante.ameli.fr/professionnels-de-sante/recherche/fiche-detaillee-B7c1kjU0NjO3.html</t>
  </si>
  <si>
    <t xml:space="preserve">RUE MARIOTTE</t>
  </si>
  <si>
    <t xml:space="preserve">FELDHANDLER</t>
  </si>
  <si>
    <t xml:space="preserve">4 RUE DES DAMES</t>
  </si>
  <si>
    <t xml:space="preserve">01 42 93 13 33</t>
  </si>
  <si>
    <t xml:space="preserve">FELDHANDLER PATRICK#https://annuairesante.ameli.fr/professionnels-de-sante/recherche/fiche-detaillee-B7c1ljU2MTG2.html</t>
  </si>
  <si>
    <t xml:space="preserve">13:20-14:00(R)&lt;br/&gt;</t>
  </si>
  <si>
    <t xml:space="preserve">10:00-11:40(R)&lt;br/&gt;</t>
  </si>
  <si>
    <t xml:space="preserve">DJAMA</t>
  </si>
  <si>
    <t xml:space="preserve">34 RUE LAUGIER</t>
  </si>
  <si>
    <t xml:space="preserve">01 47 63 18 71</t>
  </si>
  <si>
    <t xml:space="preserve">DJAMA SERGE#https://annuairesante.ameli.fr/professionnels-de-sante/recherche/fiche-detaillee-B7c1kTE2MTK0.html</t>
  </si>
  <si>
    <t xml:space="preserve">MESSAOUDI</t>
  </si>
  <si>
    <t xml:space="preserve">LAREM</t>
  </si>
  <si>
    <t xml:space="preserve">13 RUE COLLETTE</t>
  </si>
  <si>
    <t xml:space="preserve">06 14 05 26 62</t>
  </si>
  <si>
    <t xml:space="preserve">MESSAOUDI LAREM#https://annuairesante.ameli.fr/professionnels-de-sante/recherche/fiche-detaillee-B7c1mjAzMjCw.html</t>
  </si>
  <si>
    <t xml:space="preserve">SEBAOU ISRAEL</t>
  </si>
  <si>
    <t xml:space="preserve">85 RUE PIERRE DEMOURS</t>
  </si>
  <si>
    <t xml:space="preserve">01 44 29 79 85</t>
  </si>
  <si>
    <t xml:space="preserve">SEBAOU ISRAEL MICHELE#https://annuairesante.ameli.fr/professionnels-de-sante/recherche/fiche-detaillee-B7c1mzE4Mzu6.html</t>
  </si>
  <si>
    <t xml:space="preserve">ATHIAS KRIEF</t>
  </si>
  <si>
    <t xml:space="preserve">01 44 94 03 82</t>
  </si>
  <si>
    <t xml:space="preserve">ATHIAS KRIEF LEA#https://annuairesante.ameli.fr/professionnels-de-sante/recherche/fiche-detaillee-B7c1kzEyODOy.html</t>
  </si>
  <si>
    <t xml:space="preserve">76 RUE NOLLET</t>
  </si>
  <si>
    <t xml:space="preserve">BLOCH DEBORAH#https://annuairesante.ameli.fr/professionnels-de-sante/recherche/fiche-detaillee-B7c1kjUxMjq3.html</t>
  </si>
  <si>
    <t xml:space="preserve">ZERMATI</t>
  </si>
  <si>
    <t xml:space="preserve">7 RUE DE ST SENOCH</t>
  </si>
  <si>
    <t xml:space="preserve">ZERMATI JEAN PHILIPPE#https://annuairesante.ameli.fr/professionnels-de-sante/recherche/fiche-detaillee-B7c1lTA4OTSx.html</t>
  </si>
  <si>
    <t xml:space="preserve">RUE DE ST SENOCH</t>
  </si>
  <si>
    <t xml:space="preserve">111 AVENUE DE CLICHY</t>
  </si>
  <si>
    <t xml:space="preserve">01 46 27 75 15</t>
  </si>
  <si>
    <t xml:space="preserve">CHICHE PATRICK#https://annuairesante.ameli.fr/professionnels-de-sante/recherche/fiche-detaillee-B7c1lzA0NTez.html</t>
  </si>
  <si>
    <t xml:space="preserve">111</t>
  </si>
  <si>
    <t xml:space="preserve">AVRANE</t>
  </si>
  <si>
    <t xml:space="preserve">AVRANE JEAN JACQUES#https://annuairesante.ameli.fr/professionnels-de-sante/recherche/fiche-detaillee-B7c1mjA1OTSw.html</t>
  </si>
  <si>
    <t xml:space="preserve">23 RUE J LECLAIRE</t>
  </si>
  <si>
    <t xml:space="preserve">01 46 27 66 74</t>
  </si>
  <si>
    <t xml:space="preserve">UZAN PIERRE ALAIN#https://annuairesante.ameli.fr/professionnels-de-sante/recherche/fiche-detaillee-B7c1lDQ0NjSw.html</t>
  </si>
  <si>
    <t xml:space="preserve">10:00-12:00(L)&lt;br/&gt;</t>
  </si>
  <si>
    <t xml:space="preserve">16:30-19:00(L)&lt;br/&gt;</t>
  </si>
  <si>
    <t xml:space="preserve">14:00-16:00(L)&lt;br/&gt;17:30-19:00(R)&lt;br/&gt;</t>
  </si>
  <si>
    <t xml:space="preserve">09:00-12:30(D)&lt;br/&gt;</t>
  </si>
  <si>
    <t xml:space="preserve">RUE J LECLAIRE</t>
  </si>
  <si>
    <t xml:space="preserve">SENANEDJ</t>
  </si>
  <si>
    <t xml:space="preserve">SENANEDJ NATHALIE#https://annuairesante.ameli.fr/professionnels-de-sante/recherche/fiche-detaillee-B7c1lDUwMzSx.html</t>
  </si>
  <si>
    <t xml:space="preserve">VELTER</t>
  </si>
  <si>
    <t xml:space="preserve">16 RUE DE LA JONQUIERE</t>
  </si>
  <si>
    <t xml:space="preserve">01 42 29 99 80</t>
  </si>
  <si>
    <t xml:space="preserve">VELTER MARC#https://annuairesante.ameli.fr/professionnels-de-sante/recherche/fiche-detaillee-B7c1lDMxMjSw.html</t>
  </si>
  <si>
    <t xml:space="preserve">12:00-13:00(D)&lt;br/&gt;10:00-12:00(R)&lt;br/&gt;</t>
  </si>
  <si>
    <t xml:space="preserve">16:00-19:00(R)&lt;br/&gt;</t>
  </si>
  <si>
    <t xml:space="preserve">RUE DE LA JONQUIERE</t>
  </si>
  <si>
    <t xml:space="preserve">BELLI</t>
  </si>
  <si>
    <t xml:space="preserve">38 RUE DES MOINES</t>
  </si>
  <si>
    <t xml:space="preserve">01 46 27 44 24</t>
  </si>
  <si>
    <t xml:space="preserve">BELLI EVELYNE#https://annuairesante.ameli.fr/professionnels-de-sante/recherche/fiche-detaillee-B7c1lzE5NDe3.html</t>
  </si>
  <si>
    <t xml:space="preserve">RUE DES MOINES</t>
  </si>
  <si>
    <t xml:space="preserve">MOUSSEIGNE</t>
  </si>
  <si>
    <t xml:space="preserve">11B AVENUE CARNOT</t>
  </si>
  <si>
    <t xml:space="preserve">06 07 50 24 15</t>
  </si>
  <si>
    <t xml:space="preserve">MOUSSEIGNE BRUNO#https://annuairesante.ameli.fr/professionnels-de-sante/recherche/fiche-detaillee-B7c1lTAxOTOx.html</t>
  </si>
  <si>
    <t xml:space="preserve">9 RUE BRUNEL</t>
  </si>
  <si>
    <t xml:space="preserve">BISMUTH PATRICK#https://annuairesante.ameli.fr/professionnels-de-sante/recherche/fiche-detaillee-B7c1lzIzODu7.html</t>
  </si>
  <si>
    <t xml:space="preserve">LE BERRE</t>
  </si>
  <si>
    <t xml:space="preserve">LE BERRE ANNE#https://annuairesante.ameli.fr/professionnels-de-sante/recherche/fiche-detaillee-B7c1lTMzMjuy.html</t>
  </si>
  <si>
    <t xml:space="preserve">GAUTIER GENTES</t>
  </si>
  <si>
    <t xml:space="preserve">93 BOULEVARD BERTHIER</t>
  </si>
  <si>
    <t xml:space="preserve">06 15 55 11 37</t>
  </si>
  <si>
    <t xml:space="preserve">GAUTIER GENTES PIERRE#https://annuairesante.ameli.fr/professionnels-de-sante/recherche/fiche-detaillee-B7c1lTA5MDWw.html</t>
  </si>
  <si>
    <t xml:space="preserve">93</t>
  </si>
  <si>
    <t xml:space="preserve">CIVIT</t>
  </si>
  <si>
    <t xml:space="preserve">21 RUE BIOT</t>
  </si>
  <si>
    <t xml:space="preserve">01 45 22 44 43</t>
  </si>
  <si>
    <t xml:space="preserve">CIVIT PHILIPPE#https://annuairesante.ameli.fr/professionnels-de-sante/recherche/fiche-detaillee-B7c1ljc3MTCy.html</t>
  </si>
  <si>
    <t xml:space="preserve">RUE BIOT</t>
  </si>
  <si>
    <t xml:space="preserve">SAMAMA</t>
  </si>
  <si>
    <t xml:space="preserve">SAMAMA JULIEN#https://annuairesante.ameli.fr/professionnels-de-sante/recherche/fiche-detaillee-B7c1lTAyNzey.html</t>
  </si>
  <si>
    <t xml:space="preserve">MOLINARI</t>
  </si>
  <si>
    <t xml:space="preserve">MOLINARI JULIA#https://annuairesante.ameli.fr/professionnels-de-sante/recherche/fiche-detaillee-B7c1kjoxMTS7.html</t>
  </si>
  <si>
    <t xml:space="preserve">16 BOULEVARD BESSIERES</t>
  </si>
  <si>
    <t xml:space="preserve">01 46 27 62 88</t>
  </si>
  <si>
    <t xml:space="preserve">SANDRA CAMILLE#https://annuairesante.ameli.fr/professionnels-de-sante/recherche/fiche-detaillee-B7c1lzIyMjez.html</t>
  </si>
  <si>
    <t xml:space="preserve">BOULEVARD BESSIERES</t>
  </si>
  <si>
    <t xml:space="preserve">DE GOURSAC</t>
  </si>
  <si>
    <t xml:space="preserve">81 AVENUE NIEL</t>
  </si>
  <si>
    <t xml:space="preserve">01 47 54 93 20</t>
  </si>
  <si>
    <t xml:space="preserve">DE GOURSAC CATHERINE#https://annuairesante.ameli.fr/professionnels-de-sante/recherche/fiche-detaillee-B7c1lTAzODW1.html</t>
  </si>
  <si>
    <t xml:space="preserve">MARTEAU</t>
  </si>
  <si>
    <t xml:space="preserve">MARTEAU STEPHANIE#https://annuairesante.ameli.fr/professionnels-de-sante/recherche/fiche-detaillee-B7c1kjQ0MDOw.html</t>
  </si>
  <si>
    <t xml:space="preserve">GABSI</t>
  </si>
  <si>
    <t xml:space="preserve">STERNA</t>
  </si>
  <si>
    <t xml:space="preserve">3 RUE LEON COGNIET</t>
  </si>
  <si>
    <t xml:space="preserve">07 56 82 43 68</t>
  </si>
  <si>
    <t xml:space="preserve">GABSI STERNA#https://annuairesante.ameli.fr/professionnels-de-sante/recherche/fiche-detaillee-B7c1kzc2NDK3.html</t>
  </si>
  <si>
    <t xml:space="preserve">BOCLET</t>
  </si>
  <si>
    <t xml:space="preserve">23 AVENUE NIEL</t>
  </si>
  <si>
    <t xml:space="preserve">01 84 83 14 00</t>
  </si>
  <si>
    <t xml:space="preserve">BOCLET FATIMA#https://annuairesante.ameli.fr/professionnels-de-sante/recherche/fiche-detaillee-B7c1lTY2Mzu3.html</t>
  </si>
  <si>
    <t xml:space="preserve">CHELAH</t>
  </si>
  <si>
    <t xml:space="preserve">26 RUE BOURSAULT</t>
  </si>
  <si>
    <t xml:space="preserve">01 45 22 96 26</t>
  </si>
  <si>
    <t xml:space="preserve">CHELAH CELIA#https://annuairesante.ameli.fr/professionnels-de-sante/recherche/fiche-detaillee-B7c1mzY1MDuz.html</t>
  </si>
  <si>
    <t xml:space="preserve">07:30-8:30(R)&lt;br/&gt;</t>
  </si>
  <si>
    <t xml:space="preserve">17:45-19:30(R)&lt;br/&gt;</t>
  </si>
  <si>
    <t xml:space="preserve">RUE BOURSAULT</t>
  </si>
  <si>
    <t xml:space="preserve">MAC DONALD</t>
  </si>
  <si>
    <t xml:space="preserve">MARIE LAURENCE</t>
  </si>
  <si>
    <t xml:space="preserve">78 AVENUE DE LA GRANDE ARMEE</t>
  </si>
  <si>
    <t xml:space="preserve">01 45 74 15 05</t>
  </si>
  <si>
    <t xml:space="preserve">MAC DONALD MARIE LAURENCE#https://annuairesante.ameli.fr/professionnels-de-sante/recherche/fiche-detaillee-B7c1lDE1ODS0.html</t>
  </si>
  <si>
    <t xml:space="preserve">LEPARC</t>
  </si>
  <si>
    <t xml:space="preserve">22 RUE LAUGIER</t>
  </si>
  <si>
    <t xml:space="preserve">01 42 88 44 71</t>
  </si>
  <si>
    <t xml:space="preserve">LEPARC PIERRE#https://annuairesante.ameli.fr/professionnels-de-sante/recherche/fiche-detaillee-B7c1ljYyODq6.html</t>
  </si>
  <si>
    <t xml:space="preserve">JAVOY</t>
  </si>
  <si>
    <t xml:space="preserve">JAVOY PATRICK#https://annuairesante.ameli.fr/professionnels-de-sante/recherche/fiche-detaillee-B7c1mzE1MDC1.html</t>
  </si>
  <si>
    <t xml:space="preserve">DARRICAU</t>
  </si>
  <si>
    <t xml:space="preserve">DARRICAU SEVERINE#https://annuairesante.ameli.fr/professionnels-de-sante/recherche/fiche-detaillee-B7c1lTMyNDK3.html</t>
  </si>
  <si>
    <t xml:space="preserve">CHANSARD</t>
  </si>
  <si>
    <t xml:space="preserve">CHANSARD PASCAL#https://annuairesante.ameli.fr/professionnels-de-sante/recherche/fiche-detaillee-B7c1mjA4NjS2.html</t>
  </si>
  <si>
    <t xml:space="preserve">LECOEUR</t>
  </si>
  <si>
    <t xml:space="preserve">LECOEUR HERVE#https://annuairesante.ameli.fr/professionnels-de-sante/recherche/fiche-detaillee-B7c1mjMwNje2.html</t>
  </si>
  <si>
    <t xml:space="preserve">BOURADA</t>
  </si>
  <si>
    <t xml:space="preserve">BOURADA KARIM#https://annuairesante.ameli.fr/professionnels-de-sante/recherche/fiche-detaillee-B7c1mjA2ODe6.html</t>
  </si>
  <si>
    <t xml:space="preserve">SCIALOM</t>
  </si>
  <si>
    <t xml:space="preserve">8 AVENUE DES TERNES</t>
  </si>
  <si>
    <t xml:space="preserve">SCIALOM JEAN CLAUDE#https://annuairesante.ameli.fr/professionnels-de-sante/recherche/fiche-detaillee-B7c1lTY1NzCx.html</t>
  </si>
  <si>
    <t xml:space="preserve">GONDON</t>
  </si>
  <si>
    <t xml:space="preserve">GONDON GENEVIEVE#https://annuairesante.ameli.fr/professionnels-de-sante/recherche/fiche-detaillee-B7c1lDQwNDe3.html</t>
  </si>
  <si>
    <t xml:space="preserve">88</t>
  </si>
  <si>
    <t xml:space="preserve">MILLET</t>
  </si>
  <si>
    <t xml:space="preserve">01 46 27 61 58</t>
  </si>
  <si>
    <t xml:space="preserve">MILLET JEAN FRANCOIS#https://annuairesante.ameli.fr/professionnels-de-sante/recherche/fiche-detaillee-B7c1kTI3NTWw.html</t>
  </si>
  <si>
    <t xml:space="preserve">KHEMIS</t>
  </si>
  <si>
    <t xml:space="preserve">31 RUE JOUFFROY D'ABBANS</t>
  </si>
  <si>
    <t xml:space="preserve">KHEMIS JEAN#https://annuairesante.ameli.fr/professionnels-de-sante/recherche/fiche-detaillee-B7c1mjA0MTaw.html</t>
  </si>
  <si>
    <t xml:space="preserve">RUE JOUFFROY D'ABBANS</t>
  </si>
  <si>
    <t xml:space="preserve">BENSALEM</t>
  </si>
  <si>
    <t xml:space="preserve">REBIHA</t>
  </si>
  <si>
    <t xml:space="preserve">21 RUE 21 RUE DE CHAZELLES</t>
  </si>
  <si>
    <t xml:space="preserve">01 64 43 43 00</t>
  </si>
  <si>
    <t xml:space="preserve">BENSALEM REBIHA#https://annuairesante.ameli.fr/professionnels-de-sante/recherche/fiche-detaillee-B7c1lTA3ODu2.html</t>
  </si>
  <si>
    <t xml:space="preserve">RUE 21 RUE DE CHAZELLES</t>
  </si>
  <si>
    <t xml:space="preserve">AGBOJAN</t>
  </si>
  <si>
    <t xml:space="preserve">MELIA MARINE</t>
  </si>
  <si>
    <t xml:space="preserve">58 RUE DAVY</t>
  </si>
  <si>
    <t xml:space="preserve">AGBOJAN MELIA MARINE#https://annuairesante.ameli.fr/professionnels-de-sante/recherche/fiche-detaillee-B7c1kjA1MTe7.html</t>
  </si>
  <si>
    <t xml:space="preserve">09:00-13:30(R)&lt;br/&gt;</t>
  </si>
  <si>
    <t xml:space="preserve">14:30-19:30(R)&lt;br/&gt;</t>
  </si>
  <si>
    <t xml:space="preserve">58</t>
  </si>
  <si>
    <t xml:space="preserve">7 RUE BRUNEL</t>
  </si>
  <si>
    <t xml:space="preserve">TORDJMAN LAETITIA#https://annuairesante.ameli.fr/professionnels-de-sante/recherche/fiche-detaillee-B7c1kjQwNTC2.html</t>
  </si>
  <si>
    <t xml:space="preserve">26 RUE DAUBIGNY</t>
  </si>
  <si>
    <t xml:space="preserve">01 43 80 32 37</t>
  </si>
  <si>
    <t xml:space="preserve">PELISSIER VINCENT#https://annuairesante.ameli.fr/professionnels-de-sante/recherche/fiche-detaillee-B7c1lzAyNjWz.html</t>
  </si>
  <si>
    <t xml:space="preserve">MUSSI</t>
  </si>
  <si>
    <t xml:space="preserve">01 43 20 76 66</t>
  </si>
  <si>
    <t xml:space="preserve">MUSSI ROGER#https://annuairesante.ameli.fr/professionnels-de-sante/recherche/fiche-detaillee-B7c1lzUyNjS6.html</t>
  </si>
  <si>
    <t xml:space="preserve">JENNY</t>
  </si>
  <si>
    <t xml:space="preserve">01 42 12 03 55</t>
  </si>
  <si>
    <t xml:space="preserve">SEROR JENNY#https://annuairesante.ameli.fr/professionnels-de-sante/recherche/fiche-detaillee-B7c1lDIzODGy.html</t>
  </si>
  <si>
    <t xml:space="preserve">39</t>
  </si>
  <si>
    <t xml:space="preserve">ROCHEREAU</t>
  </si>
  <si>
    <t xml:space="preserve">01 80 98 99 99</t>
  </si>
  <si>
    <t xml:space="preserve">ROCHEREAU BRIGITTE#https://annuairesante.ameli.fr/professionnels-de-sante/recherche/fiche-detaillee-B7c1mjAzMDO0.html</t>
  </si>
  <si>
    <t xml:space="preserve">DE ROUX</t>
  </si>
  <si>
    <t xml:space="preserve">TIPHAINE</t>
  </si>
  <si>
    <t xml:space="preserve">01 45 78 01 18</t>
  </si>
  <si>
    <t xml:space="preserve">DE ROUX TIPHAINE#https://annuairesante.ameli.fr/professionnels-de-sante/recherche/fiche-detaillee-B7c1kjo2Mjq7.html</t>
  </si>
  <si>
    <t xml:space="preserve">SZMUKLER</t>
  </si>
  <si>
    <t xml:space="preserve">IGNACE</t>
  </si>
  <si>
    <t xml:space="preserve">22 PLACE DU GENERAL CATROUX</t>
  </si>
  <si>
    <t xml:space="preserve">01 47 63 23 23</t>
  </si>
  <si>
    <t xml:space="preserve">SZMUKLER IGNACE#https://annuairesante.ameli.fr/professionnels-de-sante/recherche/fiche-detaillee-B7c1lDE1NDW6.html</t>
  </si>
  <si>
    <t xml:space="preserve">19 RUE LANTIEZ</t>
  </si>
  <si>
    <t xml:space="preserve">01 46 27 27 47</t>
  </si>
  <si>
    <t xml:space="preserve">THUAIRE ALAIN#https://annuairesante.ameli.fr/professionnels-de-sante/recherche/fiche-detaillee-B7c1kTcwMza1.html</t>
  </si>
  <si>
    <t xml:space="preserve">RUE LANTIEZ</t>
  </si>
  <si>
    <t xml:space="preserve">SAVIGNY</t>
  </si>
  <si>
    <t xml:space="preserve">SAVIGNY ALEXIS#https://annuairesante.ameli.fr/professionnels-de-sante/recherche/fiche-detaillee-B7c1lDU4OTq0.html</t>
  </si>
  <si>
    <t xml:space="preserve">ASSAYAG GANEM</t>
  </si>
  <si>
    <t xml:space="preserve">YAEL</t>
  </si>
  <si>
    <t xml:space="preserve">ASSAYAG GANEM YAEL#https://annuairesante.ameli.fr/professionnels-de-sante/recherche/fiche-detaillee-B7c1lDswMzOw.html</t>
  </si>
  <si>
    <t xml:space="preserve">LAM NGOC</t>
  </si>
  <si>
    <t xml:space="preserve">16 PLACE CHARLES FILLION</t>
  </si>
  <si>
    <t xml:space="preserve">01 42 63 88 58</t>
  </si>
  <si>
    <t xml:space="preserve">LAM NGOC CHRISTINE#https://annuairesante.ameli.fr/professionnels-de-sante/recherche/fiche-detaillee-B7c1lzA4Mjqy.html</t>
  </si>
  <si>
    <t xml:space="preserve">PLACE CHARLES FILLION</t>
  </si>
  <si>
    <t xml:space="preserve">FALL ARCENS</t>
  </si>
  <si>
    <t xml:space="preserve">181 RUE LEGENDRE</t>
  </si>
  <si>
    <t xml:space="preserve">01 46 27 09 42</t>
  </si>
  <si>
    <t xml:space="preserve">FALL ARCENS FATIMA#https://annuairesante.ameli.fr/professionnels-de-sante/recherche/fiche-detaillee-B7c1mzEzMTOw.html</t>
  </si>
  <si>
    <t xml:space="preserve">WERTEL</t>
  </si>
  <si>
    <t xml:space="preserve">14 AVENUE CARNOT</t>
  </si>
  <si>
    <t xml:space="preserve">01 44 09 03 15</t>
  </si>
  <si>
    <t xml:space="preserve">WERTEL DOMINIQUE#https://annuairesante.ameli.fr/professionnels-de-sante/recherche/fiche-detaillee-B7c1lzA3Mja3.html</t>
  </si>
  <si>
    <t xml:space="preserve">CORUBLE</t>
  </si>
  <si>
    <t xml:space="preserve">15 RUE DE L ARC DE TRIOMPHE</t>
  </si>
  <si>
    <t xml:space="preserve">CORUBLE CLEMENT#https://annuairesante.ameli.fr/professionnels-de-sante/recherche/fiche-detaillee-B7c1kzE4MTu1.html</t>
  </si>
  <si>
    <t xml:space="preserve">RUE DE L ARC DE TRIOMPHE</t>
  </si>
  <si>
    <t xml:space="preserve">THIRION</t>
  </si>
  <si>
    <t xml:space="preserve">01 42 66 23 75</t>
  </si>
  <si>
    <t xml:space="preserve">THIRION VALERIE#https://annuairesante.ameli.fr/professionnels-de-sante/recherche/fiche-detaillee-B7c1lzQ3NTGy.html</t>
  </si>
  <si>
    <t xml:space="preserve">AOULED SALEM</t>
  </si>
  <si>
    <t xml:space="preserve">BASSEM</t>
  </si>
  <si>
    <t xml:space="preserve">67 RUE DE TOCQUEVILLE</t>
  </si>
  <si>
    <t xml:space="preserve">01 42 67 37 13</t>
  </si>
  <si>
    <t xml:space="preserve">AOULED SALEM BASSEM#https://annuairesante.ameli.fr/professionnels-de-sante/recherche/fiche-detaillee-B7c1kjU0MTq3.html</t>
  </si>
  <si>
    <t xml:space="preserve">67</t>
  </si>
  <si>
    <t xml:space="preserve">ANGEBAUD</t>
  </si>
  <si>
    <t xml:space="preserve">ANGEBAUD PASCAL#https://annuairesante.ameli.fr/professionnels-de-sante/recherche/fiche-detaillee-B7c1lTMzMjS0.html</t>
  </si>
  <si>
    <t xml:space="preserve">ZENOU</t>
  </si>
  <si>
    <t xml:space="preserve">ZENOU FRANK#https://annuairesante.ameli.fr/professionnels-de-sante/recherche/fiche-detaillee-B7c1mjA3MjCx.html</t>
  </si>
  <si>
    <t xml:space="preserve">SIDI JOEL#https://annuairesante.ameli.fr/professionnels-de-sante/recherche/fiche-detaillee-B7c1kTc4Nje2.html</t>
  </si>
  <si>
    <t xml:space="preserve">151</t>
  </si>
  <si>
    <t xml:space="preserve">FHIMA</t>
  </si>
  <si>
    <t xml:space="preserve">YLAN</t>
  </si>
  <si>
    <t xml:space="preserve">06 17 36 53 34</t>
  </si>
  <si>
    <t xml:space="preserve">FHIMA YLAN#https://annuairesante.ameli.fr/professionnels-de-sante/recherche/fiche-detaillee-B7c1kzc5ODW2.html</t>
  </si>
  <si>
    <t xml:space="preserve">FADLI</t>
  </si>
  <si>
    <t xml:space="preserve">01 44 09 07 49</t>
  </si>
  <si>
    <t xml:space="preserve">FADLI SARAH#https://annuairesante.ameli.fr/professionnels-de-sante/recherche/fiche-detaillee-B7c1kjE4MzSx.html</t>
  </si>
  <si>
    <t xml:space="preserve">3 RUE DE BIZERTE</t>
  </si>
  <si>
    <t xml:space="preserve">01 47 66 89 84</t>
  </si>
  <si>
    <t xml:space="preserve">CHARBIT PHILIPPE#https://annuairesante.ameli.fr/professionnels-de-sante/recherche/fiche-detaillee-B7c1lzA0NzG2.html</t>
  </si>
  <si>
    <t xml:space="preserve">RUE DE BIZERTE</t>
  </si>
  <si>
    <t xml:space="preserve">BOURGEOIS LATTANZI</t>
  </si>
  <si>
    <t xml:space="preserve">06 64 06 28 56</t>
  </si>
  <si>
    <t xml:space="preserve">BOURGEOIS LATTANZI AURELIE#https://annuairesante.ameli.fr/professionnels-de-sante/recherche/fiche-detaillee-B7c1lTY3NjW6.html</t>
  </si>
  <si>
    <t xml:space="preserve">MIGNOT</t>
  </si>
  <si>
    <t xml:space="preserve">22 RUE GILBERT CESBRON</t>
  </si>
  <si>
    <t xml:space="preserve">MIGNOT FRANCK#https://annuairesante.ameli.fr/professionnels-de-sante/recherche/fiche-detaillee-B7c1kjQzMTuz.html</t>
  </si>
  <si>
    <t xml:space="preserve">14:00-17:30(R)&lt;br/&gt;</t>
  </si>
  <si>
    <t xml:space="preserve">RUE GILBERT CESBRON</t>
  </si>
  <si>
    <t xml:space="preserve">OHANA</t>
  </si>
  <si>
    <t xml:space="preserve">01 70 69 40 30</t>
  </si>
  <si>
    <t xml:space="preserve">OHANA BENJAMIN#https://annuairesante.ameli.fr/professionnels-de-sante/recherche/fiche-detaillee-B7c1lTA3ODew.html</t>
  </si>
  <si>
    <t xml:space="preserve">01 46 41 25 25</t>
  </si>
  <si>
    <t xml:space="preserve">GUEDJ CHANTAL#https://annuairesante.ameli.fr/professionnels-de-sante/recherche/fiche-detaillee-CbA1mjE3NDW2.html</t>
  </si>
  <si>
    <t xml:space="preserve">BENOIT HAOUAS</t>
  </si>
  <si>
    <t xml:space="preserve">MONIA</t>
  </si>
  <si>
    <t xml:space="preserve">1 RUE BERTEAUX DUMAS</t>
  </si>
  <si>
    <t xml:space="preserve">BENOIT HAOUAS MONIA#https://annuairesante.ameli.fr/professionnels-de-sante/recherche/fiche-detaillee-CbA1kzQzMjq3.html</t>
  </si>
  <si>
    <t xml:space="preserve">RUE BERTEAUX DUMAS</t>
  </si>
  <si>
    <t xml:space="preserve">GUILLON</t>
  </si>
  <si>
    <t xml:space="preserve">GUILLON JEAN#https://annuairesante.ameli.fr/professionnels-de-sante/recherche/fiche-detaillee-CbA1kjE5OTCx.html</t>
  </si>
  <si>
    <t xml:space="preserve">93 AVENUE DU ROULE</t>
  </si>
  <si>
    <t xml:space="preserve">ASSOUS JULIE#https://annuairesante.ameli.fr/professionnels-de-sante/recherche/fiche-detaillee-CbA1kjozNDS1.html</t>
  </si>
  <si>
    <t xml:space="preserve">BENOIT JERRY</t>
  </si>
  <si>
    <t xml:space="preserve">PAPON BENOIT JERRY#https://annuairesante.ameli.fr/professionnels-de-sante/recherche/fiche-detaillee-CbA1kzc3MDGy.html</t>
  </si>
  <si>
    <t xml:space="preserve">DUTZER</t>
  </si>
  <si>
    <t xml:space="preserve">01 40 88 63 20</t>
  </si>
  <si>
    <t xml:space="preserve">DUTZER DOMINIQUE#https://annuairesante.ameli.fr/professionnels-de-sante/recherche/fiche-detaillee-CbA1mjYyNTK2.html</t>
  </si>
  <si>
    <t xml:space="preserve">SAMOUN</t>
  </si>
  <si>
    <t xml:space="preserve">42 BOULEVARD D ARGENSON</t>
  </si>
  <si>
    <t xml:space="preserve">01 46 43 07 87</t>
  </si>
  <si>
    <t xml:space="preserve">SAMOUN ALAIN#https://annuairesante.ameli.fr/professionnels-de-sante/recherche/fiche-detaillee-CbA1kzA0NjK3.html</t>
  </si>
  <si>
    <t xml:space="preserve">CHAUD</t>
  </si>
  <si>
    <t xml:space="preserve">01 49 09 48 50</t>
  </si>
  <si>
    <t xml:space="preserve">CHAUD MARIE AMELIE#https://annuairesante.ameli.fr/professionnels-de-sante/recherche/fiche-detaillee-CbA1mjYyMzu1.html</t>
  </si>
  <si>
    <t xml:space="preserve">18 RUE PIERRET</t>
  </si>
  <si>
    <t xml:space="preserve">01 47 45 50 58</t>
  </si>
  <si>
    <t xml:space="preserve">MICHEL SYLVIA#https://annuairesante.ameli.fr/professionnels-de-sante/recherche/fiche-detaillee-CbA1lTMwNDW7.html</t>
  </si>
  <si>
    <t xml:space="preserve">RUE PIERRET</t>
  </si>
  <si>
    <t xml:space="preserve">ATLANI</t>
  </si>
  <si>
    <t xml:space="preserve">FREDDY</t>
  </si>
  <si>
    <t xml:space="preserve">72T RUE DE LONGCHAMP</t>
  </si>
  <si>
    <t xml:space="preserve">ATLANI FREDDY#https://annuairesante.ameli.fr/professionnels-de-sante/recherche/fiche-detaillee-CbA1mjYyODax.html</t>
  </si>
  <si>
    <t xml:space="preserve">DUPONT MELANIE#https://annuairesante.ameli.fr/professionnels-de-sante/recherche/fiche-detaillee-CbA1mjYyMzGy.html</t>
  </si>
  <si>
    <t xml:space="preserve">ALEXANIAN</t>
  </si>
  <si>
    <t xml:space="preserve">93 RUE DE CHEZY</t>
  </si>
  <si>
    <t xml:space="preserve">01 46 41 27 32</t>
  </si>
  <si>
    <t xml:space="preserve">ALEXANIAN JACQUES#https://annuairesante.ameli.fr/professionnels-de-sante/recherche/fiche-detaillee-CbA1kzQ5Mzay.html</t>
  </si>
  <si>
    <t xml:space="preserve">TEMAN</t>
  </si>
  <si>
    <t xml:space="preserve">01 46 24 61 77</t>
  </si>
  <si>
    <t xml:space="preserve">TEMAN CORINNE#https://annuairesante.ameli.fr/professionnels-de-sante/recherche/fiche-detaillee-CbA1kzQ5MTKy.html</t>
  </si>
  <si>
    <t xml:space="preserve">169</t>
  </si>
  <si>
    <t xml:space="preserve">SCHERRER</t>
  </si>
  <si>
    <t xml:space="preserve">48T BOULEVARD VICTOR HUGO</t>
  </si>
  <si>
    <t xml:space="preserve">SCHERRER ANNE#https://annuairesante.ameli.fr/professionnels-de-sante/recherche/fiche-detaillee-CbA1lTMyMjW1.html</t>
  </si>
  <si>
    <t xml:space="preserve">GIORNO</t>
  </si>
  <si>
    <t xml:space="preserve">GIORNO JENNIFER#https://annuairesante.ameli.fr/professionnels-de-sante/recherche/fiche-detaillee-CbA1mjYzNDK1.html</t>
  </si>
  <si>
    <t xml:space="preserve">AMAMI</t>
  </si>
  <si>
    <t xml:space="preserve">AMAMI JULIA#https://annuairesante.ameli.fr/professionnels-de-sante/recherche/fiche-detaillee-CbA1kjU1MjK7.html</t>
  </si>
  <si>
    <t xml:space="preserve">MOUREN</t>
  </si>
  <si>
    <t xml:space="preserve">01 44 08 40 00</t>
  </si>
  <si>
    <t xml:space="preserve">MOUREN XAVIER#https://annuairesante.ameli.fr/professionnels-de-sante/recherche/fiche-detaillee-CbA1mjYxMjSy.html</t>
  </si>
  <si>
    <t xml:space="preserve">SITRUK</t>
  </si>
  <si>
    <t xml:space="preserve">JONAS</t>
  </si>
  <si>
    <t xml:space="preserve">SITRUK JONAS#https://annuairesante.ameli.fr/professionnels-de-sante/recherche/fiche-detaillee-CbA1mjYzNDS2.html</t>
  </si>
  <si>
    <t xml:space="preserve">CAZAUBON</t>
  </si>
  <si>
    <t xml:space="preserve">CAZAUBON MICHELE#https://annuairesante.ameli.fr/professionnels-de-sante/recherche/fiche-detaillee-CbA1mjE3Njqy.html</t>
  </si>
  <si>
    <t xml:space="preserve">AUMONT</t>
  </si>
  <si>
    <t xml:space="preserve">AUMONT LAURENT#https://annuairesante.ameli.fr/professionnels-de-sante/recherche/fiche-detaillee-CbA1mjYyMDK7.html</t>
  </si>
  <si>
    <t xml:space="preserve">MOURADIAN</t>
  </si>
  <si>
    <t xml:space="preserve">DIKRAN</t>
  </si>
  <si>
    <t xml:space="preserve">211 BOULEVARD BINEAU</t>
  </si>
  <si>
    <t xml:space="preserve">06 62 36 34 26</t>
  </si>
  <si>
    <t xml:space="preserve">MOURADIAN DIKRAN#https://annuairesante.ameli.fr/professionnels-de-sante/recherche/fiche-detaillee-CbA1mzEyNTC7.html</t>
  </si>
  <si>
    <t xml:space="preserve">211</t>
  </si>
  <si>
    <t xml:space="preserve">MERLET ROMAGEON</t>
  </si>
  <si>
    <t xml:space="preserve">20 RUE PARMENTIER</t>
  </si>
  <si>
    <t xml:space="preserve">01 47 48 10 04</t>
  </si>
  <si>
    <t xml:space="preserve">MERLET ROMAGEON BRIGITTE#https://annuairesante.ameli.fr/professionnels-de-sante/recherche/fiche-detaillee-CbA1kzI1NTq2.html</t>
  </si>
  <si>
    <t xml:space="preserve">RUE PARMENTIER</t>
  </si>
  <si>
    <t xml:space="preserve">LACROIX</t>
  </si>
  <si>
    <t xml:space="preserve">164 AVENUE CH DE GAULLE</t>
  </si>
  <si>
    <t xml:space="preserve">01 47 47 02 02</t>
  </si>
  <si>
    <t xml:space="preserve">LACROIX PASCAL#https://annuairesante.ameli.fr/professionnels-de-sante/recherche/fiche-detaillee-CbA1kzMyOTS3.html</t>
  </si>
  <si>
    <t xml:space="preserve">AVENUE CH DE GAULLE</t>
  </si>
  <si>
    <t xml:space="preserve">SALQUES</t>
  </si>
  <si>
    <t xml:space="preserve">SALQUES VALERIE#https://annuairesante.ameli.fr/professionnels-de-sante/recherche/fiche-detaillee-CbA1mjE5MjCx.html</t>
  </si>
  <si>
    <t xml:space="preserve">DEUTSCH</t>
  </si>
  <si>
    <t xml:space="preserve">01 46 41 25 00</t>
  </si>
  <si>
    <t xml:space="preserve">DEUTSCH JULIETTE#https://annuairesante.ameli.fr/professionnels-de-sante/recherche/fiche-detaillee-CbA1kjE4Nju7.html</t>
  </si>
  <si>
    <t xml:space="preserve">BOUKASSEM</t>
  </si>
  <si>
    <t xml:space="preserve">BOUKASSEM SABIHA#https://annuairesante.ameli.fr/professionnels-de-sante/recherche/fiche-detaillee-CbA1kzU4NDCy.html</t>
  </si>
  <si>
    <t xml:space="preserve">09:30-12:30(R)&lt;br/&gt;</t>
  </si>
  <si>
    <t xml:space="preserve">15:30-17:30(R)&lt;br/&gt;</t>
  </si>
  <si>
    <t xml:space="preserve">153</t>
  </si>
  <si>
    <t xml:space="preserve">NOLLET</t>
  </si>
  <si>
    <t xml:space="preserve">76 RUE DE LONGCHAMP</t>
  </si>
  <si>
    <t xml:space="preserve">01 46 24 51 94</t>
  </si>
  <si>
    <t xml:space="preserve">NOLLET FREDERIC#https://annuairesante.ameli.fr/professionnels-de-sante/recherche/fiche-detaillee-CbA1kzozNDK6.html</t>
  </si>
  <si>
    <t xml:space="preserve">10:30-14:00(?)&lt;br/&gt;</t>
  </si>
  <si>
    <t xml:space="preserve">09:00-12:30(?)&lt;br/&gt;</t>
  </si>
  <si>
    <t xml:space="preserve">10:00-14:00(?)&lt;br/&gt;</t>
  </si>
  <si>
    <t xml:space="preserve">09:00-12:00(?)&lt;br/&gt;</t>
  </si>
  <si>
    <t xml:space="preserve">GOMBERT</t>
  </si>
  <si>
    <t xml:space="preserve">GOMBERT EVA#https://annuairesante.ameli.fr/professionnels-de-sante/recherche/fiche-detaillee-CbA1kjc5Nju7.html</t>
  </si>
  <si>
    <t xml:space="preserve">BELZGAOU</t>
  </si>
  <si>
    <t xml:space="preserve">BELZGAOU NICOLAS#https://annuairesante.ameli.fr/professionnels-de-sante/recherche/fiche-detaillee-CbA1mjYyNzW1.html</t>
  </si>
  <si>
    <t xml:space="preserve">VALLEE</t>
  </si>
  <si>
    <t xml:space="preserve">2B RUE DE L EGLISE</t>
  </si>
  <si>
    <t xml:space="preserve">VALLEE PHILIPPE#https://annuairesante.ameli.fr/professionnels-de-sante/recherche/fiche-detaillee-CbA1kjY4NTu7.html</t>
  </si>
  <si>
    <t xml:space="preserve">11:00-12:00(R)&lt;br/&gt;</t>
  </si>
  <si>
    <t xml:space="preserve">17:00-19:00(?)&lt;br/&gt;</t>
  </si>
  <si>
    <t xml:space="preserve">ARBOUCH</t>
  </si>
  <si>
    <t xml:space="preserve">ARBOUCH CECILE#https://annuairesante.ameli.fr/professionnels-de-sante/recherche/fiche-detaillee-CbA1lTMzMDGy.html</t>
  </si>
  <si>
    <t xml:space="preserve">YAMADA WOLFF</t>
  </si>
  <si>
    <t xml:space="preserve">KANA</t>
  </si>
  <si>
    <t xml:space="preserve">01 46 41 26 16</t>
  </si>
  <si>
    <t xml:space="preserve">YAMADA WOLFF KANA#https://annuairesante.ameli.fr/professionnels-de-sante/recherche/fiche-detaillee-CbA1kjQ1NTWw.html</t>
  </si>
  <si>
    <t xml:space="preserve">DUFAU</t>
  </si>
  <si>
    <t xml:space="preserve">DUFAU ROMAIN#https://annuairesante.ameli.fr/professionnels-de-sante/recherche/fiche-detaillee-CbA1lTAzMDq6.html</t>
  </si>
  <si>
    <t xml:space="preserve">DENJEAN JOUANNOU</t>
  </si>
  <si>
    <t xml:space="preserve">27 BVD VICTOR HUGO</t>
  </si>
  <si>
    <t xml:space="preserve">DENJEAN JOUANNOU DOMINIQUE#https://annuairesante.ameli.fr/professionnels-de-sante/recherche/fiche-detaillee-CbA1kzY0MDC3.html</t>
  </si>
  <si>
    <t xml:space="preserve">BVD VICTOR HUGO</t>
  </si>
  <si>
    <t xml:space="preserve">CARLIER SUARD</t>
  </si>
  <si>
    <t xml:space="preserve">53 RUE DE VILLIERS</t>
  </si>
  <si>
    <t xml:space="preserve">01 47 48 04 76</t>
  </si>
  <si>
    <t xml:space="preserve">CARLIER SUARD BRIGITTE#https://annuairesante.ameli.fr/professionnels-de-sante/recherche/fiche-detaillee-CbA1kzYzOTGz.html</t>
  </si>
  <si>
    <t xml:space="preserve">08:00-13:00(R)&lt;br/&gt;</t>
  </si>
  <si>
    <t xml:space="preserve">POUZOULET</t>
  </si>
  <si>
    <t xml:space="preserve">01 42 25 49 84</t>
  </si>
  <si>
    <t xml:space="preserve">POUZOULET ANNE#https://annuairesante.ameli.fr/professionnels-de-sante/recherche/fiche-detaillee-CbA1mjYwMzW3.html</t>
  </si>
  <si>
    <t xml:space="preserve">BAUDINO</t>
  </si>
  <si>
    <t xml:space="preserve">7 BOULEVARD RICHARD WALLACE</t>
  </si>
  <si>
    <t xml:space="preserve">01 46 03 23 45</t>
  </si>
  <si>
    <t xml:space="preserve">BAUDINO FRANCK#https://annuairesante.ameli.fr/professionnels-de-sante/recherche/fiche-detaillee-CbA1kzs0MDG6.html</t>
  </si>
  <si>
    <t xml:space="preserve">BOULEVARD RICHARD WALLACE</t>
  </si>
  <si>
    <t xml:space="preserve">SAURIN</t>
  </si>
  <si>
    <t xml:space="preserve">01 42 65 70 79</t>
  </si>
  <si>
    <t xml:space="preserve">SAURIN PATRICIA#https://annuairesante.ameli.fr/professionnels-de-sante/recherche/fiche-detaillee-B7c1lzY2MDax.html</t>
  </si>
  <si>
    <t xml:space="preserve">DEMARQUE</t>
  </si>
  <si>
    <t xml:space="preserve">DEMARQUE GILLES#https://annuairesante.ameli.fr/professionnels-de-sante/recherche/fiche-detaillee-B7c1lDU4MDq3.html</t>
  </si>
  <si>
    <t xml:space="preserve">CHEVAL</t>
  </si>
  <si>
    <t xml:space="preserve">51 RUE DU ROCHER</t>
  </si>
  <si>
    <t xml:space="preserve">CHEVAL PHILIPPE#https://annuairesante.ameli.fr/professionnels-de-sante/recherche/fiche-detaillee-B7c1lzc3MDOy.html</t>
  </si>
  <si>
    <t xml:space="preserve">6 RUE DE LA RENAISSANCE</t>
  </si>
  <si>
    <t xml:space="preserve">DEUTSCH JEAN JACQUES#https://annuairesante.ameli.fr/professionnels-de-sante/recherche/fiche-detaillee-B7c1lTIwOTa1.html</t>
  </si>
  <si>
    <t xml:space="preserve">RUE DE LA RENAISSANCE</t>
  </si>
  <si>
    <t xml:space="preserve">MAS</t>
  </si>
  <si>
    <t xml:space="preserve">10 RUE FREDERIC BASTIAT</t>
  </si>
  <si>
    <t xml:space="preserve">MAS SYLVIE#https://annuairesante.ameli.fr/professionnels-de-sante/recherche/fiche-detaillee-B7c1lDowNTa3.html</t>
  </si>
  <si>
    <t xml:space="preserve">BITOUN JOSEPH#https://annuairesante.ameli.fr/professionnels-de-sante/recherche/fiche-detaillee-B7c1mzQ1NTew.html</t>
  </si>
  <si>
    <t xml:space="preserve">BENNAIM</t>
  </si>
  <si>
    <t xml:space="preserve">BENNAIM LAURENT#https://annuairesante.ameli.fr/professionnels-de-sante/recherche/fiche-detaillee-B7c1lzMwOTe1.html</t>
  </si>
  <si>
    <t xml:space="preserve">ENOMOTO</t>
  </si>
  <si>
    <t xml:space="preserve">TOMOKI</t>
  </si>
  <si>
    <t xml:space="preserve">82 BOULEVARD MALESHERBES</t>
  </si>
  <si>
    <t xml:space="preserve">ENOMOTO TOMOKI#https://annuairesante.ameli.fr/professionnels-de-sante/recherche/fiche-detaillee-B7c1mjA4NDuy.html</t>
  </si>
  <si>
    <t xml:space="preserve">01 42 25 63 14</t>
  </si>
  <si>
    <t xml:space="preserve">TEBOUL MICHEL#https://annuairesante.ameli.fr/professionnels-de-sante/recherche/fiche-detaillee-B7c1lTIyNzW6.html</t>
  </si>
  <si>
    <t xml:space="preserve">CHOUATT</t>
  </si>
  <si>
    <t xml:space="preserve">122 AVENUE DES CHAMPS ELYSEES</t>
  </si>
  <si>
    <t xml:space="preserve">01 45 62 60 49</t>
  </si>
  <si>
    <t xml:space="preserve">CHOUATT FREDERIC#https://annuairesante.ameli.fr/professionnels-de-sante/recherche/fiche-detaillee-B7c1lTM3MTuw.html</t>
  </si>
  <si>
    <t xml:space="preserve">AZAM</t>
  </si>
  <si>
    <t xml:space="preserve">34 RUE DE PENTHIEVRE</t>
  </si>
  <si>
    <t xml:space="preserve">01 53 75 90 90</t>
  </si>
  <si>
    <t xml:space="preserve">AZAM PIERRE#https://annuairesante.ameli.fr/professionnels-de-sante/recherche/fiche-detaillee-B7c1lTIzNzCz.html</t>
  </si>
  <si>
    <t xml:space="preserve">08:30-13:00(?)&lt;br/&gt;</t>
  </si>
  <si>
    <t xml:space="preserve">14:35-18:30(?)&lt;br/&gt;</t>
  </si>
  <si>
    <t xml:space="preserve">14:30-19:05(?)&lt;br/&gt;</t>
  </si>
  <si>
    <t xml:space="preserve">15:30-20:05(?)&lt;br/&gt;</t>
  </si>
  <si>
    <t xml:space="preserve">RUE DE PENTHIEVRE</t>
  </si>
  <si>
    <t xml:space="preserve">86 BOULEVARD MALESHERBES</t>
  </si>
  <si>
    <t xml:space="preserve">06 99 78 86 02</t>
  </si>
  <si>
    <t xml:space="preserve">DAHAN FRANCK#https://annuairesante.ameli.fr/professionnels-de-sante/recherche/fiche-detaillee-B7c1kzcxMTW6.html</t>
  </si>
  <si>
    <t xml:space="preserve">86</t>
  </si>
  <si>
    <t xml:space="preserve">LEMMEL</t>
  </si>
  <si>
    <t xml:space="preserve">06 15 79 83 10</t>
  </si>
  <si>
    <t xml:space="preserve">LEMMEL CHRISTIAN#https://annuairesante.ameli.fr/professionnels-de-sante/recherche/fiche-detaillee-B7c1ljQwNDC1.html</t>
  </si>
  <si>
    <t xml:space="preserve">MERABTENE</t>
  </si>
  <si>
    <t xml:space="preserve">RADJEB</t>
  </si>
  <si>
    <t xml:space="preserve">06 52 08 18 02</t>
  </si>
  <si>
    <t xml:space="preserve">MERABTENE RADJEB#https://annuairesante.ameli.fr/professionnels-de-sante/recherche/fiche-detaillee-B7c1kzM3MDq6.html</t>
  </si>
  <si>
    <t xml:space="preserve">GAY</t>
  </si>
  <si>
    <t xml:space="preserve">01 44 77 96 16</t>
  </si>
  <si>
    <t xml:space="preserve">GAY CHRISTIAN#https://annuairesante.ameli.fr/professionnels-de-sante/recherche/fiche-detaillee-B7c1lzIwNzC1.html</t>
  </si>
  <si>
    <t xml:space="preserve">37B RUE DE PONTHIEU</t>
  </si>
  <si>
    <t xml:space="preserve">06 22 63 62 62</t>
  </si>
  <si>
    <t xml:space="preserve">NACCACHE LAURENT#https://annuairesante.ameli.fr/professionnels-de-sante/recherche/fiche-detaillee-B7c1lTE3NjOw.html</t>
  </si>
  <si>
    <t xml:space="preserve">FELTESSE</t>
  </si>
  <si>
    <t xml:space="preserve">CHLOEE</t>
  </si>
  <si>
    <t xml:space="preserve">14 RUE DE MOSCOU</t>
  </si>
  <si>
    <t xml:space="preserve">01 42 93 54 80</t>
  </si>
  <si>
    <t xml:space="preserve">FELTESSE CHLOEE#https://annuairesante.ameli.fr/professionnels-de-sante/recherche/fiche-detaillee-B7c1kjI0MDS1.html</t>
  </si>
  <si>
    <t xml:space="preserve">RUE DE MOSCOU</t>
  </si>
  <si>
    <t xml:space="preserve">ROUSSEAU</t>
  </si>
  <si>
    <t xml:space="preserve">01 53 10 87 86</t>
  </si>
  <si>
    <t xml:space="preserve">ROUSSEAU PHILIPPE#https://annuairesante.ameli.fr/professionnels-de-sante/recherche/fiche-detaillee-B7c1lTIzNjK0.html</t>
  </si>
  <si>
    <t xml:space="preserve">TEXIER</t>
  </si>
  <si>
    <t xml:space="preserve">06 85 27 76 82</t>
  </si>
  <si>
    <t xml:space="preserve">TEXIER SANDRA#https://annuairesante.ameli.fr/professionnels-de-sante/recherche/fiche-detaillee-B7c1kjsxNzu0.html</t>
  </si>
  <si>
    <t xml:space="preserve">235</t>
  </si>
  <si>
    <t xml:space="preserve">MILORADOVICH</t>
  </si>
  <si>
    <t xml:space="preserve">MILORADOVICH TATIANA#https://annuairesante.ameli.fr/professionnels-de-sante/recherche/fiche-detaillee-B7c1kzE2Mzqz.html</t>
  </si>
  <si>
    <t xml:space="preserve">GUEGNAUD</t>
  </si>
  <si>
    <t xml:space="preserve">82 BOULEVARD HAUSSMANN</t>
  </si>
  <si>
    <t xml:space="preserve">GUEGNAUD JEAN#https://annuairesante.ameli.fr/professionnels-de-sante/recherche/fiche-detaillee-B7c1mzE2OTCz.html</t>
  </si>
  <si>
    <t xml:space="preserve">ROFFE</t>
  </si>
  <si>
    <t xml:space="preserve">ROFFE MICHAEL#https://annuairesante.ameli.fr/professionnels-de-sante/recherche/fiche-detaillee-B7c1kzI2MjOy.html</t>
  </si>
  <si>
    <t xml:space="preserve">2 RUE DE VEZELAY</t>
  </si>
  <si>
    <t xml:space="preserve">BOHBOT MICHAEL#https://annuairesante.ameli.fr/professionnels-de-sante/recherche/fiche-detaillee-B7c1mjM0Njq7.html</t>
  </si>
  <si>
    <t xml:space="preserve">THI THOI NGUYET</t>
  </si>
  <si>
    <t xml:space="preserve">PHAM THI THOI NGUYET#https://annuairesante.ameli.fr/professionnels-de-sante/recherche/fiche-detaillee-B7c1lzQ2NDWy.html</t>
  </si>
  <si>
    <t xml:space="preserve">ZARNITSKY</t>
  </si>
  <si>
    <t xml:space="preserve">31 RUE DE MOSCOU</t>
  </si>
  <si>
    <t xml:space="preserve">01 42 94 07 26</t>
  </si>
  <si>
    <t xml:space="preserve">ZARNITSKY LAURENT#https://annuairesante.ameli.fr/professionnels-de-sante/recherche/fiche-detaillee-B7c1mzEzMTa0.html</t>
  </si>
  <si>
    <t xml:space="preserve">11:00-14:00(?)&lt;br/&gt;</t>
  </si>
  <si>
    <t xml:space="preserve">08:00-11:30(R)&lt;br/&gt;</t>
  </si>
  <si>
    <t xml:space="preserve">SLIMANI</t>
  </si>
  <si>
    <t xml:space="preserve">FAROUK</t>
  </si>
  <si>
    <t xml:space="preserve">157 RUE ST HONORE</t>
  </si>
  <si>
    <t xml:space="preserve">SLIMANI FAROUK#https://annuairesante.ameli.fr/professionnels-de-sante/recherche/fiche-detaillee-B7c1lTYyMDGy.html</t>
  </si>
  <si>
    <t xml:space="preserve">RUE ST HONORE</t>
  </si>
  <si>
    <t xml:space="preserve">157</t>
  </si>
  <si>
    <t xml:space="preserve">PECQUEUR</t>
  </si>
  <si>
    <t xml:space="preserve">PECQUEUR VALERIE#https://annuairesante.ameli.fr/professionnels-de-sante/recherche/fiche-detaillee-B7c1kjA1NTe3.html</t>
  </si>
  <si>
    <t xml:space="preserve">06 11 82 00 67</t>
  </si>
  <si>
    <t xml:space="preserve">GARCIA OLIVIER#https://annuairesante.ameli.fr/professionnels-de-sante/recherche/fiche-detaillee-B7c1lTAxNDO6.html</t>
  </si>
  <si>
    <t xml:space="preserve">BACHELIER</t>
  </si>
  <si>
    <t xml:space="preserve">4 RUE DE L ARCADE</t>
  </si>
  <si>
    <t xml:space="preserve">BACHELIER JEAN LUC#https://annuairesante.ameli.fr/professionnels-de-sante/recherche/fiche-detaillee-B7c1lzEyNTe3.html</t>
  </si>
  <si>
    <t xml:space="preserve">RUE DE L ARCADE</t>
  </si>
  <si>
    <t xml:space="preserve">MEDANE</t>
  </si>
  <si>
    <t xml:space="preserve">12 RUE LAVOISIER</t>
  </si>
  <si>
    <t xml:space="preserve">06 15 84 31 04</t>
  </si>
  <si>
    <t xml:space="preserve">MEDANE SAMIR#https://annuairesante.ameli.fr/professionnels-de-sante/recherche/fiche-detaillee-B7c1kzc3MzC2.html</t>
  </si>
  <si>
    <t xml:space="preserve">RUE LAVOISIER</t>
  </si>
  <si>
    <t xml:space="preserve">BEILIN</t>
  </si>
  <si>
    <t xml:space="preserve">39 RUE DE LISBONNE</t>
  </si>
  <si>
    <t xml:space="preserve">01 42 94 02 43</t>
  </si>
  <si>
    <t xml:space="preserve">BEILIN GHISLAINE#https://annuairesante.ameli.fr/professionnels-de-sante/recherche/fiche-detaillee-B7c1ljMwNzu2.html</t>
  </si>
  <si>
    <t xml:space="preserve">BARBIERI</t>
  </si>
  <si>
    <t xml:space="preserve">32 RUE DE LIEGE</t>
  </si>
  <si>
    <t xml:space="preserve">01 42 93 49 40</t>
  </si>
  <si>
    <t xml:space="preserve">BARBIERI STEPHANE#https://annuairesante.ameli.fr/professionnels-de-sante/recherche/fiche-detaillee-B7c1ljcwMDa6.html</t>
  </si>
  <si>
    <t xml:space="preserve">RUE DE LIEGE</t>
  </si>
  <si>
    <t xml:space="preserve">CHERIET</t>
  </si>
  <si>
    <t xml:space="preserve">AIDA</t>
  </si>
  <si>
    <t xml:space="preserve">CHERIET AIDA#https://annuairesante.ameli.fr/professionnels-de-sante/recherche/fiche-detaillee-B7c1lTE4Mjq3.html</t>
  </si>
  <si>
    <t xml:space="preserve">COHEN POGNOT</t>
  </si>
  <si>
    <t xml:space="preserve">5 RUE DU HAVRE</t>
  </si>
  <si>
    <t xml:space="preserve">01 48 78 74 24</t>
  </si>
  <si>
    <t xml:space="preserve">COHEN POGNOT ILANA#https://annuairesante.ameli.fr/professionnels-de-sante/recherche/fiche-detaillee-B7c1lDo0MTe1.html</t>
  </si>
  <si>
    <t xml:space="preserve">RUE DU HAVRE</t>
  </si>
  <si>
    <t xml:space="preserve">ALAIN PIERRE</t>
  </si>
  <si>
    <t xml:space="preserve">25 RUE CLAPEYRON</t>
  </si>
  <si>
    <t xml:space="preserve">01 42 93 54 76</t>
  </si>
  <si>
    <t xml:space="preserve">LEVY ALAIN PIERRE#https://annuairesante.ameli.fr/professionnels-de-sante/recherche/fiche-detaillee-B7c1kTs1ODKy.html</t>
  </si>
  <si>
    <t xml:space="preserve">14:00-19:40(R)&lt;br/&gt;</t>
  </si>
  <si>
    <t xml:space="preserve">RUE CLAPEYRON</t>
  </si>
  <si>
    <t xml:space="preserve">BODIN HULLIN</t>
  </si>
  <si>
    <t xml:space="preserve">01 53 77 25 88</t>
  </si>
  <si>
    <t xml:space="preserve">BODIN HULLIN MARIE#https://annuairesante.ameli.fr/professionnels-de-sante/recherche/fiche-detaillee-B7c1lTE1Nzay.html</t>
  </si>
  <si>
    <t xml:space="preserve">ROUSSEY</t>
  </si>
  <si>
    <t xml:space="preserve">36 RUE DE TURIN</t>
  </si>
  <si>
    <t xml:space="preserve">01 43 87 65 29</t>
  </si>
  <si>
    <t xml:space="preserve">ROUSSEY GERARD#https://annuairesante.ameli.fr/professionnels-de-sante/recherche/fiche-detaillee-B7c1mzYyOTa3.html</t>
  </si>
  <si>
    <t xml:space="preserve">15:40-19:40(R)&lt;br/&gt;</t>
  </si>
  <si>
    <t xml:space="preserve">RUE DE TURIN</t>
  </si>
  <si>
    <t xml:space="preserve">225 RUE DU FAUBOURG ST HONORE</t>
  </si>
  <si>
    <t xml:space="preserve">01 49 64 00 74</t>
  </si>
  <si>
    <t xml:space="preserve">SEBBAN SANDRINE#https://annuairesante.ameli.fr/professionnels-de-sante/recherche/fiche-detaillee-B7c1lTM0NjGw.html</t>
  </si>
  <si>
    <t xml:space="preserve">225</t>
  </si>
  <si>
    <t xml:space="preserve">SUSSMAN</t>
  </si>
  <si>
    <t xml:space="preserve">SUSSMAN HELENE#https://annuairesante.ameli.fr/professionnels-de-sante/recherche/fiche-detaillee-B7c1lTAyODKy.html</t>
  </si>
  <si>
    <t xml:space="preserve">TATON</t>
  </si>
  <si>
    <t xml:space="preserve">69 RUE DU FAUBOURG ST HONORE</t>
  </si>
  <si>
    <t xml:space="preserve">06 46 47 37 49</t>
  </si>
  <si>
    <t xml:space="preserve">TATON LAURENT#https://annuairesante.ameli.fr/professionnels-de-sante/recherche/fiche-detaillee-B7c1kjYwNDG3.html</t>
  </si>
  <si>
    <t xml:space="preserve">DREVILLON</t>
  </si>
  <si>
    <t xml:space="preserve">105 BOULEVARD MALESHERBES</t>
  </si>
  <si>
    <t xml:space="preserve">DREVILLON THOMAS#https://annuairesante.ameli.fr/professionnels-de-sante/recherche/fiche-detaillee-B7c1lTAxMTa3.html</t>
  </si>
  <si>
    <t xml:space="preserve">105</t>
  </si>
  <si>
    <t xml:space="preserve">CALDAGUES</t>
  </si>
  <si>
    <t xml:space="preserve">23 RUE CLAPEYRON</t>
  </si>
  <si>
    <t xml:space="preserve">01 43 87 28 30</t>
  </si>
  <si>
    <t xml:space="preserve">CALDAGUES CHRISTIAN#https://annuairesante.ameli.fr/professionnels-de-sante/recherche/fiche-detaillee-B7c1ljI0Nze2.html</t>
  </si>
  <si>
    <t xml:space="preserve">NACCACHE JEAN YVES#https://annuairesante.ameli.fr/professionnels-de-sante/recherche/fiche-detaillee-B7c1lTAwNDe1.html</t>
  </si>
  <si>
    <t xml:space="preserve">14:15-19:30(R)&lt;br/&gt;</t>
  </si>
  <si>
    <t xml:space="preserve">09:20-14:00(?)&lt;br/&gt;</t>
  </si>
  <si>
    <t xml:space="preserve">161</t>
  </si>
  <si>
    <t xml:space="preserve">KOBAITER</t>
  </si>
  <si>
    <t xml:space="preserve">07 66 66 10 84</t>
  </si>
  <si>
    <t xml:space="preserve">KOBAITER JOSEPH#https://annuairesante.ameli.fr/professionnels-de-sante/recherche/fiche-detaillee-B7c1lTY3NzW1.html</t>
  </si>
  <si>
    <t xml:space="preserve">DE PANISSE PASSIS</t>
  </si>
  <si>
    <t xml:space="preserve">58 RUE P CHARRON</t>
  </si>
  <si>
    <t xml:space="preserve">01 45 62 00 35</t>
  </si>
  <si>
    <t xml:space="preserve">DE PANISSE PASSIS JEAN#https://annuairesante.ameli.fr/professionnels-de-sante/recherche/fiche-detaillee-B7c1lzcwODu0.html</t>
  </si>
  <si>
    <t xml:space="preserve">RUE P CHARRON</t>
  </si>
  <si>
    <t xml:space="preserve">SABATIER</t>
  </si>
  <si>
    <t xml:space="preserve">54 RUE DU FAUBOURG ST HONORE</t>
  </si>
  <si>
    <t xml:space="preserve">SABATIER PATRICK#https://annuairesante.ameli.fr/professionnels-de-sante/recherche/fiche-detaillee-B7c1ljE5NTqz.html</t>
  </si>
  <si>
    <t xml:space="preserve">54</t>
  </si>
  <si>
    <t xml:space="preserve">PUEYO</t>
  </si>
  <si>
    <t xml:space="preserve">GARANCE</t>
  </si>
  <si>
    <t xml:space="preserve">174 BOULEVARD HAUSSMANN</t>
  </si>
  <si>
    <t xml:space="preserve">06 63 70 43 61</t>
  </si>
  <si>
    <t xml:space="preserve">PUEYO GARANCE#https://annuairesante.ameli.fr/professionnels-de-sante/recherche/fiche-detaillee-B7c1kjA3ODWx.html</t>
  </si>
  <si>
    <t xml:space="preserve">174</t>
  </si>
  <si>
    <t xml:space="preserve">GUIRETTE</t>
  </si>
  <si>
    <t xml:space="preserve">169 BOULEVARD HAUSMANN</t>
  </si>
  <si>
    <t xml:space="preserve">GUIRETTE MONIQUE#https://annuairesante.ameli.fr/professionnels-de-sante/recherche/fiche-detaillee-B7c1lzsxNjOx.html</t>
  </si>
  <si>
    <t xml:space="preserve">BOULEVARD HAUSMANN</t>
  </si>
  <si>
    <t xml:space="preserve">SECNAZI</t>
  </si>
  <si>
    <t xml:space="preserve">15B RUE DE MARIGNAN</t>
  </si>
  <si>
    <t xml:space="preserve">SECNAZI PIERRE#https://annuairesante.ameli.fr/professionnels-de-sante/recherche/fiche-detaillee-B7c1lDQwMTGx.html</t>
  </si>
  <si>
    <t xml:space="preserve">BERKOUZ</t>
  </si>
  <si>
    <t xml:space="preserve">4 RUE TREILHARD</t>
  </si>
  <si>
    <t xml:space="preserve">BERKOUZ NAIMA#https://annuairesante.ameli.fr/professionnels-de-sante/recherche/fiche-detaillee-B7c1kjM1Mze6.html</t>
  </si>
  <si>
    <t xml:space="preserve">RUE TREILHARD</t>
  </si>
  <si>
    <t xml:space="preserve">MOURAN</t>
  </si>
  <si>
    <t xml:space="preserve">14 PLACE GABRIEL PERI</t>
  </si>
  <si>
    <t xml:space="preserve">01 43 87 43 60</t>
  </si>
  <si>
    <t xml:space="preserve">MOURAN EVELYNE#https://annuairesante.ameli.fr/professionnels-de-sante/recherche/fiche-detaillee-B7c1kTQ1MDW0.html</t>
  </si>
  <si>
    <t xml:space="preserve">PLACE GABRIEL PERI</t>
  </si>
  <si>
    <t xml:space="preserve">BENHAROUN</t>
  </si>
  <si>
    <t xml:space="preserve">37 AVENUE FRANKLIN DELANO ROOSEVELT</t>
  </si>
  <si>
    <t xml:space="preserve">BENHAROUN ELIE#https://annuairesante.ameli.fr/professionnels-de-sante/recherche/fiche-detaillee-B7c1kjs1MTq0.html</t>
  </si>
  <si>
    <t xml:space="preserve">VAUGHAN NGUYEN</t>
  </si>
  <si>
    <t xml:space="preserve">PHUONG</t>
  </si>
  <si>
    <t xml:space="preserve">14 RUE CHAUVEAU LAGARDE</t>
  </si>
  <si>
    <t xml:space="preserve">VAUGHAN NGUYEN PHUONG#https://annuairesante.ameli.fr/professionnels-de-sante/recherche/fiche-detaillee-B7c1lzczNjG7.html</t>
  </si>
  <si>
    <t xml:space="preserve">RUE CHAUVEAU LAGARDE</t>
  </si>
  <si>
    <t xml:space="preserve">PANNETIER</t>
  </si>
  <si>
    <t xml:space="preserve">20 AVENUE DE WAGRAM</t>
  </si>
  <si>
    <t xml:space="preserve">PANNETIER MONIQUE#https://annuairesante.ameli.fr/professionnels-de-sante/recherche/fiche-detaillee-B7c1lzAwNDKw.html</t>
  </si>
  <si>
    <t xml:space="preserve">BOUGOSSI</t>
  </si>
  <si>
    <t xml:space="preserve">SAMEH</t>
  </si>
  <si>
    <t xml:space="preserve">06 89 76 70 52</t>
  </si>
  <si>
    <t xml:space="preserve">BOUGOSSI SAMEH#https://annuairesante.ameli.fr/professionnels-de-sante/recherche/fiche-detaillee-B7c1kzI5OTC7.html</t>
  </si>
  <si>
    <t xml:space="preserve">JESSICA</t>
  </si>
  <si>
    <t xml:space="preserve">29 AVENUE FRANKLIN DELANO ROOSEVELT</t>
  </si>
  <si>
    <t xml:space="preserve">07 65 54 47 38</t>
  </si>
  <si>
    <t xml:space="preserve">LEVY JESSICA#https://annuairesante.ameli.fr/professionnels-de-sante/recherche/fiche-detaillee-B7c1kzYxMzW1.html</t>
  </si>
  <si>
    <t xml:space="preserve">SAGNANE</t>
  </si>
  <si>
    <t xml:space="preserve">HABY</t>
  </si>
  <si>
    <t xml:space="preserve">07 49 55 93 00</t>
  </si>
  <si>
    <t xml:space="preserve">SAGNANE HABY#https://annuairesante.ameli.fr/professionnels-de-sante/recherche/fiche-detaillee-B7c1lTY3NTq1.html</t>
  </si>
  <si>
    <t xml:space="preserve">FANKAM FAUPOSI</t>
  </si>
  <si>
    <t xml:space="preserve">FANKAM FAUPOSI JEAN MARIE#https://annuairesante.ameli.fr/professionnels-de-sante/recherche/fiche-detaillee-B7c1kjM0NDq6.html</t>
  </si>
  <si>
    <t xml:space="preserve">BACHET VICHARD</t>
  </si>
  <si>
    <t xml:space="preserve">67 RUE DE COURCELLES</t>
  </si>
  <si>
    <t xml:space="preserve">BACHET VICHARD VALERIE#https://annuairesante.ameli.fr/professionnels-de-sante/recherche/fiche-detaillee-B7c1mjAzNjez.html</t>
  </si>
  <si>
    <t xml:space="preserve">VIDAL</t>
  </si>
  <si>
    <t xml:space="preserve">9 RUE DE TURIN</t>
  </si>
  <si>
    <t xml:space="preserve">01 40 08 88 00</t>
  </si>
  <si>
    <t xml:space="preserve">SERFATY VIDAL#https://annuairesante.ameli.fr/professionnels-de-sante/recherche/fiche-detaillee-B7c1lDQ0MTS1.html</t>
  </si>
  <si>
    <t xml:space="preserve">72 BOULEVARD HAUSSMANN</t>
  </si>
  <si>
    <t xml:space="preserve">01 42 93 23 83</t>
  </si>
  <si>
    <t xml:space="preserve">VEGA CECILIA#https://annuairesante.ameli.fr/professionnels-de-sante/recherche/fiche-detaillee-B7c1lDczNjKx.html</t>
  </si>
  <si>
    <t xml:space="preserve">15:15-20:00(R)&lt;br/&gt;</t>
  </si>
  <si>
    <t xml:space="preserve">DEPONDT GADET</t>
  </si>
  <si>
    <t xml:space="preserve">17 RUE DE MONCEAU</t>
  </si>
  <si>
    <t xml:space="preserve">01 40 53 87 25</t>
  </si>
  <si>
    <t xml:space="preserve">DEPONDT GADET MARTINE#https://annuairesante.ameli.fr/professionnels-de-sante/recherche/fiche-detaillee-B7c1lzIxMTGx.html</t>
  </si>
  <si>
    <t xml:space="preserve">BOULET</t>
  </si>
  <si>
    <t xml:space="preserve">2 RUE DE TURIN</t>
  </si>
  <si>
    <t xml:space="preserve">07 88 08 97 38</t>
  </si>
  <si>
    <t xml:space="preserve">BOULET JACQUES#https://annuairesante.ameli.fr/professionnels-de-sante/recherche/fiche-detaillee-B7c1ljE4MDey.html</t>
  </si>
  <si>
    <t xml:space="preserve">BOKSENBAUM</t>
  </si>
  <si>
    <t xml:space="preserve">49 AVENUE MONTAIGNE</t>
  </si>
  <si>
    <t xml:space="preserve">01 47 20 88 08</t>
  </si>
  <si>
    <t xml:space="preserve">BOKSENBAUM MICHEL#https://annuairesante.ameli.fr/professionnels-de-sante/recherche/fiche-detaillee-B7c1mzQ0MjG1.html</t>
  </si>
  <si>
    <t xml:space="preserve">LECERF</t>
  </si>
  <si>
    <t xml:space="preserve">230 RUE DU FAUBOURG ST HONORE</t>
  </si>
  <si>
    <t xml:space="preserve">LECERF LUDOVIC#https://annuairesante.ameli.fr/professionnels-de-sante/recherche/fiche-detaillee-B7c1mjAyNzaz.html</t>
  </si>
  <si>
    <t xml:space="preserve">230</t>
  </si>
  <si>
    <t xml:space="preserve">GHALIB</t>
  </si>
  <si>
    <t xml:space="preserve">20 RUE DE LA TREMOILLE</t>
  </si>
  <si>
    <t xml:space="preserve">GHALIB LISA#https://annuairesante.ameli.fr/professionnels-de-sante/recherche/fiche-detaillee-B7c1lzo3ODW0.html</t>
  </si>
  <si>
    <t xml:space="preserve">BOUIGHAMEDANE GALLAIS</t>
  </si>
  <si>
    <t xml:space="preserve">FADMA</t>
  </si>
  <si>
    <t xml:space="preserve">BOUIGHAMEDANE GALLAIS FADMA#https://annuairesante.ameli.fr/professionnels-de-sante/recherche/fiche-detaillee-B7c1kjs1MDq1.html</t>
  </si>
  <si>
    <t xml:space="preserve">ARBAOUI</t>
  </si>
  <si>
    <t xml:space="preserve">SAMIA</t>
  </si>
  <si>
    <t xml:space="preserve">06 99 88 98 05</t>
  </si>
  <si>
    <t xml:space="preserve">ARBAOUI SAMIA#https://annuairesante.ameli.fr/professionnels-de-sante/recherche/fiche-detaillee-B7c1mjAwNTWy.html</t>
  </si>
  <si>
    <t xml:space="preserve">GEANTY</t>
  </si>
  <si>
    <t xml:space="preserve">GEANTY XAVIER#https://annuairesante.ameli.fr/professionnels-de-sante/recherche/fiche-detaillee-B7c1mzE2MDOw.html</t>
  </si>
  <si>
    <t xml:space="preserve">07:00-14:00(D)&lt;br/&gt;</t>
  </si>
  <si>
    <t xml:space="preserve">14:00-19:00(D)&lt;br/&gt;</t>
  </si>
  <si>
    <t xml:space="preserve">14:00-22:00(D)&lt;br/&gt;</t>
  </si>
  <si>
    <t xml:space="preserve">09:00-14:00(D)&lt;br/&gt;</t>
  </si>
  <si>
    <t xml:space="preserve">14:00-17:00(D)&lt;br/&gt;</t>
  </si>
  <si>
    <t xml:space="preserve">17:00-23:00(D)&lt;br/&gt;</t>
  </si>
  <si>
    <t xml:space="preserve">GUIGUI</t>
  </si>
  <si>
    <t xml:space="preserve">06 09 17 95 74</t>
  </si>
  <si>
    <t xml:space="preserve">GUIGUI PASCAL#https://annuairesante.ameli.fr/professionnels-de-sante/recherche/fiche-detaillee-B7c1mjA0ODa3.html</t>
  </si>
  <si>
    <t xml:space="preserve">JUNGFER</t>
  </si>
  <si>
    <t xml:space="preserve">01 42 66 25 18</t>
  </si>
  <si>
    <t xml:space="preserve">JUNGFER ISABELLE#https://annuairesante.ameli.fr/professionnels-de-sante/recherche/fiche-detaillee-B7c1lDQ1NDaw.html</t>
  </si>
  <si>
    <t xml:space="preserve">VO QUANG DANG</t>
  </si>
  <si>
    <t xml:space="preserve">37B RUE PONTHIEU</t>
  </si>
  <si>
    <t xml:space="preserve">01 53 89 03 10</t>
  </si>
  <si>
    <t xml:space="preserve">VO QUANG DANG PAUL#https://annuairesante.ameli.fr/professionnels-de-sante/recherche/fiche-detaillee-B7c1mzE4MjK6.html</t>
  </si>
  <si>
    <t xml:space="preserve">RUE PONTHIEU</t>
  </si>
  <si>
    <t xml:space="preserve">PANIZZA</t>
  </si>
  <si>
    <t xml:space="preserve">92 BOULEVARD MALESHERBES</t>
  </si>
  <si>
    <t xml:space="preserve">01 49 52 81 42</t>
  </si>
  <si>
    <t xml:space="preserve">PANIZZA DIDIER#https://annuairesante.ameli.fr/professionnels-de-sante/recherche/fiche-detaillee-B7c1lTMwMzuz.html</t>
  </si>
  <si>
    <t xml:space="preserve">BEN YOUSSEF</t>
  </si>
  <si>
    <t xml:space="preserve">06 67 47 69 27</t>
  </si>
  <si>
    <t xml:space="preserve">BEN YOUSSEF HEYFA#https://annuairesante.ameli.fr/professionnels-de-sante/recherche/fiche-detaillee-B7c1kjE1MDS1.html</t>
  </si>
  <si>
    <t xml:space="preserve">DELMIGLIO</t>
  </si>
  <si>
    <t xml:space="preserve">01 47 20 25 40</t>
  </si>
  <si>
    <t xml:space="preserve">DELMIGLIO GILLES#https://annuairesante.ameli.fr/professionnels-de-sante/recherche/fiche-detaillee-B7c1kjYwMTK2.html</t>
  </si>
  <si>
    <t xml:space="preserve">DIBO COHEN</t>
  </si>
  <si>
    <t xml:space="preserve">LARRY</t>
  </si>
  <si>
    <t xml:space="preserve">81 RUE D AMSTERDAM</t>
  </si>
  <si>
    <t xml:space="preserve">01 42 85 83 82</t>
  </si>
  <si>
    <t xml:space="preserve">DIBO COHEN LARRY#https://annuairesante.ameli.fr/professionnels-de-sante/recherche/fiche-detaillee-B7c1mjI4MTex.html</t>
  </si>
  <si>
    <t xml:space="preserve">RUE D AMSTERDAM</t>
  </si>
  <si>
    <t xml:space="preserve">06 29 38 33 04</t>
  </si>
  <si>
    <t xml:space="preserve">TAIEB LAURY#https://annuairesante.ameli.fr/professionnels-de-sante/recherche/fiche-detaillee-B7c1mjEwMDO1.html</t>
  </si>
  <si>
    <t xml:space="preserve">ROZENFARB</t>
  </si>
  <si>
    <t xml:space="preserve">2 RUE JOSEPH SANSBOEUF</t>
  </si>
  <si>
    <t xml:space="preserve">01 45 22 72 26</t>
  </si>
  <si>
    <t xml:space="preserve">ROZENFARB ISABELLE#https://annuairesante.ameli.fr/professionnels-de-sante/recherche/fiche-detaillee-B7c1ljExNjG6.html</t>
  </si>
  <si>
    <t xml:space="preserve">RUE JOSEPH SANSBOEUF</t>
  </si>
  <si>
    <t xml:space="preserve">FOGEL</t>
  </si>
  <si>
    <t xml:space="preserve">07 69 83 84 18</t>
  </si>
  <si>
    <t xml:space="preserve">FOGEL LAURENT#https://annuairesante.ameli.fr/professionnels-de-sante/recherche/fiche-detaillee-B7c1mjA4MDC7.html</t>
  </si>
  <si>
    <t xml:space="preserve">BENZIMRA</t>
  </si>
  <si>
    <t xml:space="preserve">4 RUE ROQUEPINE</t>
  </si>
  <si>
    <t xml:space="preserve">01 42 65 21 56</t>
  </si>
  <si>
    <t xml:space="preserve">BENZIMRA JEAN CHARLES#https://annuairesante.ameli.fr/professionnels-de-sante/recherche/fiche-detaillee-B7c1lzM5NjWz.html</t>
  </si>
  <si>
    <t xml:space="preserve">RUE ROQUEPINE</t>
  </si>
  <si>
    <t xml:space="preserve">LEDUC</t>
  </si>
  <si>
    <t xml:space="preserve">5 RUE CHAMBIGES</t>
  </si>
  <si>
    <t xml:space="preserve">LEDUC VALERIE#https://annuairesante.ameli.fr/professionnels-de-sante/recherche/fiche-detaillee-B7c1lTAyOTGx.html</t>
  </si>
  <si>
    <t xml:space="preserve">RUE CHAMBIGES</t>
  </si>
  <si>
    <t xml:space="preserve">LONGE</t>
  </si>
  <si>
    <t xml:space="preserve">70 RUE DU FAUBOURG ST HONORE</t>
  </si>
  <si>
    <t xml:space="preserve">05 86 56 86 13</t>
  </si>
  <si>
    <t xml:space="preserve">LONGE SARAH#https://annuairesante.ameli.fr/professionnels-de-sante/recherche/fiche-detaillee-B7c1mjExMjGx.html</t>
  </si>
  <si>
    <t xml:space="preserve">70</t>
  </si>
  <si>
    <t xml:space="preserve">PECASTAING</t>
  </si>
  <si>
    <t xml:space="preserve">9 RUE DARU</t>
  </si>
  <si>
    <t xml:space="preserve">01 42 27 00 62</t>
  </si>
  <si>
    <t xml:space="preserve">PECASTAING ANNIE#https://annuairesante.ameli.fr/professionnels-de-sante/recherche/fiche-detaillee-B7c1kzI2Mjez.html</t>
  </si>
  <si>
    <t xml:space="preserve">BAUTIER</t>
  </si>
  <si>
    <t xml:space="preserve">27 RUE LA BOETIE</t>
  </si>
  <si>
    <t xml:space="preserve">01 47 42 33 18</t>
  </si>
  <si>
    <t xml:space="preserve">BAUTIER PATRICK#https://annuairesante.ameli.fr/professionnels-de-sante/recherche/fiche-detaillee-B7c1kTQ1NjOx.html</t>
  </si>
  <si>
    <t xml:space="preserve">01 42 99 55 02</t>
  </si>
  <si>
    <t xml:space="preserve">KHAYAT KIM#https://annuairesante.ameli.fr/professionnels-de-sante/recherche/fiche-detaillee-B7c1lTE1MDSw.html</t>
  </si>
  <si>
    <t xml:space="preserve">RICHARD JEAN LUC#https://annuairesante.ameli.fr/professionnels-de-sante/recherche/fiche-detaillee-B7c1kTU1Nzu2.html</t>
  </si>
  <si>
    <t xml:space="preserve">PLASQUI</t>
  </si>
  <si>
    <t xml:space="preserve">MARILYNE</t>
  </si>
  <si>
    <t xml:space="preserve">PLASQUI MARILYNE#https://annuairesante.ameli.fr/professionnels-de-sante/recherche/fiche-detaillee-B7c1kjI0OTKz.html</t>
  </si>
  <si>
    <t xml:space="preserve">CUFFIT</t>
  </si>
  <si>
    <t xml:space="preserve">49 RUE D AMSTERDAM</t>
  </si>
  <si>
    <t xml:space="preserve">01 48 74 19 97</t>
  </si>
  <si>
    <t xml:space="preserve">CUFFIT ALAIN#https://annuairesante.ameli.fr/professionnels-de-sante/recherche/fiche-detaillee-B7c1kTM5NDu2.html</t>
  </si>
  <si>
    <t xml:space="preserve">GALLOT</t>
  </si>
  <si>
    <t xml:space="preserve">10 RUE JACQUES IBERT</t>
  </si>
  <si>
    <t xml:space="preserve">GALLOT VANESSA#https://annuairesante.ameli.fr/professionnels-de-sante/recherche/fiche-detaillee-CbA1kzs2ODux.html</t>
  </si>
  <si>
    <t xml:space="preserve">14:00-16:00(R)&lt;br/&gt;</t>
  </si>
  <si>
    <t xml:space="preserve">RUE JACQUES IBERT</t>
  </si>
  <si>
    <t xml:space="preserve">FEDIDA</t>
  </si>
  <si>
    <t xml:space="preserve">FEDIDA DEBORAH#https://annuairesante.ameli.fr/professionnels-de-sante/recherche/fiche-detaillee-B7c1lTEwMzu7.html</t>
  </si>
  <si>
    <t xml:space="preserve">80</t>
  </si>
  <si>
    <t xml:space="preserve">BENSAID</t>
  </si>
  <si>
    <t xml:space="preserve">BENSAID JEAN JACQUES#https://annuairesante.ameli.fr/professionnels-de-sante/recherche/fiche-detaillee-B7c1mjM5Mzq0.html</t>
  </si>
  <si>
    <t xml:space="preserve">HOCINE BEKKAR</t>
  </si>
  <si>
    <t xml:space="preserve">NADJET</t>
  </si>
  <si>
    <t xml:space="preserve">HOCINE BEKKAR NADJET#https://annuairesante.ameli.fr/professionnels-de-sante/recherche/fiche-detaillee-B7c1kzQ4NTK7.html</t>
  </si>
  <si>
    <t xml:space="preserve">ABRAM PROFETA</t>
  </si>
  <si>
    <t xml:space="preserve">42 AVENUE PAUL DOUMER</t>
  </si>
  <si>
    <t xml:space="preserve">01 56 91 02 15</t>
  </si>
  <si>
    <t xml:space="preserve">ABRAM PROFETA RAYMOND#https://annuairesante.ameli.fr/professionnels-de-sante/recherche/fiche-detaillee-B7c1lTI0MTSz.html</t>
  </si>
  <si>
    <t xml:space="preserve">VILLETTE</t>
  </si>
  <si>
    <t xml:space="preserve">06 60 16 76 29</t>
  </si>
  <si>
    <t xml:space="preserve">VILLETTE CLAIRE#https://annuairesante.ameli.fr/professionnels-de-sante/recherche/fiche-detaillee-B7c1lTY2Nzuz.html</t>
  </si>
  <si>
    <t xml:space="preserve">VINSONNEAU</t>
  </si>
  <si>
    <t xml:space="preserve">VINSONNEAU LAURA#https://annuairesante.ameli.fr/professionnels-de-sante/recherche/fiche-detaillee-B7c1mjExNTSx.html</t>
  </si>
  <si>
    <t xml:space="preserve">CORNIER</t>
  </si>
  <si>
    <t xml:space="preserve">EDGARD</t>
  </si>
  <si>
    <t xml:space="preserve">76 AVENUE FOCH</t>
  </si>
  <si>
    <t xml:space="preserve">06 11 43 33 33</t>
  </si>
  <si>
    <t xml:space="preserve">CORNIER EDGARD#https://annuairesante.ameli.fr/professionnels-de-sante/recherche/fiche-detaillee-B7c1kTEwNTG7.html</t>
  </si>
  <si>
    <t xml:space="preserve">FAGUER</t>
  </si>
  <si>
    <t xml:space="preserve">FAGUER CHRISTIAN#https://annuairesante.ameli.fr/professionnels-de-sante/recherche/fiche-detaillee-B7c1kDs4ODW0.html</t>
  </si>
  <si>
    <t xml:space="preserve">PINET</t>
  </si>
  <si>
    <t xml:space="preserve">PINET CHRISTOPHE#https://annuairesante.ameli.fr/professionnels-de-sante/recherche/fiche-detaillee-B7c1mjA0NjG7.html</t>
  </si>
  <si>
    <t xml:space="preserve">BORLOO BAZIN</t>
  </si>
  <si>
    <t xml:space="preserve">BORLOO BAZIN JEANNE MARIE#https://annuairesante.ameli.fr/professionnels-de-sante/recherche/fiche-detaillee-B7c1ljYwNzO6.html</t>
  </si>
  <si>
    <t xml:space="preserve">PHUNG ROHFRITSCH</t>
  </si>
  <si>
    <t xml:space="preserve">THANH VY</t>
  </si>
  <si>
    <t xml:space="preserve">01 87 44 67 70</t>
  </si>
  <si>
    <t xml:space="preserve">PHUNG ROHFRITSCH THANH VY#https://annuairesante.ameli.fr/professionnels-de-sante/recherche/fiche-detaillee-B7c1mjA5MTu3.html</t>
  </si>
  <si>
    <t xml:space="preserve">BEN GUIGUI</t>
  </si>
  <si>
    <t xml:space="preserve">01 45 03 30 86</t>
  </si>
  <si>
    <t xml:space="preserve">BEN GUIGUI JONAS#https://annuairesante.ameli.fr/professionnels-de-sante/recherche/fiche-detaillee-B7c1kzA5NTa1.html</t>
  </si>
  <si>
    <t xml:space="preserve">ASMAR</t>
  </si>
  <si>
    <t xml:space="preserve">ASMAR JENNIFER#https://annuairesante.ameli.fr/professionnels-de-sante/recherche/fiche-detaillee-B7c1mjExNTq7.html</t>
  </si>
  <si>
    <t xml:space="preserve">MAURY</t>
  </si>
  <si>
    <t xml:space="preserve">124 RUE DE LA POMPE</t>
  </si>
  <si>
    <t xml:space="preserve">AMAR MAURY#https://annuairesante.ameli.fr/professionnels-de-sante/recherche/fiche-detaillee-B7c1mjM2Njez.html</t>
  </si>
  <si>
    <t xml:space="preserve">M/O</t>
  </si>
  <si>
    <t xml:space="preserve">124</t>
  </si>
  <si>
    <t xml:space="preserve">RAVENEAU</t>
  </si>
  <si>
    <t xml:space="preserve">01 40 72 33 33</t>
  </si>
  <si>
    <t xml:space="preserve">RAVENEAU PATRICE#https://annuairesante.ameli.fr/professionnels-de-sante/recherche/fiche-detaillee-B7c1lTMzMzu7.html</t>
  </si>
  <si>
    <t xml:space="preserve">TOLEDANO MERYL#https://annuairesante.ameli.fr/professionnels-de-sante/recherche/fiche-detaillee-B7c1lTEyNDG1.html</t>
  </si>
  <si>
    <t xml:space="preserve">GAY CROSIER</t>
  </si>
  <si>
    <t xml:space="preserve">GAY CROSIER GAELLE#https://annuairesante.ameli.fr/professionnels-de-sante/recherche/fiche-detaillee-B7c1mzY4Mze3.html</t>
  </si>
  <si>
    <t xml:space="preserve">HOURCABIE</t>
  </si>
  <si>
    <t xml:space="preserve">HOURCABIE JACQUES#https://annuairesante.ameli.fr/professionnels-de-sante/recherche/fiche-detaillee-B7c1mzE4OTuw.html</t>
  </si>
  <si>
    <t xml:space="preserve">LAMOURDEDIEU</t>
  </si>
  <si>
    <t xml:space="preserve">LAMOURDEDIEU CECILE#https://annuairesante.ameli.fr/professionnels-de-sante/recherche/fiche-detaillee-B7c1lTY1NDC0.html</t>
  </si>
  <si>
    <t xml:space="preserve">MERGUI</t>
  </si>
  <si>
    <t xml:space="preserve">MERGUI JEAN LUC#https://annuairesante.ameli.fr/professionnels-de-sante/recherche/fiche-detaillee-B7c1lTMyMDGx.html</t>
  </si>
  <si>
    <t xml:space="preserve">SABBAN</t>
  </si>
  <si>
    <t xml:space="preserve">01 46 47 09 46</t>
  </si>
  <si>
    <t xml:space="preserve">SABBAN FREDERIC#https://annuairesante.ameli.fr/professionnels-de-sante/recherche/fiche-detaillee-B7c1lTA2OTaw.html</t>
  </si>
  <si>
    <t xml:space="preserve">GUILLARD KARINE#https://annuairesante.ameli.fr/professionnels-de-sante/recherche/fiche-detaillee-B7c1lTM1Nzaw.html</t>
  </si>
  <si>
    <t xml:space="preserve">METZGER</t>
  </si>
  <si>
    <t xml:space="preserve">ULRIKE</t>
  </si>
  <si>
    <t xml:space="preserve">METZGER ULRIKE#https://annuairesante.ameli.fr/professionnels-de-sante/recherche/fiche-detaillee-B7c1lTY1Mzax.html</t>
  </si>
  <si>
    <t xml:space="preserve">SEBBAG</t>
  </si>
  <si>
    <t xml:space="preserve">LAUREN</t>
  </si>
  <si>
    <t xml:space="preserve">SEBBAG LAUREN#https://annuairesante.ameli.fr/professionnels-de-sante/recherche/fiche-detaillee-B7c1mjA4MTC6.html</t>
  </si>
  <si>
    <t xml:space="preserve">FONTY</t>
  </si>
  <si>
    <t xml:space="preserve">01 42 22 89 27</t>
  </si>
  <si>
    <t xml:space="preserve">FONTY BERNARD#https://annuairesante.ameli.fr/professionnels-de-sante/recherche/fiche-detaillee-B7c1mjMxMDSy.html</t>
  </si>
  <si>
    <t xml:space="preserve">BEN ZEKRI</t>
  </si>
  <si>
    <t xml:space="preserve">BEN ZEKRI CHLOE#https://annuairesante.ameli.fr/professionnels-de-sante/recherche/fiche-detaillee-B7c1lTYwMzqy.html</t>
  </si>
  <si>
    <t xml:space="preserve">MILLOCHAU</t>
  </si>
  <si>
    <t xml:space="preserve">JENNY CLAUDE</t>
  </si>
  <si>
    <t xml:space="preserve">MILLOCHAU JENNY CLAUDE#https://annuairesante.ameli.fr/professionnels-de-sante/recherche/fiche-detaillee-B7c1lTE0NzSw.html</t>
  </si>
  <si>
    <t xml:space="preserve">INGUENAULT</t>
  </si>
  <si>
    <t xml:space="preserve">6 RUE SONTAY</t>
  </si>
  <si>
    <t xml:space="preserve">01 40 67 93 93</t>
  </si>
  <si>
    <t xml:space="preserve">INGUENAULT CYRILLE#https://annuairesante.ameli.fr/professionnels-de-sante/recherche/fiche-detaillee-B7c1mzE1MTe7.html</t>
  </si>
  <si>
    <t xml:space="preserve">RUE SONTAY</t>
  </si>
  <si>
    <t xml:space="preserve">HEIM</t>
  </si>
  <si>
    <t xml:space="preserve">NAZBANOU</t>
  </si>
  <si>
    <t xml:space="preserve">HEIM NAZBANOU#https://annuairesante.ameli.fr/professionnels-de-sante/recherche/fiche-detaillee-B7c1mjExNTu1.html</t>
  </si>
  <si>
    <t xml:space="preserve">BULTEZ</t>
  </si>
  <si>
    <t xml:space="preserve">BULTEZ THIERRY#https://annuairesante.ameli.fr/professionnels-de-sante/recherche/fiche-detaillee-B7c1lTY1MzO7.html</t>
  </si>
  <si>
    <t xml:space="preserve">01 45 62 44 27</t>
  </si>
  <si>
    <t xml:space="preserve">NACCACHE GILBERT#https://annuairesante.ameli.fr/professionnels-de-sante/recherche/fiche-detaillee-B7c1mjA4NTe1.html</t>
  </si>
  <si>
    <t xml:space="preserve">4 RUE GIRODET</t>
  </si>
  <si>
    <t xml:space="preserve">01 45 25 30 44</t>
  </si>
  <si>
    <t xml:space="preserve">TAYLOR SABINE#https://annuairesante.ameli.fr/professionnels-de-sante/recherche/fiche-detaillee-B7c1mzExOTuz.html</t>
  </si>
  <si>
    <t xml:space="preserve">KADOCH</t>
  </si>
  <si>
    <t xml:space="preserve">107 AVENUE VICTOR HUGO</t>
  </si>
  <si>
    <t xml:space="preserve">01 43 79 59 79</t>
  </si>
  <si>
    <t xml:space="preserve">KADOCH OLIVIER#https://annuairesante.ameli.fr/professionnels-de-sante/recherche/fiche-detaillee-B7c1lTI3Mzuz.html</t>
  </si>
  <si>
    <t xml:space="preserve">107</t>
  </si>
  <si>
    <t xml:space="preserve">MAJDOUB</t>
  </si>
  <si>
    <t xml:space="preserve">NAWEL</t>
  </si>
  <si>
    <t xml:space="preserve">MAJDOUB NAWEL#https://annuairesante.ameli.fr/professionnels-de-sante/recherche/fiche-detaillee-B7c1lTYzMju1.html</t>
  </si>
  <si>
    <t xml:space="preserve">JEGADEN</t>
  </si>
  <si>
    <t xml:space="preserve">MARGAUX</t>
  </si>
  <si>
    <t xml:space="preserve">JEGADEN MARGAUX#https://annuairesante.ameli.fr/professionnels-de-sante/recherche/fiche-detaillee-B7c1kzQ0ODSz.html</t>
  </si>
  <si>
    <t xml:space="preserve">CANAMERAS</t>
  </si>
  <si>
    <t xml:space="preserve">7 RUE MARBEAU</t>
  </si>
  <si>
    <t xml:space="preserve">01 45 91 55 94</t>
  </si>
  <si>
    <t xml:space="preserve">CANAMERAS MICHEL#https://annuairesante.ameli.fr/professionnels-de-sante/recherche/fiche-detaillee-B7c1lTM1MTq7.html</t>
  </si>
  <si>
    <t xml:space="preserve">RUE MARBEAU</t>
  </si>
  <si>
    <t xml:space="preserve">PARIS FRANCOIS XAVIER#https://annuairesante.ameli.fr/professionnels-de-sante/recherche/fiche-detaillee-B7c1ljA1NjK1.html</t>
  </si>
  <si>
    <t xml:space="preserve">PHELIPPEAU</t>
  </si>
  <si>
    <t xml:space="preserve">34 RUE PERGOLESE</t>
  </si>
  <si>
    <t xml:space="preserve">PHELIPPEAU JULIETTE#https://annuairesante.ameli.fr/professionnels-de-sante/recherche/fiche-detaillee-B7c1kjc5MjO3.html</t>
  </si>
  <si>
    <t xml:space="preserve">DUTOYA</t>
  </si>
  <si>
    <t xml:space="preserve">DUTOYA SIHEM#https://annuairesante.ameli.fr/professionnels-de-sante/recherche/fiche-detaillee-B7c1kjQ4NTuw.html</t>
  </si>
  <si>
    <t xml:space="preserve">NORDMANN AMAR DANIELE#https://annuairesante.ameli.fr/professionnels-de-sante/recherche/fiche-detaillee-B7c1kToxNzW3.html</t>
  </si>
  <si>
    <t xml:space="preserve">FALCONE HERRNBERGER</t>
  </si>
  <si>
    <t xml:space="preserve">FALCONE HERRNBERGER SEGOLENE#https://annuairesante.ameli.fr/professionnels-de-sante/recherche/fiche-detaillee-B7c1mjM4MDu3.html</t>
  </si>
  <si>
    <t xml:space="preserve">LE CORNEC</t>
  </si>
  <si>
    <t xml:space="preserve">LE CORNEC JEAN BAPTISTE#https://annuairesante.ameli.fr/professionnels-de-sante/recherche/fiche-detaillee-B7c1lTA4ODa7.html</t>
  </si>
  <si>
    <t xml:space="preserve">SEBAG PEYRELEVADE</t>
  </si>
  <si>
    <t xml:space="preserve">SEBAG PEYRELEVADE SARAH#https://annuairesante.ameli.fr/professionnels-de-sante/recherche/fiche-detaillee-B7c1lTY2MTK0.html</t>
  </si>
  <si>
    <t xml:space="preserve">PERES</t>
  </si>
  <si>
    <t xml:space="preserve">PERES ALEXANDRE#https://annuairesante.ameli.fr/professionnels-de-sante/recherche/fiche-detaillee-B7c1lTAyMjGy.html</t>
  </si>
  <si>
    <t xml:space="preserve">JULIE MARIE</t>
  </si>
  <si>
    <t xml:space="preserve">01 58 05 11 22</t>
  </si>
  <si>
    <t xml:space="preserve">GIRARD JULIE MARIE#https://annuairesante.ameli.fr/professionnels-de-sante/recherche/fiche-detaillee-B7c1mzY2ODSw.html</t>
  </si>
  <si>
    <t xml:space="preserve">HUEL</t>
  </si>
  <si>
    <t xml:space="preserve">CHAN</t>
  </si>
  <si>
    <t xml:space="preserve">01 42 73 41 90</t>
  </si>
  <si>
    <t xml:space="preserve">HUEL CHAN#https://annuairesante.ameli.fr/professionnels-de-sante/recherche/fiche-detaillee-B7c1mzY2ODG7.html</t>
  </si>
  <si>
    <t xml:space="preserve">14:00-17:00(?)&lt;br/&gt;</t>
  </si>
  <si>
    <t xml:space="preserve">09:00-13:30(?)&lt;br/&gt;</t>
  </si>
  <si>
    <t xml:space="preserve">46 RUE NICOLAS</t>
  </si>
  <si>
    <t xml:space="preserve">BUI CHARLES#https://annuairesante.ameli.fr/professionnels-de-sante/recherche/fiche-detaillee-B7c1lTY2NTux.html</t>
  </si>
  <si>
    <t xml:space="preserve">RUE NICOLAS</t>
  </si>
  <si>
    <t xml:space="preserve">ALZAGHLOUL</t>
  </si>
  <si>
    <t xml:space="preserve">ALZAGHLOUL ALEXANDRE#https://annuairesante.ameli.fr/professionnels-de-sante/recherche/fiche-detaillee-B7c1lTYzMjSx.html</t>
  </si>
  <si>
    <t xml:space="preserve">DE ZIEGLER</t>
  </si>
  <si>
    <t xml:space="preserve">DE ZIEGLER DOMINIQUE#https://annuairesante.ameli.fr/professionnels-de-sante/recherche/fiche-detaillee-B7c1mzE4MTK7.html</t>
  </si>
  <si>
    <t xml:space="preserve">DELOISON</t>
  </si>
  <si>
    <t xml:space="preserve">DELOISON BENJAMIN#https://annuairesante.ameli.fr/professionnels-de-sante/recherche/fiche-detaillee-B7c1lTY3NjKx.html</t>
  </si>
  <si>
    <t xml:space="preserve">CORCOS</t>
  </si>
  <si>
    <t xml:space="preserve">01 45 53 75 01</t>
  </si>
  <si>
    <t xml:space="preserve">CORCOS LISA#https://annuairesante.ameli.fr/professionnels-de-sante/recherche/fiche-detaillee-B7c1ljs5MjG7.html</t>
  </si>
  <si>
    <t xml:space="preserve">143</t>
  </si>
  <si>
    <t xml:space="preserve">GUSSI</t>
  </si>
  <si>
    <t xml:space="preserve">ILINCA LUCIA</t>
  </si>
  <si>
    <t xml:space="preserve">01 55 42 77 00</t>
  </si>
  <si>
    <t xml:space="preserve">GUSSI ILINCA LUCIA#https://annuairesante.ameli.fr/professionnels-de-sante/recherche/fiche-detaillee-B7c1lTY0NjWy.html</t>
  </si>
  <si>
    <t xml:space="preserve">01 55 42 77 11</t>
  </si>
  <si>
    <t xml:space="preserve">BESSIS ROGER#https://annuairesante.ameli.fr/professionnels-de-sante/recherche/fiche-detaillee-B7c1mjA3MTu7.html</t>
  </si>
  <si>
    <t xml:space="preserve">JUMAH ALEXANDRE#https://annuairesante.ameli.fr/professionnels-de-sante/recherche/fiche-detaillee-B7c1mzE2ODe3.html</t>
  </si>
  <si>
    <t xml:space="preserve">09:00-12:40(R)&lt;br/&gt;</t>
  </si>
  <si>
    <t xml:space="preserve">14:00-18:40(?)&lt;br/&gt;</t>
  </si>
  <si>
    <t xml:space="preserve">KOUTCHINSKY</t>
  </si>
  <si>
    <t xml:space="preserve">KOUTCHINSKY SONIA#https://annuairesante.ameli.fr/professionnels-de-sante/recherche/fiche-detaillee-B7c1kzM5MDG3.html</t>
  </si>
  <si>
    <t xml:space="preserve">14:00-18:20(R)&lt;br/&gt;</t>
  </si>
  <si>
    <t xml:space="preserve">OPPENHEIMER</t>
  </si>
  <si>
    <t xml:space="preserve">OPPENHEIMER ANNE#https://annuairesante.ameli.fr/professionnels-de-sante/recherche/fiche-detaillee-B7c1lTYxMjqx.html</t>
  </si>
  <si>
    <t xml:space="preserve">THELLIER</t>
  </si>
  <si>
    <t xml:space="preserve">THELLIER ELISE#https://annuairesante.ameli.fr/professionnels-de-sante/recherche/fiche-detaillee-B7c1lTE1NDG3.html</t>
  </si>
  <si>
    <t xml:space="preserve">HEYLER BOURY</t>
  </si>
  <si>
    <t xml:space="preserve">01 40 67 71 95</t>
  </si>
  <si>
    <t xml:space="preserve">HEYLER BOURY CLAUDINE#https://annuairesante.ameli.fr/professionnels-de-sante/recherche/fiche-detaillee-B7c1kDQzNTC6.html</t>
  </si>
  <si>
    <t xml:space="preserve">COHEN BOULAKIA</t>
  </si>
  <si>
    <t xml:space="preserve">25 RUE PAUL VALERY</t>
  </si>
  <si>
    <t xml:space="preserve">01 42 08 11 11</t>
  </si>
  <si>
    <t xml:space="preserve">COHEN BOULAKIA MICHEL#https://annuairesante.ameli.fr/professionnels-de-sante/recherche/fiche-detaillee-B7c1kTMwMzK7.html</t>
  </si>
  <si>
    <t xml:space="preserve">COUDREUSE MEDEVIELLE</t>
  </si>
  <si>
    <t xml:space="preserve">16 RUE DES SAINTS PERES</t>
  </si>
  <si>
    <t xml:space="preserve">01 77 45 67 57</t>
  </si>
  <si>
    <t xml:space="preserve">COUDREUSE MEDEVIELLE MARIE#https://annuairesante.ameli.fr/professionnels-de-sante/recherche/fiche-detaillee-B7c1lDczMje0.html</t>
  </si>
  <si>
    <t xml:space="preserve">VENDROLINI</t>
  </si>
  <si>
    <t xml:space="preserve">01 43 80 17 17</t>
  </si>
  <si>
    <t xml:space="preserve">VENDROLINI GERARD#https://annuairesante.ameli.fr/professionnels-de-sante/recherche/fiche-detaillee-B7c1lDE2OTW0.html</t>
  </si>
  <si>
    <t xml:space="preserve">NEU JANICKI</t>
  </si>
  <si>
    <t xml:space="preserve">88 RUE DE SEVRES</t>
  </si>
  <si>
    <t xml:space="preserve">01 47 83 20 00</t>
  </si>
  <si>
    <t xml:space="preserve">NEU JANICKI ANNE MARIE#https://annuairesante.ameli.fr/professionnels-de-sante/recherche/fiche-detaillee-B7c1kTYyNTe7.html</t>
  </si>
  <si>
    <t xml:space="preserve">YAMGNANE</t>
  </si>
  <si>
    <t xml:space="preserve">YAMGNANE AMINA#https://annuairesante.ameli.fr/professionnels-de-sante/recherche/fiche-detaillee-B7c1lTA4Nzu7.html</t>
  </si>
  <si>
    <t xml:space="preserve">95</t>
  </si>
  <si>
    <t xml:space="preserve">AIMOT MACRON</t>
  </si>
  <si>
    <t xml:space="preserve">AIMOT MACRON SABINE#https://annuairesante.ameli.fr/professionnels-de-sante/recherche/fiche-detaillee-B7c1kjI4NjO2.html</t>
  </si>
  <si>
    <t xml:space="preserve">AUBRY</t>
  </si>
  <si>
    <t xml:space="preserve">GABRIELLE</t>
  </si>
  <si>
    <t xml:space="preserve">78 AVENUE DE LA BOURDONNAIS</t>
  </si>
  <si>
    <t xml:space="preserve">01 89 16 85 85</t>
  </si>
  <si>
    <t xml:space="preserve">AUBRY GABRIELLE#https://annuairesante.ameli.fr/professionnels-de-sante/recherche/fiche-detaillee-B7c1kjU2Mju6.html</t>
  </si>
  <si>
    <t xml:space="preserve">PERNIN</t>
  </si>
  <si>
    <t xml:space="preserve">NAJIA</t>
  </si>
  <si>
    <t xml:space="preserve">2 SQUARE DE LA TOUR MAUBOURG</t>
  </si>
  <si>
    <t xml:space="preserve">PERNIN NAJIA#https://annuairesante.ameli.fr/professionnels-de-sante/recherche/fiche-detaillee-B7c1lTM2MTS0.html</t>
  </si>
  <si>
    <t xml:space="preserve">SQUARE DE LA TOUR MAUBOURG</t>
  </si>
  <si>
    <t xml:space="preserve">LAURATET HUGUENIN</t>
  </si>
  <si>
    <t xml:space="preserve">BETTY</t>
  </si>
  <si>
    <t xml:space="preserve">217 RUE DE L UNIVERSITE</t>
  </si>
  <si>
    <t xml:space="preserve">09 53 08 50 80</t>
  </si>
  <si>
    <t xml:space="preserve">LAURATET HUGUENIN BETTY#https://annuairesante.ameli.fr/professionnels-de-sante/recherche/fiche-detaillee-B7c1lTE4NzS2.html</t>
  </si>
  <si>
    <t xml:space="preserve">217</t>
  </si>
  <si>
    <t xml:space="preserve">GEORGES PICOT MARCILLE</t>
  </si>
  <si>
    <t xml:space="preserve">01 42 60 43 63</t>
  </si>
  <si>
    <t xml:space="preserve">GEORGES PICOT MARCILLE PAULINE#https://annuairesante.ameli.fr/professionnels-de-sante/recherche/fiche-detaillee-B7c1kjUyOTC3.html</t>
  </si>
  <si>
    <t xml:space="preserve">33 AVENUE RAPP</t>
  </si>
  <si>
    <t xml:space="preserve">01 45 51 21 73</t>
  </si>
  <si>
    <t xml:space="preserve">BENHAMOU MARYSE#https://annuairesante.ameli.fr/professionnels-de-sante/recherche/fiche-detaillee-B7c1ljI4MzO7.html</t>
  </si>
  <si>
    <t xml:space="preserve">01 84 16 50 37</t>
  </si>
  <si>
    <t xml:space="preserve">ARNAUD ELODIE#https://annuairesante.ameli.fr/professionnels-de-sante/recherche/fiche-detaillee-B7c1mzY1OTG3.html</t>
  </si>
  <si>
    <t xml:space="preserve">13:30-14:00(R)&lt;br/&gt;</t>
  </si>
  <si>
    <t xml:space="preserve">DUFOND</t>
  </si>
  <si>
    <t xml:space="preserve">DUFOND CLEMENCE#https://annuairesante.ameli.fr/professionnels-de-sante/recherche/fiche-detaillee-B7c1kzYyMDS0.html</t>
  </si>
  <si>
    <t xml:space="preserve">BOUHANNA</t>
  </si>
  <si>
    <t xml:space="preserve">BOUHANNA PHILIPPE#https://annuairesante.ameli.fr/professionnels-de-sante/recherche/fiche-detaillee-B7c1lTA3NDS2.html</t>
  </si>
  <si>
    <t xml:space="preserve">TULPIN</t>
  </si>
  <si>
    <t xml:space="preserve">LUCE</t>
  </si>
  <si>
    <t xml:space="preserve">TULPIN LUCE#https://annuairesante.ameli.fr/professionnels-de-sante/recherche/fiche-detaillee-B7c1lTYxNTK1.html</t>
  </si>
  <si>
    <t xml:space="preserve">01 41 74 79 25</t>
  </si>
  <si>
    <t xml:space="preserve">DERREUMAUX BERNARD#https://annuairesante.ameli.fr/professionnels-de-sante/recherche/fiche-detaillee-B7c1ljE1Nze2.html</t>
  </si>
  <si>
    <t xml:space="preserve">01 40 61 11 00</t>
  </si>
  <si>
    <t xml:space="preserve">EVEN MARC#https://annuairesante.ameli.fr/professionnels-de-sante/recherche/fiche-detaillee-B7c1lTE1MDu0.html</t>
  </si>
  <si>
    <t xml:space="preserve">LE TOHIC</t>
  </si>
  <si>
    <t xml:space="preserve">LE TOHIC ARNAUD#https://annuairesante.ameli.fr/professionnels-de-sante/recherche/fiche-detaillee-B7c1lTA1MjW7.html</t>
  </si>
  <si>
    <t xml:space="preserve">DE GAYFFIER</t>
  </si>
  <si>
    <t xml:space="preserve">07 88 08 26 12</t>
  </si>
  <si>
    <t xml:space="preserve">DE GAYFFIER ANTOINE#https://annuairesante.ameli.fr/professionnels-de-sante/recherche/fiche-detaillee-B7c1lDI1MDC0.html</t>
  </si>
  <si>
    <t xml:space="preserve">MAUREL</t>
  </si>
  <si>
    <t xml:space="preserve">MAUREL MELINDA#https://annuairesante.ameli.fr/professionnels-de-sante/recherche/fiche-detaillee-B7c1mzY3NDax.html</t>
  </si>
  <si>
    <t xml:space="preserve">GROUIN</t>
  </si>
  <si>
    <t xml:space="preserve">4 RUE RUE DU DOCTEUR ROUX</t>
  </si>
  <si>
    <t xml:space="preserve">GROUIN AMELIE#https://annuairesante.ameli.fr/professionnels-de-sante/recherche/fiche-detaillee-B7c1mjA5MTK2.html</t>
  </si>
  <si>
    <t xml:space="preserve">RUE RUE DU DOCTEUR ROUX</t>
  </si>
  <si>
    <t xml:space="preserve">MEDIOUNI</t>
  </si>
  <si>
    <t xml:space="preserve">IMEN</t>
  </si>
  <si>
    <t xml:space="preserve">MEDIOUNI IMEN#https://annuairesante.ameli.fr/professionnels-de-sante/recherche/fiche-detaillee-B7c1kjQ5ODS1.html</t>
  </si>
  <si>
    <t xml:space="preserve">OLLIVE</t>
  </si>
  <si>
    <t xml:space="preserve">OLLIVE DELPHINE#https://annuairesante.ameli.fr/professionnels-de-sante/recherche/fiche-detaillee-B7c1lDUzMDCx.html</t>
  </si>
  <si>
    <t xml:space="preserve">CHENE</t>
  </si>
  <si>
    <t xml:space="preserve">PATRICK ANDRE</t>
  </si>
  <si>
    <t xml:space="preserve">3 RUE SERRET</t>
  </si>
  <si>
    <t xml:space="preserve">09 82 29 60 29</t>
  </si>
  <si>
    <t xml:space="preserve">CHENE PATRICK ANDRE#https://annuairesante.ameli.fr/professionnels-de-sante/recherche/fiche-detaillee-B7c1kjI0ODez.html</t>
  </si>
  <si>
    <t xml:space="preserve">RUE SERRET</t>
  </si>
  <si>
    <t xml:space="preserve">FAHD</t>
  </si>
  <si>
    <t xml:space="preserve">ABDESLAM</t>
  </si>
  <si>
    <t xml:space="preserve">FAHD ABDESLAM#https://annuairesante.ameli.fr/professionnels-de-sante/recherche/fiche-detaillee-B7c1mjA4Mjq2.html</t>
  </si>
  <si>
    <t xml:space="preserve">BEYTOUT ZIMRA</t>
  </si>
  <si>
    <t xml:space="preserve">BEYTOUT ZIMRA CLEMENTINE#https://annuairesante.ameli.fr/professionnels-de-sante/recherche/fiche-detaillee-B7c1mzY4MzCw.html</t>
  </si>
  <si>
    <t xml:space="preserve">PAIS SEBBAH</t>
  </si>
  <si>
    <t xml:space="preserve">PRESCILLA</t>
  </si>
  <si>
    <t xml:space="preserve">01 53 86 78 67</t>
  </si>
  <si>
    <t xml:space="preserve">PAIS SEBBAH PRESCILLA#https://annuairesante.ameli.fr/professionnels-de-sante/recherche/fiche-detaillee-B7c1lTYxMjO6.html</t>
  </si>
  <si>
    <t xml:space="preserve">4 RUE DU DR ROUX</t>
  </si>
  <si>
    <t xml:space="preserve">KRIEF DAVID#https://annuairesante.ameli.fr/professionnels-de-sante/recherche/fiche-detaillee-B7c1lTYwODez.html</t>
  </si>
  <si>
    <t xml:space="preserve">RUE DU DR ROUX</t>
  </si>
  <si>
    <t xml:space="preserve">GOUT</t>
  </si>
  <si>
    <t xml:space="preserve">09 83 51 80 49</t>
  </si>
  <si>
    <t xml:space="preserve">GOUT CLEMENCE#https://annuairesante.ameli.fr/professionnels-de-sante/recherche/fiche-detaillee-B7c1mzY0MzCy.html</t>
  </si>
  <si>
    <t xml:space="preserve">KINN</t>
  </si>
  <si>
    <t xml:space="preserve">KINN JULIETTE#https://annuairesante.ameli.fr/professionnels-de-sante/recherche/fiche-detaillee-B7c1lTY1NDqx.html</t>
  </si>
  <si>
    <t xml:space="preserve">SAVESCU</t>
  </si>
  <si>
    <t xml:space="preserve">BIANCA ALICE</t>
  </si>
  <si>
    <t xml:space="preserve">SAVESCU BIANCA ALICE#https://annuairesante.ameli.fr/professionnels-de-sante/recherche/fiche-detaillee-B7c1lTYyMTSw.html</t>
  </si>
  <si>
    <t xml:space="preserve">DIETRICH</t>
  </si>
  <si>
    <t xml:space="preserve">GAUTHIER</t>
  </si>
  <si>
    <t xml:space="preserve">DIETRICH GAUTHIER#https://annuairesante.ameli.fr/professionnels-de-sante/recherche/fiche-detaillee-B7c1lTY1Nju7.html</t>
  </si>
  <si>
    <t xml:space="preserve">BOUAZIZ JEROME#https://annuairesante.ameli.fr/professionnels-de-sante/recherche/fiche-detaillee-B7c1lTE5Mzu2.html</t>
  </si>
  <si>
    <t xml:space="preserve">FRANCO</t>
  </si>
  <si>
    <t xml:space="preserve">37 RUE ST LAMBERT</t>
  </si>
  <si>
    <t xml:space="preserve">FRANCO MICHELE#https://annuairesante.ameli.fr/professionnels-de-sante/recherche/fiche-detaillee-B7c1mjM0Nja6.html</t>
  </si>
  <si>
    <t xml:space="preserve">DABI</t>
  </si>
  <si>
    <t xml:space="preserve">YOHANN</t>
  </si>
  <si>
    <t xml:space="preserve">01 40 45 37 64</t>
  </si>
  <si>
    <t xml:space="preserve">DABI YOHANN#https://annuairesante.ameli.fr/professionnels-de-sante/recherche/fiche-detaillee-B7c1lTE5MTSw.html</t>
  </si>
  <si>
    <t xml:space="preserve">SEBBAN ANTHONY#https://annuairesante.ameli.fr/professionnels-de-sante/recherche/fiche-detaillee-B7c1lTMwNje0.html</t>
  </si>
  <si>
    <t xml:space="preserve">TOUBIA</t>
  </si>
  <si>
    <t xml:space="preserve">MARIE LINA</t>
  </si>
  <si>
    <t xml:space="preserve">362 RUE LECOURBE</t>
  </si>
  <si>
    <t xml:space="preserve">01 45 54 12 95</t>
  </si>
  <si>
    <t xml:space="preserve">TOUBIA MARIE LINA#https://annuairesante.ameli.fr/professionnels-de-sante/recherche/fiche-detaillee-B7c1lDExNDKz.html</t>
  </si>
  <si>
    <t xml:space="preserve">14:00-19:10(R)&lt;br/&gt;</t>
  </si>
  <si>
    <t xml:space="preserve">362</t>
  </si>
  <si>
    <t xml:space="preserve">AFRIAT</t>
  </si>
  <si>
    <t xml:space="preserve">AFRIAT RAYMOND#https://annuairesante.ameli.fr/professionnels-de-sante/recherche/fiche-detaillee-B7c1lTIzMTO7.html</t>
  </si>
  <si>
    <t xml:space="preserve">COHEN ISABELLE#https://annuairesante.ameli.fr/professionnels-de-sante/recherche/fiche-detaillee-B7c1mjExMzS3.html</t>
  </si>
  <si>
    <t xml:space="preserve">LEMOINE LAUDE</t>
  </si>
  <si>
    <t xml:space="preserve">01 44 19 52 02</t>
  </si>
  <si>
    <t xml:space="preserve">LEMOINE LAUDE AGNES#https://annuairesante.ameli.fr/professionnels-de-sante/recherche/fiche-detaillee-B7c1lDA1NDOw.html</t>
  </si>
  <si>
    <t xml:space="preserve">JOANNE KIM</t>
  </si>
  <si>
    <t xml:space="preserve">01 34 88 30 02</t>
  </si>
  <si>
    <t xml:space="preserve">JEFFERY JOANNE KIM#https://annuairesante.ameli.fr/professionnels-de-sante/recherche/fiche-detaillee-B7c1mjA5MDu0.html</t>
  </si>
  <si>
    <t xml:space="preserve">SUSSMANN</t>
  </si>
  <si>
    <t xml:space="preserve">SUSSMANN MICHEL#https://annuairesante.ameli.fr/professionnels-de-sante/recherche/fiche-detaillee-B7c1kzA5MTK7.html</t>
  </si>
  <si>
    <t xml:space="preserve">NEURAZ</t>
  </si>
  <si>
    <t xml:space="preserve">NEURAZ ANNICK#https://annuairesante.ameli.fr/professionnels-de-sante/recherche/fiche-detaillee-B7c1mjExNjSw.html</t>
  </si>
  <si>
    <t xml:space="preserve">WANG</t>
  </si>
  <si>
    <t xml:space="preserve">YUTING</t>
  </si>
  <si>
    <t xml:space="preserve">WANG YUTING#https://annuairesante.ameli.fr/professionnels-de-sante/recherche/fiche-detaillee-B7c1mjA5OTWz.html</t>
  </si>
  <si>
    <t xml:space="preserve">ROBEY</t>
  </si>
  <si>
    <t xml:space="preserve">ROBEY FRANCOISE#https://annuairesante.ameli.fr/professionnels-de-sante/recherche/fiche-detaillee-B7c1kDowNDu2.html</t>
  </si>
  <si>
    <t xml:space="preserve">50</t>
  </si>
  <si>
    <t xml:space="preserve">CONQUY</t>
  </si>
  <si>
    <t xml:space="preserve">CONQUY PATRICK#https://annuairesante.ameli.fr/professionnels-de-sante/recherche/fiche-detaillee-B7c1kTYxMjK7.html</t>
  </si>
  <si>
    <t xml:space="preserve">254</t>
  </si>
  <si>
    <t xml:space="preserve">ELIE JACQUES</t>
  </si>
  <si>
    <t xml:space="preserve">HAMOU ELIE JACQUES#https://annuairesante.ameli.fr/professionnels-de-sante/recherche/fiche-detaillee-B7c1kDI2ODa0.html</t>
  </si>
  <si>
    <t xml:space="preserve">BINET</t>
  </si>
  <si>
    <t xml:space="preserve">77B AVENUE DE BRETEUIL</t>
  </si>
  <si>
    <t xml:space="preserve">BINET ANNA#https://annuairesante.ameli.fr/professionnels-de-sante/recherche/fiche-detaillee-B7c1kjM2OTu1.html</t>
  </si>
  <si>
    <t xml:space="preserve">RIHAOUI</t>
  </si>
  <si>
    <t xml:space="preserve">01 40 45 37 62</t>
  </si>
  <si>
    <t xml:space="preserve">RIHAOUI SAMIA#https://annuairesante.ameli.fr/professionnels-de-sante/recherche/fiche-detaillee-B7c1lTE0OTKx.html</t>
  </si>
  <si>
    <t xml:space="preserve">BRESSET</t>
  </si>
  <si>
    <t xml:space="preserve">BRESSET ARNAUD#https://annuairesante.ameli.fr/professionnels-de-sante/recherche/fiche-detaillee-B7c1lTYwNTu0.html</t>
  </si>
  <si>
    <t xml:space="preserve">OUAHBA</t>
  </si>
  <si>
    <t xml:space="preserve">OUAHBA JONATHAN#https://annuairesante.ameli.fr/professionnels-de-sante/recherche/fiche-detaillee-B7c1lTE4ODGy.html</t>
  </si>
  <si>
    <t xml:space="preserve">TRABBIA</t>
  </si>
  <si>
    <t xml:space="preserve">AURORE</t>
  </si>
  <si>
    <t xml:space="preserve">4 RUE ROBERT DE FLERS</t>
  </si>
  <si>
    <t xml:space="preserve">01 45 74 34 40</t>
  </si>
  <si>
    <t xml:space="preserve">TRABBIA AURORE#https://annuairesante.ameli.fr/professionnels-de-sante/recherche/fiche-detaillee-B7c1kjc1Nzey.html</t>
  </si>
  <si>
    <t xml:space="preserve">14:00-15:30(R)&lt;br/&gt;</t>
  </si>
  <si>
    <t xml:space="preserve">14:00-14:30(R)&lt;br/&gt;</t>
  </si>
  <si>
    <t xml:space="preserve">MEKKI</t>
  </si>
  <si>
    <t xml:space="preserve">DHIA</t>
  </si>
  <si>
    <t xml:space="preserve">8B RUE DE LA TERRASSE</t>
  </si>
  <si>
    <t xml:space="preserve">09 65 17 52 93</t>
  </si>
  <si>
    <t xml:space="preserve">MEKKI DHIA#https://annuairesante.ameli.fr/professionnels-de-sante/recherche/fiche-detaillee-B7c1kzE5OTC0.html</t>
  </si>
  <si>
    <t xml:space="preserve">RUE DE LA TERRASSE</t>
  </si>
  <si>
    <t xml:space="preserve">THERON GERARD LUCIE#https://annuairesante.ameli.fr/professionnels-de-sante/recherche/fiche-detaillee-B7c1kjU5MTa6.html</t>
  </si>
  <si>
    <t xml:space="preserve">KOUCHNER</t>
  </si>
  <si>
    <t xml:space="preserve">40 BOULEVARD DE COURCELLES</t>
  </si>
  <si>
    <t xml:space="preserve">01 42 12 02 66</t>
  </si>
  <si>
    <t xml:space="preserve">KOUCHNER PIERRE#https://annuairesante.ameli.fr/professionnels-de-sante/recherche/fiche-detaillee-B7c1lTE5Mza3.html</t>
  </si>
  <si>
    <t xml:space="preserve">PERDIGAO COTTA</t>
  </si>
  <si>
    <t xml:space="preserve">PERDIGAO COTTA SIMONE#https://annuairesante.ameli.fr/professionnels-de-sante/recherche/fiche-detaillee-B7c1kjI0MzWw.html</t>
  </si>
  <si>
    <t xml:space="preserve">BODILCU</t>
  </si>
  <si>
    <t xml:space="preserve">BOGDANA</t>
  </si>
  <si>
    <t xml:space="preserve">27 RUE DE BROCHANT</t>
  </si>
  <si>
    <t xml:space="preserve">07 88 63 64 10</t>
  </si>
  <si>
    <t xml:space="preserve">BODILCU BOGDANA#https://annuairesante.ameli.fr/professionnels-de-sante/recherche/fiche-detaillee-B7c1kjowMzGw.html</t>
  </si>
  <si>
    <t xml:space="preserve">RUE DE BROCHANT</t>
  </si>
  <si>
    <t xml:space="preserve">NAOURA</t>
  </si>
  <si>
    <t xml:space="preserve">IPTISSEM</t>
  </si>
  <si>
    <t xml:space="preserve">01 40 26 06 05</t>
  </si>
  <si>
    <t xml:space="preserve">NAOURA IPTISSEM#https://annuairesante.ameli.fr/professionnels-de-sante/recherche/fiche-detaillee-B7c1mzc1MDS0.html</t>
  </si>
  <si>
    <t xml:space="preserve">06 19 70 06 55</t>
  </si>
  <si>
    <t xml:space="preserve">JARDIN ISABELLE#https://annuairesante.ameli.fr/professionnels-de-sante/recherche/fiche-detaillee-B7c1kzc3Nzu3.html</t>
  </si>
  <si>
    <t xml:space="preserve">IRRMANN CHATEL</t>
  </si>
  <si>
    <t xml:space="preserve">01 42 27 13 93</t>
  </si>
  <si>
    <t xml:space="preserve">IRRMANN CHATEL ALEXANDRA#https://annuairesante.ameli.fr/professionnels-de-sante/recherche/fiche-detaillee-B7c1kzEzODCy.html</t>
  </si>
  <si>
    <t xml:space="preserve">DUFOUR</t>
  </si>
  <si>
    <t xml:space="preserve">CELYNE</t>
  </si>
  <si>
    <t xml:space="preserve">7 RUE VILLEBOIS MAREUIL</t>
  </si>
  <si>
    <t xml:space="preserve">01 45 00 40 30</t>
  </si>
  <si>
    <t xml:space="preserve">DUFOUR CELYNE#https://annuairesante.ameli.fr/professionnels-de-sante/recherche/fiche-detaillee-B7c1kjIwNTSz.html</t>
  </si>
  <si>
    <t xml:space="preserve">RUE VILLEBOIS MAREUIL</t>
  </si>
  <si>
    <t xml:space="preserve">BIGIO</t>
  </si>
  <si>
    <t xml:space="preserve">01 42 29 27 25</t>
  </si>
  <si>
    <t xml:space="preserve">BIGIO CAROLE#https://annuairesante.ameli.fr/professionnels-de-sante/recherche/fiche-detaillee-B7c1ljEzMjSz.html</t>
  </si>
  <si>
    <t xml:space="preserve">MURTADA</t>
  </si>
  <si>
    <t xml:space="preserve">ROUBA</t>
  </si>
  <si>
    <t xml:space="preserve">MURTADA ROUBA#https://annuairesante.ameli.fr/professionnels-de-sante/recherche/fiche-detaillee-B7c1mzcwNzu7.html</t>
  </si>
  <si>
    <t xml:space="preserve">HANAU</t>
  </si>
  <si>
    <t xml:space="preserve">HANAU CORINNE#https://annuairesante.ameli.fr/professionnels-de-sante/recherche/fiche-detaillee-B7c1ljoyMTC2.html</t>
  </si>
  <si>
    <t xml:space="preserve">10:40-14:00(R)&lt;br/&gt;</t>
  </si>
  <si>
    <t xml:space="preserve">CHIVAS</t>
  </si>
  <si>
    <t xml:space="preserve">CHIVAS GEORGES#https://annuairesante.ameli.fr/professionnels-de-sante/recherche/fiche-detaillee-B7c1lTE3Mjay.html</t>
  </si>
  <si>
    <t xml:space="preserve">CECCALDI CARP</t>
  </si>
  <si>
    <t xml:space="preserve">PIERRE FRANCOIS</t>
  </si>
  <si>
    <t xml:space="preserve">CECCALDI CARP PIERRE FRANCOIS#https://annuairesante.ameli.fr/professionnels-de-sante/recherche/fiche-detaillee-B7c1mzc0MTu0.html</t>
  </si>
  <si>
    <t xml:space="preserve">GUTERMAN</t>
  </si>
  <si>
    <t xml:space="preserve">GUTERMAN SARAH#https://annuairesante.ameli.fr/professionnels-de-sante/recherche/fiche-detaillee-B7c1mzczNDW2.html</t>
  </si>
  <si>
    <t xml:space="preserve">RAAD</t>
  </si>
  <si>
    <t xml:space="preserve">JADE</t>
  </si>
  <si>
    <t xml:space="preserve">RAAD JADE#https://annuairesante.ameli.fr/professionnels-de-sante/recherche/fiche-detaillee-B7c1kjs2Nzaw.html</t>
  </si>
  <si>
    <t xml:space="preserve">LAVONGTHEUNG</t>
  </si>
  <si>
    <t xml:space="preserve">LAVONGTHEUNG ANAIS#https://annuairesante.ameli.fr/professionnels-de-sante/recherche/fiche-detaillee-B7c1mzczMzuz.html</t>
  </si>
  <si>
    <t xml:space="preserve">HIND</t>
  </si>
  <si>
    <t xml:space="preserve">01 46 25 29 04</t>
  </si>
  <si>
    <t xml:space="preserve">ABBOU HIND#https://annuairesante.ameli.fr/professionnels-de-sante/recherche/fiche-detaillee-B7c1mzY4OTqx.html</t>
  </si>
  <si>
    <t xml:space="preserve">PIERRE GUILLAUME#https://annuairesante.ameli.fr/professionnels-de-sante/recherche/fiche-detaillee-B7c1lTA4NTe7.html</t>
  </si>
  <si>
    <t xml:space="preserve">DEIS DE FABIANI</t>
  </si>
  <si>
    <t xml:space="preserve">DEIS DE FABIANI STEPHANIE#https://annuairesante.ameli.fr/professionnels-de-sante/recherche/fiche-detaillee-B7c1mjM1OTq7.html</t>
  </si>
  <si>
    <t xml:space="preserve">HARIF</t>
  </si>
  <si>
    <t xml:space="preserve">56 RUE DES BATIGNOLLES</t>
  </si>
  <si>
    <t xml:space="preserve">01 53 06 80 08</t>
  </si>
  <si>
    <t xml:space="preserve">HARIF MARIE#https://annuairesante.ameli.fr/professionnels-de-sante/recherche/fiche-detaillee-B7c1mzYyMTC1.html</t>
  </si>
  <si>
    <t xml:space="preserve">RUE DES BATIGNOLLES</t>
  </si>
  <si>
    <t xml:space="preserve">ROZETTE</t>
  </si>
  <si>
    <t xml:space="preserve">ROZETTE SONIA#https://annuairesante.ameli.fr/professionnels-de-sante/recherche/fiche-detaillee-B7c1kzEyMTC3.html</t>
  </si>
  <si>
    <t xml:space="preserve">AKNIN ALAIN#https://annuairesante.ameli.fr/professionnels-de-sante/recherche/fiche-detaillee-B7c1mjMyNTS7.html</t>
  </si>
  <si>
    <t xml:space="preserve">LALLOUM</t>
  </si>
  <si>
    <t xml:space="preserve">74 RUE PIERRE DEMOURS</t>
  </si>
  <si>
    <t xml:space="preserve">01 42 81 43 30</t>
  </si>
  <si>
    <t xml:space="preserve">LALLOUM MARJORIE#https://annuairesante.ameli.fr/professionnels-de-sante/recherche/fiche-detaillee-B7c1kjIyOTK0.html</t>
  </si>
  <si>
    <t xml:space="preserve">DOUARD</t>
  </si>
  <si>
    <t xml:space="preserve">01 45 74 74 88</t>
  </si>
  <si>
    <t xml:space="preserve">DOUARD STEPHANE#https://annuairesante.ameli.fr/professionnels-de-sante/recherche/fiche-detaillee-B7c1lzsyOTa6.html</t>
  </si>
  <si>
    <t xml:space="preserve">12:20-14:00(R)&lt;br/&gt;</t>
  </si>
  <si>
    <t xml:space="preserve">62</t>
  </si>
  <si>
    <t xml:space="preserve">7 RUE LECOMTE</t>
  </si>
  <si>
    <t xml:space="preserve">01 53 66 60 20</t>
  </si>
  <si>
    <t xml:space="preserve">TEBOUL JOELLE#https://annuairesante.ameli.fr/professionnels-de-sante/recherche/fiche-detaillee-B7c1lDc5Mzu2.html</t>
  </si>
  <si>
    <t xml:space="preserve">RUE LECOMTE</t>
  </si>
  <si>
    <t xml:space="preserve">GAYET</t>
  </si>
  <si>
    <t xml:space="preserve">GAYET VANESSA#https://annuairesante.ameli.fr/professionnels-de-sante/recherche/fiche-detaillee-B7c1mzY2MjS6.html</t>
  </si>
  <si>
    <t xml:space="preserve">PACELLI</t>
  </si>
  <si>
    <t xml:space="preserve">JOHAN</t>
  </si>
  <si>
    <t xml:space="preserve">PACELLI JOHAN#https://annuairesante.ameli.fr/professionnels-de-sante/recherche/fiche-detaillee-B7c1mzcyMjGx.html</t>
  </si>
  <si>
    <t xml:space="preserve">NAIME ALIX</t>
  </si>
  <si>
    <t xml:space="preserve">ANNE FLORENCE</t>
  </si>
  <si>
    <t xml:space="preserve">01 53 06 80 04</t>
  </si>
  <si>
    <t xml:space="preserve">NAIME ALIX ANNE FLORENCE#https://annuairesante.ameli.fr/professionnels-de-sante/recherche/fiche-detaillee-B7c1mzY4ODey.html</t>
  </si>
  <si>
    <t xml:space="preserve">VANLIEFERINGHEN</t>
  </si>
  <si>
    <t xml:space="preserve">VANLIEFERINGHEN SARAH#https://annuairesante.ameli.fr/professionnels-de-sante/recherche/fiche-detaillee-B7c1mzY4NDe2.html</t>
  </si>
  <si>
    <t xml:space="preserve">FAY</t>
  </si>
  <si>
    <t xml:space="preserve">FAY STEPHANIE#https://annuairesante.ameli.fr/professionnels-de-sante/recherche/fiche-detaillee-B7c1mzY4NDWy.html</t>
  </si>
  <si>
    <t xml:space="preserve">ABDUL RAZAK</t>
  </si>
  <si>
    <t xml:space="preserve">ROBA</t>
  </si>
  <si>
    <t xml:space="preserve">01 44 01 00 53</t>
  </si>
  <si>
    <t xml:space="preserve">ABDUL RAZAK ROBA#https://annuairesante.ameli.fr/professionnels-de-sante/recherche/fiche-detaillee-B7c1mjAzNTu2.html</t>
  </si>
  <si>
    <t xml:space="preserve">FRIGUE</t>
  </si>
  <si>
    <t xml:space="preserve">VERNI</t>
  </si>
  <si>
    <t xml:space="preserve">8B RUE MARGUERITTE</t>
  </si>
  <si>
    <t xml:space="preserve">06 23 09 44 91</t>
  </si>
  <si>
    <t xml:space="preserve">FRIGUE VERNI#https://annuairesante.ameli.fr/professionnels-de-sante/recherche/fiche-detaillee-B7c1kzAyNjOx.html</t>
  </si>
  <si>
    <t xml:space="preserve">KUOH MOUKOURI</t>
  </si>
  <si>
    <t xml:space="preserve">116 RUE DE TOCQUEVILLE</t>
  </si>
  <si>
    <t xml:space="preserve">KUOH MOUKOURI CHRISTIAN#https://annuairesante.ameli.fr/professionnels-de-sante/recherche/fiche-detaillee-B7c1lDsxNjG1.html</t>
  </si>
  <si>
    <t xml:space="preserve">116</t>
  </si>
  <si>
    <t xml:space="preserve">AFLAK</t>
  </si>
  <si>
    <t xml:space="preserve">46 AVENUE NIEL</t>
  </si>
  <si>
    <t xml:space="preserve">01 44 09 01 41</t>
  </si>
  <si>
    <t xml:space="preserve">AFLAK NIZAR#https://annuairesante.ameli.fr/professionnels-de-sante/recherche/fiche-detaillee-B7c1lDQwMTaz.html</t>
  </si>
  <si>
    <t xml:space="preserve">OMNES</t>
  </si>
  <si>
    <t xml:space="preserve">OMNES SOPHIE#https://annuairesante.ameli.fr/professionnels-de-sante/recherche/fiche-detaillee-B7c1mzY3ODS2.html</t>
  </si>
  <si>
    <t xml:space="preserve">123</t>
  </si>
  <si>
    <t xml:space="preserve">ASCOET</t>
  </si>
  <si>
    <t xml:space="preserve">159 RUE LEGENDRE</t>
  </si>
  <si>
    <t xml:space="preserve">01 42 29 38 07</t>
  </si>
  <si>
    <t xml:space="preserve">ASCOET NELLY#https://annuairesante.ameli.fr/professionnels-de-sante/recherche/fiche-detaillee-B7c1lzIzOTWw.html</t>
  </si>
  <si>
    <t xml:space="preserve">159</t>
  </si>
  <si>
    <t xml:space="preserve">LABROUSSE</t>
  </si>
  <si>
    <t xml:space="preserve">117 RUE CARDINET</t>
  </si>
  <si>
    <t xml:space="preserve">LABROUSSE CAROLINE#https://annuairesante.ameli.fr/professionnels-de-sante/recherche/fiche-detaillee-B7c1mzY4Mzq7.html</t>
  </si>
  <si>
    <t xml:space="preserve">08:15-14:00(R)&lt;br/&gt;</t>
  </si>
  <si>
    <t xml:space="preserve">08:15-13:00(R)&lt;br/&gt;</t>
  </si>
  <si>
    <t xml:space="preserve">SEBBAN ERIC#https://annuairesante.ameli.fr/professionnels-de-sante/recherche/fiche-detaillee-CbA1lTMzMDu1.html</t>
  </si>
  <si>
    <t xml:space="preserve">55 BOULEVARD DU CHATEAU</t>
  </si>
  <si>
    <t xml:space="preserve">SANANES NICOLAS#https://annuairesante.ameli.fr/professionnels-de-sante/recherche/fiche-detaillee-CbA1kjo1NDWz.html</t>
  </si>
  <si>
    <t xml:space="preserve">BOULEVARD DU CHATEAU</t>
  </si>
  <si>
    <t xml:space="preserve">LACAM</t>
  </si>
  <si>
    <t xml:space="preserve">01 46 41 28 82</t>
  </si>
  <si>
    <t xml:space="preserve">LACAM CELINE#https://annuairesante.ameli.fr/professionnels-de-sante/recherche/fiche-detaillee-CbA1mjEyODa2.html</t>
  </si>
  <si>
    <t xml:space="preserve">BENDIFALLAH</t>
  </si>
  <si>
    <t xml:space="preserve">SOFIANE</t>
  </si>
  <si>
    <t xml:space="preserve">BENDIFALLAH SOFIANE#https://annuairesante.ameli.fr/professionnels-de-sante/recherche/fiche-detaillee-CbA1kjo3Mja3.html</t>
  </si>
  <si>
    <t xml:space="preserve">SALAMA SAMUEL#https://annuairesante.ameli.fr/professionnels-de-sante/recherche/fiche-detaillee-CbA1kjU1Mjaz.html</t>
  </si>
  <si>
    <t xml:space="preserve">14:00-19:45(R)&lt;br/&gt;</t>
  </si>
  <si>
    <t xml:space="preserve">POGNOT</t>
  </si>
  <si>
    <t xml:space="preserve">POGNOT DANIEL#https://annuairesante.ameli.fr/professionnels-de-sante/recherche/fiche-detaillee-CbA1mjEyODS7.html</t>
  </si>
  <si>
    <t xml:space="preserve">LETOMBE</t>
  </si>
  <si>
    <t xml:space="preserve">LETOMBE BRIGITTE#https://annuairesante.ameli.fr/professionnels-de-sante/recherche/fiche-detaillee-CbA1kjUyNDuy.html</t>
  </si>
  <si>
    <t xml:space="preserve">EVE</t>
  </si>
  <si>
    <t xml:space="preserve">MULLER EVE#https://annuairesante.ameli.fr/professionnels-de-sante/recherche/fiche-detaillee-CbA1mjE3MDW6.html</t>
  </si>
  <si>
    <t xml:space="preserve">GAUTHIER ANDRE#https://annuairesante.ameli.fr/professionnels-de-sante/recherche/fiche-detaillee-CbA1mjE2Mjuy.html</t>
  </si>
  <si>
    <t xml:space="preserve">MELLOUL CHARLES#https://annuairesante.ameli.fr/professionnels-de-sante/recherche/fiche-detaillee-CbA1lTM3MDa7.html</t>
  </si>
  <si>
    <t xml:space="preserve">MATUCHANSKY</t>
  </si>
  <si>
    <t xml:space="preserve">105 AVENUE CHARLES DE GAULLE</t>
  </si>
  <si>
    <t xml:space="preserve">MATUCHANSKY CHRISTINE#https://annuairesante.ameli.fr/professionnels-de-sante/recherche/fiche-detaillee-CbA1lTI1ODe2.html</t>
  </si>
  <si>
    <t xml:space="preserve">FANTA</t>
  </si>
  <si>
    <t xml:space="preserve">KANTE FANTA#https://annuairesante.ameli.fr/professionnels-de-sante/recherche/fiche-detaillee-CbA1mjYxNTuz.html</t>
  </si>
  <si>
    <t xml:space="preserve">PARIENTE</t>
  </si>
  <si>
    <t xml:space="preserve">PARIENTE JULIE#https://annuairesante.ameli.fr/professionnels-de-sante/recherche/fiche-detaillee-CbA1mjYxODqy.html</t>
  </si>
  <si>
    <t xml:space="preserve">FURET</t>
  </si>
  <si>
    <t xml:space="preserve">FURET ELISE#https://annuairesante.ameli.fr/professionnels-de-sante/recherche/fiche-detaillee-CbA1mjYyOTaw.html</t>
  </si>
  <si>
    <t xml:space="preserve">6 RUE DU BOCCADOR</t>
  </si>
  <si>
    <t xml:space="preserve">01 49 52 02 32</t>
  </si>
  <si>
    <t xml:space="preserve">SULTAN BRIGITTE#https://annuairesante.ameli.fr/professionnels-de-sante/recherche/fiche-detaillee-B7c1ljo2OTey.html</t>
  </si>
  <si>
    <t xml:space="preserve">RUE DU BOCCADOR</t>
  </si>
  <si>
    <t xml:space="preserve">DESCHAMPS</t>
  </si>
  <si>
    <t xml:space="preserve">MARIE ODILE</t>
  </si>
  <si>
    <t xml:space="preserve">01 42 85 14 59</t>
  </si>
  <si>
    <t xml:space="preserve">DESCHAMPS MARIE ODILE#https://annuairesante.ameli.fr/professionnels-de-sante/recherche/fiche-detaillee-B7c1kTUwNjKy.html</t>
  </si>
  <si>
    <t xml:space="preserve">DREYFUS</t>
  </si>
  <si>
    <t xml:space="preserve">01 42 93 22 02</t>
  </si>
  <si>
    <t xml:space="preserve">DREYFUS RENE#https://annuairesante.ameli.fr/professionnels-de-sante/recherche/fiche-detaillee-B7c1kDQ0NzW6.html</t>
  </si>
  <si>
    <t xml:space="preserve">MURCIANO</t>
  </si>
  <si>
    <t xml:space="preserve">MURCIANO RUTH#https://annuairesante.ameli.fr/professionnels-de-sante/recherche/fiche-detaillee-B7c1mzY1NjG6.html</t>
  </si>
  <si>
    <t xml:space="preserve">NOEL WEKSTEIN</t>
  </si>
  <si>
    <t xml:space="preserve">01 42 93 88 33</t>
  </si>
  <si>
    <t xml:space="preserve">NOEL WEKSTEIN SOPHIE#https://annuairesante.ameli.fr/professionnels-de-sante/recherche/fiche-detaillee-B7c1lTI0Nzay.html</t>
  </si>
  <si>
    <t xml:space="preserve">09:00-12:30(R)&lt;br/&gt;13:30-14:00(R)&lt;br/&gt;</t>
  </si>
  <si>
    <t xml:space="preserve">10:30-13:00(R)&lt;br/&gt;</t>
  </si>
  <si>
    <t xml:space="preserve">NAETT</t>
  </si>
  <si>
    <t xml:space="preserve">NAETT MARC#https://annuairesante.ameli.fr/professionnels-de-sante/recherche/fiche-detaillee-B7c1lDQ5MDG7.html</t>
  </si>
  <si>
    <t xml:space="preserve">AFDJEI CALLET</t>
  </si>
  <si>
    <t xml:space="preserve">AFDJEI CALLET NASRINE#https://annuairesante.ameli.fr/professionnels-de-sante/recherche/fiche-detaillee-B7c1mzoxNTqw.html</t>
  </si>
  <si>
    <t xml:space="preserve">RIVIERE</t>
  </si>
  <si>
    <t xml:space="preserve">36 RUE MATHURINS</t>
  </si>
  <si>
    <t xml:space="preserve">RIVIERE SOPHIE#https://annuairesante.ameli.fr/professionnels-de-sante/recherche/fiche-detaillee-B7c1kzY1MTSx.html</t>
  </si>
  <si>
    <t xml:space="preserve">RUE MATHURINS</t>
  </si>
  <si>
    <t xml:space="preserve">MENARD AGNES#https://annuairesante.ameli.fr/professionnels-de-sante/recherche/fiche-detaillee-B7c1lzYwNDS1.html</t>
  </si>
  <si>
    <t xml:space="preserve">ANDREEA MADALIN</t>
  </si>
  <si>
    <t xml:space="preserve">DUMITRESCU ANDREEA MADALIN#https://annuairesante.ameli.fr/professionnels-de-sante/recherche/fiche-detaillee-CbA1mzE2ODax.html</t>
  </si>
  <si>
    <t xml:space="preserve">LIZOP JAURETCHE</t>
  </si>
  <si>
    <t xml:space="preserve">LIZOP JAURETCHE MARIE MADELEINE#https://annuairesante.ameli.fr/professionnels-de-sante/recherche/fiche-detaillee-CbA1kzIyODuz.html</t>
  </si>
  <si>
    <t xml:space="preserve">GUEZ MREJEN</t>
  </si>
  <si>
    <t xml:space="preserve">GUEZ MREJEN JUDITH#https://annuairesante.ameli.fr/professionnels-de-sante/recherche/fiche-detaillee-B7c1kzc1MTWy.html</t>
  </si>
  <si>
    <t xml:space="preserve">VALEAN</t>
  </si>
  <si>
    <t xml:space="preserve">ANDREEA</t>
  </si>
  <si>
    <t xml:space="preserve">46 RUE DE L AMIRAL HAMELIN</t>
  </si>
  <si>
    <t xml:space="preserve">01 45 62 20 46</t>
  </si>
  <si>
    <t xml:space="preserve">VALEAN ANDREEA#https://annuairesante.ameli.fr/professionnels-de-sante/recherche/fiche-detaillee-B7c1kzQ2ODW3.html</t>
  </si>
  <si>
    <t xml:space="preserve">MICHOT COTTIAS</t>
  </si>
  <si>
    <t xml:space="preserve">MICHOT COTTIAS ANNE SYLVESTRE#https://annuairesante.ameli.fr/professionnels-de-sante/recherche/fiche-detaillee-B7c1lDs3MTq6.html</t>
  </si>
  <si>
    <t xml:space="preserve">MAMOU</t>
  </si>
  <si>
    <t xml:space="preserve">GREGOR</t>
  </si>
  <si>
    <t xml:space="preserve">104 AVENUE VICTOR HUGO</t>
  </si>
  <si>
    <t xml:space="preserve">07 66 61 69 95</t>
  </si>
  <si>
    <t xml:space="preserve">MAMOU GREGOR#https://annuairesante.ameli.fr/professionnels-de-sante/recherche/fiche-detaillee-B7c1kjs5MDa1.html</t>
  </si>
  <si>
    <t xml:space="preserve">BRUNET</t>
  </si>
  <si>
    <t xml:space="preserve">BRUNET DOMINIQUE#https://annuairesante.ameli.fr/professionnels-de-sante/recherche/fiche-detaillee-B7c1mjM0NDWx.html</t>
  </si>
  <si>
    <t xml:space="preserve">5 VILLA BOISSIERE</t>
  </si>
  <si>
    <t xml:space="preserve">AMOUYAL MELANIE#https://annuairesante.ameli.fr/professionnels-de-sante/recherche/fiche-detaillee-B7c1kjE4NjSy.html</t>
  </si>
  <si>
    <t xml:space="preserve">14:00-16:30(?)&lt;br/&gt;</t>
  </si>
  <si>
    <t xml:space="preserve">CARPENTIER</t>
  </si>
  <si>
    <t xml:space="preserve">CARPENTIER BENEDICTE#https://annuairesante.ameli.fr/professionnels-de-sante/recherche/fiche-detaillee-B7c1mjExMDS6.html</t>
  </si>
  <si>
    <t xml:space="preserve">MANSOUR</t>
  </si>
  <si>
    <t xml:space="preserve">MANSOUR VIOLETTE#https://annuairesante.ameli.fr/professionnels-de-sante/recherche/fiche-detaillee-B7c1kjM0MDK7.html</t>
  </si>
  <si>
    <t xml:space="preserve">FAESCH</t>
  </si>
  <si>
    <t xml:space="preserve">FAESCH SABINE#https://annuairesante.ameli.fr/professionnels-de-sante/recherche/fiche-detaillee-B7c1lTAxNzK1.html</t>
  </si>
  <si>
    <t xml:space="preserve">VALENTIN CECILE#https://annuairesante.ameli.fr/professionnels-de-sante/recherche/fiche-detaillee-B7c1kjY3NTuy.html</t>
  </si>
  <si>
    <t xml:space="preserve">08:40-13:00(R)&lt;br/&gt;</t>
  </si>
  <si>
    <t xml:space="preserve">SALAVERT</t>
  </si>
  <si>
    <t xml:space="preserve">AMAURY</t>
  </si>
  <si>
    <t xml:space="preserve">SALAVERT AMAURY#https://annuairesante.ameli.fr/professionnels-de-sante/recherche/fiche-detaillee-B7c1kzM0OTu7.html</t>
  </si>
  <si>
    <t xml:space="preserve">PAUTRAT VIDAL</t>
  </si>
  <si>
    <t xml:space="preserve">PAUTRAT VIDAL JADE#https://annuairesante.ameli.fr/professionnels-de-sante/recherche/fiche-detaillee-B7c1kjMwMzu0.html</t>
  </si>
  <si>
    <t xml:space="preserve">LAUX</t>
  </si>
  <si>
    <t xml:space="preserve">DANIELA</t>
  </si>
  <si>
    <t xml:space="preserve">LAUX DANIELA#https://annuairesante.ameli.fr/professionnels-de-sante/recherche/fiche-detaillee-B7c1lTM4MzW6.html</t>
  </si>
  <si>
    <t xml:space="preserve">AMAR GERALDINE#https://annuairesante.ameli.fr/professionnels-de-sante/recherche/fiche-detaillee-B7c1kjMzNjKy.html</t>
  </si>
  <si>
    <t xml:space="preserve">LEBELA</t>
  </si>
  <si>
    <t xml:space="preserve">3 VILLA FREDERIC MISTRAL</t>
  </si>
  <si>
    <t xml:space="preserve">LEBELA JACQUELINE#https://annuairesante.ameli.fr/professionnels-de-sante/recherche/fiche-detaillee-B7c1kzc0OTCy.html</t>
  </si>
  <si>
    <t xml:space="preserve">VILLA FREDERIC MISTRAL</t>
  </si>
  <si>
    <t xml:space="preserve">EL KHATIB</t>
  </si>
  <si>
    <t xml:space="preserve">NEVINE</t>
  </si>
  <si>
    <t xml:space="preserve">06 65 60 61 59</t>
  </si>
  <si>
    <t xml:space="preserve">EL KHATIB NEVINE#https://annuairesante.ameli.fr/professionnels-de-sante/recherche/fiche-detaillee-B7c1kjE1NTe2.html</t>
  </si>
  <si>
    <t xml:space="preserve">158 RUE DE LA CROIX NIVERT</t>
  </si>
  <si>
    <t xml:space="preserve">01 43 87 91 76</t>
  </si>
  <si>
    <t xml:space="preserve">LAFFONT CHANTAL#https://annuairesante.ameli.fr/professionnels-de-sante/recherche/fiche-detaillee-B7c1mjEwMDS0.html</t>
  </si>
  <si>
    <t xml:space="preserve">158</t>
  </si>
  <si>
    <t xml:space="preserve">BECQUET</t>
  </si>
  <si>
    <t xml:space="preserve">BECQUET ODILE#https://annuairesante.ameli.fr/professionnels-de-sante/recherche/fiche-detaillee-B7c1kjI4Mje7.html</t>
  </si>
  <si>
    <t xml:space="preserve">BENHAROUN STERN</t>
  </si>
  <si>
    <t xml:space="preserve">RAPHAELLA</t>
  </si>
  <si>
    <t xml:space="preserve">BENHAROUN STERN RAPHAELLA#https://annuairesante.ameli.fr/professionnels-de-sante/recherche/fiche-detaillee-B7c1mjA2Mzex.html</t>
  </si>
  <si>
    <t xml:space="preserve">AZAR KOLAKEZ</t>
  </si>
  <si>
    <t xml:space="preserve">AHLAM</t>
  </si>
  <si>
    <t xml:space="preserve">39 BOULEVARD LEFEBVRE</t>
  </si>
  <si>
    <t xml:space="preserve">AZAR KOLAKEZ AHLAM#https://annuairesante.ameli.fr/professionnels-de-sante/recherche/fiche-detaillee-B7c1kjMwMDC2.html</t>
  </si>
  <si>
    <t xml:space="preserve">CLOAREC</t>
  </si>
  <si>
    <t xml:space="preserve">15 RUE DES FAVORITES</t>
  </si>
  <si>
    <t xml:space="preserve">01 48 56 28 12</t>
  </si>
  <si>
    <t xml:space="preserve">CLOAREC DOMINIQUE#https://annuairesante.ameli.fr/professionnels-de-sante/recherche/fiche-detaillee-B7c1lDA5NzOy.html</t>
  </si>
  <si>
    <t xml:space="preserve">RATEAU</t>
  </si>
  <si>
    <t xml:space="preserve">4 VILLA DE L ASTROLABE</t>
  </si>
  <si>
    <t xml:space="preserve">09 61 60 58 90</t>
  </si>
  <si>
    <t xml:space="preserve">RATEAU MATHIAS#https://annuairesante.ameli.fr/professionnels-de-sante/recherche/fiche-detaillee-B7c1lTY1MTW6.html</t>
  </si>
  <si>
    <t xml:space="preserve">VILLA DE L ASTROLABE</t>
  </si>
  <si>
    <t xml:space="preserve">IBEN BRAHIM</t>
  </si>
  <si>
    <t xml:space="preserve">MANAL</t>
  </si>
  <si>
    <t xml:space="preserve">IBEN BRAHIM MANAL#https://annuairesante.ameli.fr/professionnels-de-sante/recherche/fiche-detaillee-B7c1lTY1Njay.html</t>
  </si>
  <si>
    <t xml:space="preserve">MAIDEMBERG</t>
  </si>
  <si>
    <t xml:space="preserve">MAIDEMBERG MANUEL#https://annuairesante.ameli.fr/professionnels-de-sante/recherche/fiche-detaillee-B7c1ljI5NDez.html</t>
  </si>
  <si>
    <t xml:space="preserve">DE GRENIER DE LATOUR</t>
  </si>
  <si>
    <t xml:space="preserve">DE GRENIER DE LATOUR FRANCOISE#https://annuairesante.ameli.fr/professionnels-de-sante/recherche/fiche-detaillee-B7c1mjEwMTS3.html</t>
  </si>
  <si>
    <t xml:space="preserve">STOS</t>
  </si>
  <si>
    <t xml:space="preserve">STOS BERTRAND#https://annuairesante.ameli.fr/professionnels-de-sante/recherche/fiche-detaillee-B7c1lTM4NDW1.html</t>
  </si>
  <si>
    <t xml:space="preserve">TEMPORIN</t>
  </si>
  <si>
    <t xml:space="preserve">TEMPORIN EVA#https://annuairesante.ameli.fr/professionnels-de-sante/recherche/fiche-detaillee-B7c1kzYwODOx.html</t>
  </si>
  <si>
    <t xml:space="preserve">REBOUD</t>
  </si>
  <si>
    <t xml:space="preserve">REBOUD DOMINIQUE#https://annuairesante.ameli.fr/professionnels-de-sante/recherche/fiche-detaillee-B7c1mjAxNjCw.html</t>
  </si>
  <si>
    <t xml:space="preserve">BANERJEE</t>
  </si>
  <si>
    <t xml:space="preserve">ANANDADEV</t>
  </si>
  <si>
    <t xml:space="preserve">66 RUE JOUFFROY D'ABBANS</t>
  </si>
  <si>
    <t xml:space="preserve">BANERJEE ANANDADEV#https://annuairesante.ameli.fr/professionnels-de-sante/recherche/fiche-detaillee-B7c1kzMwODu7.html</t>
  </si>
  <si>
    <t xml:space="preserve">71 RUE DE SAUSSURE</t>
  </si>
  <si>
    <t xml:space="preserve">LAMBERT NATHALIE#https://annuairesante.ameli.fr/professionnels-de-sante/recherche/fiche-detaillee-B7c1lTE3NjCy.html</t>
  </si>
  <si>
    <t xml:space="preserve">BERNADET</t>
  </si>
  <si>
    <t xml:space="preserve">3 RUE DAUTANCOURT</t>
  </si>
  <si>
    <t xml:space="preserve">01 42 28 43 32</t>
  </si>
  <si>
    <t xml:space="preserve">BERNADET VALERIE#https://annuairesante.ameli.fr/professionnels-de-sante/recherche/fiche-detaillee-B7c1lDI5OTux.html</t>
  </si>
  <si>
    <t xml:space="preserve">RUE DAUTANCOURT</t>
  </si>
  <si>
    <t xml:space="preserve">PALUEL MARMONT</t>
  </si>
  <si>
    <t xml:space="preserve">COLOMBE</t>
  </si>
  <si>
    <t xml:space="preserve">01 73 74 00 76</t>
  </si>
  <si>
    <t xml:space="preserve">PALUEL MARMONT COLOMBE#https://annuairesante.ameli.fr/professionnels-de-sante/recherche/fiche-detaillee-B7c1kjY1Mja7.html</t>
  </si>
  <si>
    <t xml:space="preserve">KRUG TRICOT</t>
  </si>
  <si>
    <t xml:space="preserve">KRUG TRICOT PAULINE#https://annuairesante.ameli.fr/professionnels-de-sante/recherche/fiche-detaillee-B7c1mzcyOTW1.html</t>
  </si>
  <si>
    <t xml:space="preserve">138</t>
  </si>
  <si>
    <t xml:space="preserve">SZNAJDER</t>
  </si>
  <si>
    <t xml:space="preserve">SZNAJDER MARC#https://annuairesante.ameli.fr/professionnels-de-sante/recherche/fiche-detaillee-CbA1mjE1OTe6.html</t>
  </si>
  <si>
    <t xml:space="preserve">VESIN ABECASSIS</t>
  </si>
  <si>
    <t xml:space="preserve">01 58 83 95 04</t>
  </si>
  <si>
    <t xml:space="preserve">VESIN ABECASSIS CATHERINE#https://annuairesante.ameli.fr/professionnels-de-sante/recherche/fiche-detaillee-CbA1mjYyNjW6.html</t>
  </si>
  <si>
    <t xml:space="preserve">AZIZA</t>
  </si>
  <si>
    <t xml:space="preserve">MAXINE</t>
  </si>
  <si>
    <t xml:space="preserve">AZIZA MAXINE#https://annuairesante.ameli.fr/professionnels-de-sante/recherche/fiche-detaillee-CbA1kjc5ODCw.html</t>
  </si>
  <si>
    <t xml:space="preserve">DWORZAK</t>
  </si>
  <si>
    <t xml:space="preserve">5B RUE SOYER</t>
  </si>
  <si>
    <t xml:space="preserve">01 46 24 78 81</t>
  </si>
  <si>
    <t xml:space="preserve">DWORZAK PATRICIA#https://annuairesante.ameli.fr/professionnels-de-sante/recherche/fiche-detaillee-CbA1kzMwMTC0.html</t>
  </si>
  <si>
    <t xml:space="preserve">JOFFRE</t>
  </si>
  <si>
    <t xml:space="preserve">29 BOULEVARD DES BATIGNOLLES</t>
  </si>
  <si>
    <t xml:space="preserve">01 43 87 81 39</t>
  </si>
  <si>
    <t xml:space="preserve">JOFFRE ODILE#https://annuairesante.ameli.fr/professionnels-de-sante/recherche/fiche-detaillee-B7c1lzU0MDKw.html</t>
  </si>
  <si>
    <t xml:space="preserve">BOULEVARD DES BATIGNOLLES</t>
  </si>
  <si>
    <t xml:space="preserve">MARSAUD</t>
  </si>
  <si>
    <t xml:space="preserve">01 42 65 98 37</t>
  </si>
  <si>
    <t xml:space="preserve">MARSAUD CELINE#https://annuairesante.ameli.fr/professionnels-de-sante/recherche/fiche-detaillee-B7c1kjE3NzWx.html</t>
  </si>
  <si>
    <t xml:space="preserve">JABY</t>
  </si>
  <si>
    <t xml:space="preserve">JABY MARIE PIERRE#https://annuairesante.ameli.fr/professionnels-de-sante/recherche/fiche-detaillee-B7c1lTM2MzO3.html</t>
  </si>
  <si>
    <t xml:space="preserve">MOUSSALLI</t>
  </si>
  <si>
    <t xml:space="preserve">5 AVENUE ST HONORE D EYLAU</t>
  </si>
  <si>
    <t xml:space="preserve">01 47 66 33 31</t>
  </si>
  <si>
    <t xml:space="preserve">MOUSSALLI JOSEPH#https://annuairesante.ameli.fr/professionnels-de-sante/recherche/fiche-detaillee-B7c1lzE3ODa6.html</t>
  </si>
  <si>
    <t xml:space="preserve">15:00-20:00(?)&lt;br/&gt;</t>
  </si>
  <si>
    <t xml:space="preserve">09:00-11:00(?)&lt;br/&gt;</t>
  </si>
  <si>
    <t xml:space="preserve">MAMI</t>
  </si>
  <si>
    <t xml:space="preserve">ALIA</t>
  </si>
  <si>
    <t xml:space="preserve">MAMI ALIA#https://annuairesante.ameli.fr/professionnels-de-sante/recherche/fiche-detaillee-B7c1mjA4OTK2.html</t>
  </si>
  <si>
    <t xml:space="preserve">PONSOT</t>
  </si>
  <si>
    <t xml:space="preserve">PONSOT PHILIPPE#https://annuairesante.ameli.fr/professionnels-de-sante/recherche/fiche-detaillee-B7c1lTI2MDC1.html</t>
  </si>
  <si>
    <t xml:space="preserve">IRENE</t>
  </si>
  <si>
    <t xml:space="preserve">AMAR IRENE#https://annuairesante.ameli.fr/professionnels-de-sante/recherche/fiche-detaillee-B7c1mjM0NDqz.html</t>
  </si>
  <si>
    <t xml:space="preserve">BEJOU</t>
  </si>
  <si>
    <t xml:space="preserve">DANIEL BAKHTIAR</t>
  </si>
  <si>
    <t xml:space="preserve">BEJOU DANIEL BAKHTIAR#https://annuairesante.ameli.fr/professionnels-de-sante/recherche/fiche-detaillee-B7c1mjA4MzKy.html</t>
  </si>
  <si>
    <t xml:space="preserve">PEIGNOT</t>
  </si>
  <si>
    <t xml:space="preserve">36B RUE NICOLO</t>
  </si>
  <si>
    <t xml:space="preserve">06 07 76 96 45</t>
  </si>
  <si>
    <t xml:space="preserve">PEIGNOT JEAN FRANCOIS#https://annuairesante.ameli.fr/professionnels-de-sante/recherche/fiche-detaillee-B7c1ljQxNDew.html</t>
  </si>
  <si>
    <t xml:space="preserve">OIKNINE</t>
  </si>
  <si>
    <t xml:space="preserve">01 42 25 57 23</t>
  </si>
  <si>
    <t xml:space="preserve">OIKNINE ELSA#https://annuairesante.ameli.fr/professionnels-de-sante/recherche/fiche-detaillee-B7c1kzQwMzqz.html</t>
  </si>
  <si>
    <t xml:space="preserve">GEROMETTA</t>
  </si>
  <si>
    <t xml:space="preserve">GEROMETTA RAFAELE#https://annuairesante.ameli.fr/professionnels-de-sante/recherche/fiche-detaillee-B7c1kjY1OTS1.html</t>
  </si>
  <si>
    <t xml:space="preserve">KOUTSOMANIS</t>
  </si>
  <si>
    <t xml:space="preserve">DEMETRIOS</t>
  </si>
  <si>
    <t xml:space="preserve">01 42 15 18 50</t>
  </si>
  <si>
    <t xml:space="preserve">KOUTSOMANIS DEMETRIOS#https://annuairesante.ameli.fr/professionnels-de-sante/recherche/fiche-detaillee-B7c1mjAyNDa2.html</t>
  </si>
  <si>
    <t xml:space="preserve">AMARIS</t>
  </si>
  <si>
    <t xml:space="preserve">JUAN</t>
  </si>
  <si>
    <t xml:space="preserve">34 AVENUE D'EYLAU</t>
  </si>
  <si>
    <t xml:space="preserve">01 47 55 95 80</t>
  </si>
  <si>
    <t xml:space="preserve">AMARIS JUAN#https://annuairesante.ameli.fr/professionnels-de-sante/recherche/fiche-detaillee-B7c1mzYzOTSw.html</t>
  </si>
  <si>
    <t xml:space="preserve">AVENUE D'EYLAU</t>
  </si>
  <si>
    <t xml:space="preserve">RAHME</t>
  </si>
  <si>
    <t xml:space="preserve">TONY</t>
  </si>
  <si>
    <t xml:space="preserve">06 11 85 80 16</t>
  </si>
  <si>
    <t xml:space="preserve">RAHME TONY#https://annuairesante.ameli.fr/professionnels-de-sante/recherche/fiche-detaillee-B7c1mjEwNTu3.html</t>
  </si>
  <si>
    <t xml:space="preserve">TAWIL LONGREEN</t>
  </si>
  <si>
    <t xml:space="preserve">01 44 05 00 50</t>
  </si>
  <si>
    <t xml:space="preserve">TAWIL LONGREEN CHRISTINE#https://annuairesante.ameli.fr/professionnels-de-sante/recherche/fiche-detaillee-B7c1kTUwMDWz.html</t>
  </si>
  <si>
    <t xml:space="preserve">VEUILLEZ</t>
  </si>
  <si>
    <t xml:space="preserve">VEUILLEZ VERONIQUE#https://annuairesante.ameli.fr/professionnels-de-sante/recherche/fiche-detaillee-B7c1mzY5NDCx.html</t>
  </si>
  <si>
    <t xml:space="preserve">09:20-14:00(R)&lt;br/&gt;</t>
  </si>
  <si>
    <t xml:space="preserve">01 47 20 14 83</t>
  </si>
  <si>
    <t xml:space="preserve">PARLIER DAVID#https://annuairesante.ameli.fr/professionnels-de-sante/recherche/fiche-detaillee-B7c1lDs1Mjaz.html</t>
  </si>
  <si>
    <t xml:space="preserve">LEANDRI</t>
  </si>
  <si>
    <t xml:space="preserve">LEANDRI CHLOE#https://annuairesante.ameli.fr/professionnels-de-sante/recherche/fiche-detaillee-B7c1mjA1MDex.html</t>
  </si>
  <si>
    <t xml:space="preserve">RAMDANI</t>
  </si>
  <si>
    <t xml:space="preserve">AKLI</t>
  </si>
  <si>
    <t xml:space="preserve">RAMDANI AKLI#https://annuairesante.ameli.fr/professionnels-de-sante/recherche/fiche-detaillee-B7c1mjAwOTG3.html</t>
  </si>
  <si>
    <t xml:space="preserve">BERTHAUX</t>
  </si>
  <si>
    <t xml:space="preserve">JULES</t>
  </si>
  <si>
    <t xml:space="preserve">BERTHAUX JULES#https://annuairesante.ameli.fr/professionnels-de-sante/recherche/fiche-detaillee-B7c1mjExMjW2.html</t>
  </si>
  <si>
    <t xml:space="preserve">MARIE CHRISTIAN#https://annuairesante.ameli.fr/professionnels-de-sante/recherche/fiche-detaillee-B7c1lzY0OTa6.html</t>
  </si>
  <si>
    <t xml:space="preserve">DEUTSCH DAVID#https://annuairesante.ameli.fr/professionnels-de-sante/recherche/fiche-detaillee-B7c1kzExNje7.html</t>
  </si>
  <si>
    <t xml:space="preserve">VATRA</t>
  </si>
  <si>
    <t xml:space="preserve">BOGDAN</t>
  </si>
  <si>
    <t xml:space="preserve">VATRA BOGDAN#https://annuairesante.ameli.fr/professionnels-de-sante/recherche/fiche-detaillee-B7c1mjAwNDGy.html</t>
  </si>
  <si>
    <t xml:space="preserve">KARSENTI</t>
  </si>
  <si>
    <t xml:space="preserve">KARSENTI DAVID#https://annuairesante.ameli.fr/professionnels-de-sante/recherche/fiche-detaillee-B7c1lTA4OTCw.html</t>
  </si>
  <si>
    <t xml:space="preserve">SELMA</t>
  </si>
  <si>
    <t xml:space="preserve">DEMIRCI SELMA#https://annuairesante.ameli.fr/professionnels-de-sante/recherche/fiche-detaillee-B7c1lTYyMDq7.html</t>
  </si>
  <si>
    <t xml:space="preserve">LAMBRESCAK</t>
  </si>
  <si>
    <t xml:space="preserve">LAMBRESCAK ELSA#https://annuairesante.ameli.fr/professionnels-de-sante/recherche/fiche-detaillee-B7c1mjAyNjC0.html</t>
  </si>
  <si>
    <t xml:space="preserve">EGAL</t>
  </si>
  <si>
    <t xml:space="preserve">AXEL</t>
  </si>
  <si>
    <t xml:space="preserve">41 BOULEVARD DE LATOUR MAUBOURG</t>
  </si>
  <si>
    <t xml:space="preserve">06 86 10 22 89</t>
  </si>
  <si>
    <t xml:space="preserve">EGAL AXEL#https://annuairesante.ameli.fr/professionnels-de-sante/recherche/fiche-detaillee-B7c1kjo3NTu0.html</t>
  </si>
  <si>
    <t xml:space="preserve">BOULEVARD DE LATOUR MAUBOURG</t>
  </si>
  <si>
    <t xml:space="preserve">NOURANI</t>
  </si>
  <si>
    <t xml:space="preserve">NOURANI MAYA#https://annuairesante.ameli.fr/professionnels-de-sante/recherche/fiche-detaillee-B7c1lTYzMzCz.html</t>
  </si>
  <si>
    <t xml:space="preserve">DEMONT</t>
  </si>
  <si>
    <t xml:space="preserve">01 43 36 00 46</t>
  </si>
  <si>
    <t xml:space="preserve">DEMONT HUGUES#https://annuairesante.ameli.fr/professionnels-de-sante/recherche/fiche-detaillee-B7c1lDYwMjW3.html</t>
  </si>
  <si>
    <t xml:space="preserve">14:00-19:20(R)&lt;br/&gt;</t>
  </si>
  <si>
    <t xml:space="preserve">CASTELNAU MARCHAND</t>
  </si>
  <si>
    <t xml:space="preserve">01 42 86 86 06</t>
  </si>
  <si>
    <t xml:space="preserve">CASTELNAU MARCHAND CORINNE#https://annuairesante.ameli.fr/professionnels-de-sante/recherche/fiche-detaillee-B7c1lzI1ODG6.html</t>
  </si>
  <si>
    <t xml:space="preserve">MADEIRA</t>
  </si>
  <si>
    <t xml:space="preserve">IDALINA</t>
  </si>
  <si>
    <t xml:space="preserve">MADEIRA IDALINA#https://annuairesante.ameli.fr/professionnels-de-sante/recherche/fiche-detaillee-B7c1kzMwMDCw.html</t>
  </si>
  <si>
    <t xml:space="preserve">ABRAMOWITZ</t>
  </si>
  <si>
    <t xml:space="preserve">ABRAMOWITZ LAURENT#https://annuairesante.ameli.fr/professionnels-de-sante/recherche/fiche-detaillee-B7c1mjA4Nzq7.html</t>
  </si>
  <si>
    <t xml:space="preserve">MARIE LISE</t>
  </si>
  <si>
    <t xml:space="preserve">THIERRY MARIE LISE#https://annuairesante.ameli.fr/professionnels-de-sante/recherche/fiche-detaillee-B7c1mjA2OTC2.html</t>
  </si>
  <si>
    <t xml:space="preserve">LAURAIN</t>
  </si>
  <si>
    <t xml:space="preserve">08 26 30 45 37</t>
  </si>
  <si>
    <t xml:space="preserve">LAURAIN ANNE#https://annuairesante.ameli.fr/professionnels-de-sante/recherche/fiche-detaillee-B7c1mjAwMTaz.html</t>
  </si>
  <si>
    <t xml:space="preserve">BARRE AUDENET</t>
  </si>
  <si>
    <t xml:space="preserve">54 RUE LABROUSTE</t>
  </si>
  <si>
    <t xml:space="preserve">01 44 19 50 72</t>
  </si>
  <si>
    <t xml:space="preserve">BARRE AUDENET AMELIE#https://annuairesante.ameli.fr/professionnels-de-sante/recherche/fiche-detaillee-B7c1kjowNTO2.html</t>
  </si>
  <si>
    <t xml:space="preserve">SPINDLER</t>
  </si>
  <si>
    <t xml:space="preserve">LUCAS</t>
  </si>
  <si>
    <t xml:space="preserve">SPINDLER LUCAS#https://annuairesante.ameli.fr/professionnels-de-sante/recherche/fiche-detaillee-B7c1kjUyOTO1.html</t>
  </si>
  <si>
    <t xml:space="preserve">08:30-12:15(R)&lt;br/&gt;</t>
  </si>
  <si>
    <t xml:space="preserve">FATHALLAH</t>
  </si>
  <si>
    <t xml:space="preserve">FATHALLAH NADIA#https://annuairesante.ameli.fr/professionnels-de-sante/recherche/fiche-detaillee-B7c1mjA2ODW2.html</t>
  </si>
  <si>
    <t xml:space="preserve">ABITBOL STERNBERG</t>
  </si>
  <si>
    <t xml:space="preserve">4 VILLA POIRIER</t>
  </si>
  <si>
    <t xml:space="preserve">ABITBOL STERNBERG YAEL#https://annuairesante.ameli.fr/professionnels-de-sante/recherche/fiche-detaillee-B7c1kzYyMTC2.html</t>
  </si>
  <si>
    <t xml:space="preserve">09:30-12:30(?)&lt;br/&gt;</t>
  </si>
  <si>
    <t xml:space="preserve">09:30-13:00(?)&lt;br/&gt;</t>
  </si>
  <si>
    <t xml:space="preserve">VILLA POIRIER</t>
  </si>
  <si>
    <t xml:space="preserve">DUFRESNE</t>
  </si>
  <si>
    <t xml:space="preserve">DUFRESNE JEAN FRANCOIS#https://annuairesante.ameli.fr/professionnels-de-sante/recherche/fiche-detaillee-B7c1lzY4NDSy.html</t>
  </si>
  <si>
    <t xml:space="preserve">08:00-12:20(R)&lt;br/&gt;</t>
  </si>
  <si>
    <t xml:space="preserve">33 AVENUE LOWENDAL</t>
  </si>
  <si>
    <t xml:space="preserve">01 44 05 99 40</t>
  </si>
  <si>
    <t xml:space="preserve">LEVY MICHAEL#https://annuairesante.ameli.fr/professionnels-de-sante/recherche/fiche-detaillee-B7c1lDA1MzG7.html</t>
  </si>
  <si>
    <t xml:space="preserve">15:30-18:00(R)&lt;br/&gt;</t>
  </si>
  <si>
    <t xml:space="preserve">AVENUE LOWENDAL</t>
  </si>
  <si>
    <t xml:space="preserve">COUTRIS</t>
  </si>
  <si>
    <t xml:space="preserve">COUTRIS CAROLINE#https://annuairesante.ameli.fr/professionnels-de-sante/recherche/fiche-detaillee-B7c1kjY2MjC0.html</t>
  </si>
  <si>
    <t xml:space="preserve">09:00-13:10(R)&lt;br/&gt;</t>
  </si>
  <si>
    <t xml:space="preserve">BINN</t>
  </si>
  <si>
    <t xml:space="preserve">6 RUE JACQUEMONT</t>
  </si>
  <si>
    <t xml:space="preserve">BINN MURIEL#https://annuairesante.ameli.fr/professionnels-de-sante/recherche/fiche-detaillee-B7c1mjMyMTWz.html</t>
  </si>
  <si>
    <t xml:space="preserve">RUE JACQUEMONT</t>
  </si>
  <si>
    <t xml:space="preserve">ANCEL</t>
  </si>
  <si>
    <t xml:space="preserve">28 RUE CARDINET</t>
  </si>
  <si>
    <t xml:space="preserve">01 45 25 01 14</t>
  </si>
  <si>
    <t xml:space="preserve">ANCEL DAVID#https://annuairesante.ameli.fr/professionnels-de-sante/recherche/fiche-detaillee-B7c1mzY5OTez.html</t>
  </si>
  <si>
    <t xml:space="preserve">14:30-18:00(R)&lt;br/&gt;</t>
  </si>
  <si>
    <t xml:space="preserve">WATELET</t>
  </si>
  <si>
    <t xml:space="preserve">9B RUE PIERRE DEMOURS</t>
  </si>
  <si>
    <t xml:space="preserve">WATELET JEROME#https://annuairesante.ameli.fr/professionnels-de-sante/recherche/fiche-detaillee-B7c1kzQwMDey.html</t>
  </si>
  <si>
    <t xml:space="preserve">CHICHE ALAIN#https://annuairesante.ameli.fr/professionnels-de-sante/recherche/fiche-detaillee-B7c1lzcwMDC7.html</t>
  </si>
  <si>
    <t xml:space="preserve">ARISOY</t>
  </si>
  <si>
    <t xml:space="preserve">ERSIN</t>
  </si>
  <si>
    <t xml:space="preserve">ARISOY ERSIN#https://annuairesante.ameli.fr/professionnels-de-sante/recherche/fiche-detaillee-CbA1lTM2MDG7.html</t>
  </si>
  <si>
    <t xml:space="preserve">14:40-19:00(R)&lt;br/&gt;</t>
  </si>
  <si>
    <t xml:space="preserve">STEFANESCU CARMEN#https://annuairesante.ameli.fr/professionnels-de-sante/recherche/fiche-detaillee-CbA1lTM5MjKz.html</t>
  </si>
  <si>
    <t xml:space="preserve">EL BAZ</t>
  </si>
  <si>
    <t xml:space="preserve">EL BAZ PATRICK#https://annuairesante.ameli.fr/professionnels-de-sante/recherche/fiche-detaillee-CbA1mjEzNTS2.html</t>
  </si>
  <si>
    <t xml:space="preserve">PEYRIN BIROULET</t>
  </si>
  <si>
    <t xml:space="preserve">PEYRIN BIROULET LAURENT#https://annuairesante.ameli.fr/professionnels-de-sante/recherche/fiche-detaillee-CbA1kzE5MTC7.html</t>
  </si>
  <si>
    <t xml:space="preserve">PELLETIER</t>
  </si>
  <si>
    <t xml:space="preserve">111 AVENUE CHARLES DE GAULLE</t>
  </si>
  <si>
    <t xml:space="preserve">01 46 37 72 02</t>
  </si>
  <si>
    <t xml:space="preserve">PELLETIER SOPHIE#https://annuairesante.ameli.fr/professionnels-de-sante/recherche/fiche-detaillee-CbA1kzI1NDKw.html</t>
  </si>
  <si>
    <t xml:space="preserve">DIEUMEGARD</t>
  </si>
  <si>
    <t xml:space="preserve">DIEUMEGARD BARBARA#https://annuairesante.ameli.fr/professionnels-de-sante/recherche/fiche-detaillee-CbA1mjYzMTuz.html</t>
  </si>
  <si>
    <t xml:space="preserve">PHAM NGUYEN</t>
  </si>
  <si>
    <t xml:space="preserve">THI NGOC THANH</t>
  </si>
  <si>
    <t xml:space="preserve">PHAM NGUYEN THI NGOC THANH#https://annuairesante.ameli.fr/professionnels-de-sante/recherche/fiche-detaillee-CbA1mjE3NDC3.html</t>
  </si>
  <si>
    <t xml:space="preserve">01 47 22 79 92</t>
  </si>
  <si>
    <t xml:space="preserve">CHETRIT BRIGITTE#https://annuairesante.ameli.fr/professionnels-de-sante/recherche/fiche-detaillee-CbA1kzQ5OTS7.html</t>
  </si>
  <si>
    <t xml:space="preserve">CORCOS SERGE#https://annuairesante.ameli.fr/professionnels-de-sante/recherche/fiche-detaillee-B7c1mjEwNDK3.html</t>
  </si>
  <si>
    <t xml:space="preserve">BONSTEIN</t>
  </si>
  <si>
    <t xml:space="preserve">UZI</t>
  </si>
  <si>
    <t xml:space="preserve">BONSTEIN UZI#https://annuairesante.ameli.fr/professionnels-de-sante/recherche/fiche-detaillee-B7c1mjM3ODW1.html</t>
  </si>
  <si>
    <t xml:space="preserve">RUFIN</t>
  </si>
  <si>
    <t xml:space="preserve">01 43 87 11 92</t>
  </si>
  <si>
    <t xml:space="preserve">RUFIN FREDERIC#https://annuairesante.ameli.fr/professionnels-de-sante/recherche/fiche-detaillee-B7c1ljo5MzG7.html</t>
  </si>
  <si>
    <t xml:space="preserve">MORY</t>
  </si>
  <si>
    <t xml:space="preserve">58 RUE PIERRE CHARON</t>
  </si>
  <si>
    <t xml:space="preserve">01 46 47 99 88</t>
  </si>
  <si>
    <t xml:space="preserve">MORY BENOIT#https://annuairesante.ameli.fr/professionnels-de-sante/recherche/fiche-detaillee-B7c1lTM3ODK2.html</t>
  </si>
  <si>
    <t xml:space="preserve">RUE PIERRE CHARON</t>
  </si>
  <si>
    <t xml:space="preserve">LALAUDE</t>
  </si>
  <si>
    <t xml:space="preserve">01 53 89 03 16</t>
  </si>
  <si>
    <t xml:space="preserve">LALAUDE OLIVIER#https://annuairesante.ameli.fr/professionnels-de-sante/recherche/fiche-detaillee-B7c1lDY0NzWz.html</t>
  </si>
  <si>
    <t xml:space="preserve">RABREAU</t>
  </si>
  <si>
    <t xml:space="preserve">RABREAU DANIEL#https://annuairesante.ameli.fr/professionnels-de-sante/recherche/fiche-detaillee-B7c1mjM0ODq1.html</t>
  </si>
  <si>
    <t xml:space="preserve">DE LA BIGNE</t>
  </si>
  <si>
    <t xml:space="preserve">3 RUE TURIN</t>
  </si>
  <si>
    <t xml:space="preserve">DE LA BIGNE GILLES#https://annuairesante.ameli.fr/professionnels-de-sante/recherche/fiche-detaillee-B7c1lzo2MTSx.html</t>
  </si>
  <si>
    <t xml:space="preserve">RUE TURIN</t>
  </si>
  <si>
    <t xml:space="preserve">MARGULIES ALAIN#https://annuairesante.ameli.fr/professionnels-de-sante/recherche/fiche-detaillee-B7c1kjowNjOx.html</t>
  </si>
  <si>
    <t xml:space="preserve">CORBIC NACCACHE</t>
  </si>
  <si>
    <t xml:space="preserve">01 42 25 90 50</t>
  </si>
  <si>
    <t xml:space="preserve">CORBIC NACCACHE MICHELE#https://annuairesante.ameli.fr/professionnels-de-sante/recherche/fiche-detaillee-B7c1kTYyMzq3.html</t>
  </si>
  <si>
    <t xml:space="preserve">CHANTELOUP</t>
  </si>
  <si>
    <t xml:space="preserve">CHANTELOUP ELISE#https://annuairesante.ameli.fr/professionnels-de-sante/recherche/fiche-detaillee-B7c1mjA3MDaz.html</t>
  </si>
  <si>
    <t xml:space="preserve">SANGLA</t>
  </si>
  <si>
    <t xml:space="preserve">SANGLA SOPHIE#https://annuairesante.ameli.fr/professionnels-de-sante/recherche/fiche-detaillee-B7c1mjExNzu3.html</t>
  </si>
  <si>
    <t xml:space="preserve">MARI</t>
  </si>
  <si>
    <t xml:space="preserve">01 34 90 20 07</t>
  </si>
  <si>
    <t xml:space="preserve">MARI IVAN#https://annuairesante.ameli.fr/professionnels-de-sante/recherche/fiche-detaillee-B7c1mzA5Nze3.html</t>
  </si>
  <si>
    <t xml:space="preserve">140</t>
  </si>
  <si>
    <t xml:space="preserve">SCRIPCARU</t>
  </si>
  <si>
    <t xml:space="preserve">SVETLANA</t>
  </si>
  <si>
    <t xml:space="preserve">01 58 66 70 98</t>
  </si>
  <si>
    <t xml:space="preserve">SCRIPCARU SVETLANA#https://annuairesante.ameli.fr/professionnels-de-sante/recherche/fiche-detaillee-B7c1kjowNzCy.html</t>
  </si>
  <si>
    <t xml:space="preserve">09:00-14:00(L)&lt;br/&gt;</t>
  </si>
  <si>
    <t xml:space="preserve">14:00-17:00(L)&lt;br/&gt;</t>
  </si>
  <si>
    <t xml:space="preserve">09:05-14:00(R)&lt;br/&gt;</t>
  </si>
  <si>
    <t xml:space="preserve">14:00-17:05(R)&lt;br/&gt;</t>
  </si>
  <si>
    <t xml:space="preserve">MOULONGUET</t>
  </si>
  <si>
    <t xml:space="preserve">4 RUE DE L ABBE GILLET</t>
  </si>
  <si>
    <t xml:space="preserve">MOULONGUET ANTOINE#https://annuairesante.ameli.fr/professionnels-de-sante/recherche/fiche-detaillee-B7c1lzU1MDe2.html</t>
  </si>
  <si>
    <t xml:space="preserve">RUE DE L ABBE GILLET</t>
  </si>
  <si>
    <t xml:space="preserve">DE PAZ</t>
  </si>
  <si>
    <t xml:space="preserve">47 RUE SPONTINI</t>
  </si>
  <si>
    <t xml:space="preserve">01 45 05 91 68</t>
  </si>
  <si>
    <t xml:space="preserve">DE PAZ RAPHAEL#https://annuairesante.ameli.fr/professionnels-de-sante/recherche/fiche-detaillee-B7c1mzY3MTOw.html</t>
  </si>
  <si>
    <t xml:space="preserve">47</t>
  </si>
  <si>
    <t xml:space="preserve">ZYSS</t>
  </si>
  <si>
    <t xml:space="preserve">09 86 35 07 81</t>
  </si>
  <si>
    <t xml:space="preserve">ZYSS JULIE#https://annuairesante.ameli.fr/professionnels-de-sante/recherche/fiche-detaillee-B7c1mzY2NTqz.html</t>
  </si>
  <si>
    <t xml:space="preserve">VILLAFANE</t>
  </si>
  <si>
    <t xml:space="preserve">19 RUE CHANEZ</t>
  </si>
  <si>
    <t xml:space="preserve">VILLAFANE GABRIEL#https://annuairesante.ameli.fr/professionnels-de-sante/recherche/fiche-detaillee-B7c1lTAzNjG6.html</t>
  </si>
  <si>
    <t xml:space="preserve">AZUAR HAEFFELIN</t>
  </si>
  <si>
    <t xml:space="preserve">AZUAR HAEFFELIN CAROLE#https://annuairesante.ameli.fr/professionnels-de-sante/recherche/fiche-detaillee-B7c1lTYxMTS6.html</t>
  </si>
  <si>
    <t xml:space="preserve">LE CANUET</t>
  </si>
  <si>
    <t xml:space="preserve">12 BOULEVARD SUCHET</t>
  </si>
  <si>
    <t xml:space="preserve">01 40 72 71 29</t>
  </si>
  <si>
    <t xml:space="preserve">LE CANUET PIERRE#https://annuairesante.ameli.fr/professionnels-de-sante/recherche/fiche-detaillee-B7c1kTozMDew.html</t>
  </si>
  <si>
    <t xml:space="preserve">BOULEVARD SUCHET</t>
  </si>
  <si>
    <t xml:space="preserve">HOSTACHY</t>
  </si>
  <si>
    <t xml:space="preserve">HOSTACHY THIBAUT#https://annuairesante.ameli.fr/professionnels-de-sante/recherche/fiche-detaillee-B7c1mjM0MzK7.html</t>
  </si>
  <si>
    <t xml:space="preserve">GIRARD BOCCARA</t>
  </si>
  <si>
    <t xml:space="preserve">GIRARD BOCCARA LAURA#https://annuairesante.ameli.fr/professionnels-de-sante/recherche/fiche-detaillee-B7c1kjY5NDGy.html</t>
  </si>
  <si>
    <t xml:space="preserve">175</t>
  </si>
  <si>
    <t xml:space="preserve">PATTE KARSENTI</t>
  </si>
  <si>
    <t xml:space="preserve">25 RUE GEORGES BIZET</t>
  </si>
  <si>
    <t xml:space="preserve">01 46 89 46 28</t>
  </si>
  <si>
    <t xml:space="preserve">PATTE KARSENTI NATHALIE#https://annuairesante.ameli.fr/professionnels-de-sante/recherche/fiche-detaillee-B7c1mjMwMDO7.html</t>
  </si>
  <si>
    <t xml:space="preserve">GUIMARAES COSTA</t>
  </si>
  <si>
    <t xml:space="preserve">RAQUEL</t>
  </si>
  <si>
    <t xml:space="preserve">GUIMARAES COSTA RAQUEL#https://annuairesante.ameli.fr/professionnels-de-sante/recherche/fiche-detaillee-B7c1kjQ1MjK3.html</t>
  </si>
  <si>
    <t xml:space="preserve">DEBS</t>
  </si>
  <si>
    <t xml:space="preserve">RABAB</t>
  </si>
  <si>
    <t xml:space="preserve">DEBS RABAB#https://annuairesante.ameli.fr/professionnels-de-sante/recherche/fiche-detaillee-B7c1kjA4Mza7.html</t>
  </si>
  <si>
    <t xml:space="preserve">HEITZ</t>
  </si>
  <si>
    <t xml:space="preserve">HEITZ CAMILLE#https://annuairesante.ameli.fr/professionnels-de-sante/recherche/fiche-detaillee-B7c1kzA5MTqw.html</t>
  </si>
  <si>
    <t xml:space="preserve">OLIVIERI</t>
  </si>
  <si>
    <t xml:space="preserve">7B RUE LE SUEUR</t>
  </si>
  <si>
    <t xml:space="preserve">01 87 44 67 00</t>
  </si>
  <si>
    <t xml:space="preserve">OLIVIERI PAULINE#https://annuairesante.ameli.fr/professionnels-de-sante/recherche/fiche-detaillee-B7c1kjo5MTK3.html</t>
  </si>
  <si>
    <t xml:space="preserve">YAKOVLEFF ANTOINE#https://annuairesante.ameli.fr/professionnels-de-sante/recherche/fiche-detaillee-B7c1lDY3MTqx.html</t>
  </si>
  <si>
    <t xml:space="preserve">CHAHBAZIAN</t>
  </si>
  <si>
    <t xml:space="preserve">06 16 48 46 52</t>
  </si>
  <si>
    <t xml:space="preserve">CHAHBAZIAN KARINE#https://annuairesante.ameli.fr/professionnels-de-sante/recherche/fiche-detaillee-B7c1kzYxMTW7.html</t>
  </si>
  <si>
    <t xml:space="preserve">10:00-13:30(R)&lt;br/&gt;</t>
  </si>
  <si>
    <t xml:space="preserve">MUTLU</t>
  </si>
  <si>
    <t xml:space="preserve">GURKAN</t>
  </si>
  <si>
    <t xml:space="preserve">MUTLU GURKAN#https://annuairesante.ameli.fr/professionnels-de-sante/recherche/fiche-detaillee-B7c1mjAxNTO3.html</t>
  </si>
  <si>
    <t xml:space="preserve">RUSU DEVAUX</t>
  </si>
  <si>
    <t xml:space="preserve">VIOLETA</t>
  </si>
  <si>
    <t xml:space="preserve">RUSU DEVAUX VIOLETA#https://annuairesante.ameli.fr/professionnels-de-sante/recherche/fiche-detaillee-B7c1lTExNTqz.html</t>
  </si>
  <si>
    <t xml:space="preserve">BOULU</t>
  </si>
  <si>
    <t xml:space="preserve">BOULU PHILIPPE#https://annuairesante.ameli.fr/professionnels-de-sante/recherche/fiche-detaillee-B7c1ljQ3MDW7.html</t>
  </si>
  <si>
    <t xml:space="preserve">RIBEREAU</t>
  </si>
  <si>
    <t xml:space="preserve">RODRIGUE</t>
  </si>
  <si>
    <t xml:space="preserve">RIBEREAU RODRIGUE#https://annuairesante.ameli.fr/professionnels-de-sante/recherche/fiche-detaillee-B7c1kzExNTKz.html</t>
  </si>
  <si>
    <t xml:space="preserve">TAMAZYAN</t>
  </si>
  <si>
    <t xml:space="preserve">RUBEN</t>
  </si>
  <si>
    <t xml:space="preserve">01 44 19 50 40</t>
  </si>
  <si>
    <t xml:space="preserve">TAMAZYAN RUBEN#https://annuairesante.ameli.fr/professionnels-de-sante/recherche/fiche-detaillee-B7c1kjYxNDKx.html</t>
  </si>
  <si>
    <t xml:space="preserve">KALAFAT</t>
  </si>
  <si>
    <t xml:space="preserve">207 RUE DE VAUGIRARD</t>
  </si>
  <si>
    <t xml:space="preserve">01 47 34 23 23</t>
  </si>
  <si>
    <t xml:space="preserve">KALAFAT MICHEL#https://annuairesante.ameli.fr/professionnels-de-sante/recherche/fiche-detaillee-B7c1lzM4NTSw.html</t>
  </si>
  <si>
    <t xml:space="preserve">207</t>
  </si>
  <si>
    <t xml:space="preserve">01 47 34 66 25</t>
  </si>
  <si>
    <t xml:space="preserve">LAFITTE CATHERINE#https://annuairesante.ameli.fr/professionnels-de-sante/recherche/fiche-detaillee-B7c1lzs3NzC1.html</t>
  </si>
  <si>
    <t xml:space="preserve">204</t>
  </si>
  <si>
    <t xml:space="preserve">AL NAJJAR CARPENTIER</t>
  </si>
  <si>
    <t xml:space="preserve">AMER ADAM</t>
  </si>
  <si>
    <t xml:space="preserve">17B RUE ROSENWALD</t>
  </si>
  <si>
    <t xml:space="preserve">AL NAJJAR CARPENTIER AMER ADAM#https://annuairesante.ameli.fr/professionnels-de-sante/recherche/fiche-detaillee-B7c1lTEwNDS2.html</t>
  </si>
  <si>
    <t xml:space="preserve">RUE ROSENWALD</t>
  </si>
  <si>
    <t xml:space="preserve">SEDDIK SIFAOUI</t>
  </si>
  <si>
    <t xml:space="preserve">LILIA</t>
  </si>
  <si>
    <t xml:space="preserve">SEDDIK SIFAOUI LILIA#https://annuairesante.ameli.fr/professionnels-de-sante/recherche/fiche-detaillee-B7c1kzcwMDa2.html</t>
  </si>
  <si>
    <t xml:space="preserve">RISVEGLIATO</t>
  </si>
  <si>
    <t xml:space="preserve">MILTON</t>
  </si>
  <si>
    <t xml:space="preserve">RISVEGLIATO MILTON#https://annuairesante.ameli.fr/professionnels-de-sante/recherche/fiche-detaillee-B7c1kjsxNDay.html</t>
  </si>
  <si>
    <t xml:space="preserve">GUEGUEN</t>
  </si>
  <si>
    <t xml:space="preserve">GUEGUEN ANTOINE#https://annuairesante.ameli.fr/professionnels-de-sante/recherche/fiche-detaillee-B7c1mzQ2NDa7.html</t>
  </si>
  <si>
    <t xml:space="preserve">LARIBI TOUNSI</t>
  </si>
  <si>
    <t xml:space="preserve">HENDA</t>
  </si>
  <si>
    <t xml:space="preserve">5 RUE THEODORE DE BANVILLE</t>
  </si>
  <si>
    <t xml:space="preserve">LARIBI TOUNSI HENDA#https://annuairesante.ameli.fr/professionnels-de-sante/recherche/fiche-detaillee-B7c1lTYwMje1.html</t>
  </si>
  <si>
    <t xml:space="preserve">RUE THEODORE DE BANVILLE</t>
  </si>
  <si>
    <t xml:space="preserve">HOSSEINI</t>
  </si>
  <si>
    <t xml:space="preserve">07 52 52 55 55</t>
  </si>
  <si>
    <t xml:space="preserve">HOSSEINI HASSAN#https://annuairesante.ameli.fr/professionnels-de-sante/recherche/fiche-detaillee-B7c1mjEwOTC0.html</t>
  </si>
  <si>
    <t xml:space="preserve">OBADIA</t>
  </si>
  <si>
    <t xml:space="preserve">OBADIA MICHAEL#https://annuairesante.ameli.fr/professionnels-de-sante/recherche/fiche-detaillee-B7c1lDQwMDG2.html</t>
  </si>
  <si>
    <t xml:space="preserve">ROUMI</t>
  </si>
  <si>
    <t xml:space="preserve">ROUMI ARNAUD#https://annuairesante.ameli.fr/professionnels-de-sante/recherche/fiche-detaillee-B7c1kzI4MTe6.html</t>
  </si>
  <si>
    <t xml:space="preserve">AFANASIEV</t>
  </si>
  <si>
    <t xml:space="preserve">VADIM</t>
  </si>
  <si>
    <t xml:space="preserve">AFANASIEV VADIM#https://annuairesante.ameli.fr/professionnels-de-sante/recherche/fiche-detaillee-B7c1kzI3MzKx.html</t>
  </si>
  <si>
    <t xml:space="preserve">DALLOZ</t>
  </si>
  <si>
    <t xml:space="preserve">10B RUE ANATOLE DE LA FORGE</t>
  </si>
  <si>
    <t xml:space="preserve">DALLOZ MARIE AMELIE#https://annuairesante.ameli.fr/professionnels-de-sante/recherche/fiche-detaillee-B7c1mzcwMTa0.html</t>
  </si>
  <si>
    <t xml:space="preserve">LEBOUTEUX</t>
  </si>
  <si>
    <t xml:space="preserve">MARIE VIOLAINE</t>
  </si>
  <si>
    <t xml:space="preserve">LEBOUTEUX MARIE VIOLAINE#https://annuairesante.ameli.fr/professionnels-de-sante/recherche/fiche-detaillee-B7c1kjM2NDS6.html</t>
  </si>
  <si>
    <t xml:space="preserve">QUERA SALVA</t>
  </si>
  <si>
    <t xml:space="preserve">59 AVENUE DE VILLIERS</t>
  </si>
  <si>
    <t xml:space="preserve">QUERA SALVA MARIA#https://annuairesante.ameli.fr/professionnels-de-sante/recherche/fiche-detaillee-B7c1lTA3NDWw.html</t>
  </si>
  <si>
    <t xml:space="preserve">HUBSCH</t>
  </si>
  <si>
    <t xml:space="preserve">HUBSCH CECILE#https://annuairesante.ameli.fr/professionnels-de-sante/recherche/fiche-detaillee-B7c1mzcxMTa6.html</t>
  </si>
  <si>
    <t xml:space="preserve">BAULAC</t>
  </si>
  <si>
    <t xml:space="preserve">07 88 35 20 76</t>
  </si>
  <si>
    <t xml:space="preserve">BAULAC MICHEL#https://annuairesante.ameli.fr/professionnels-de-sante/recherche/fiche-detaillee-CbA1kjYwMTS0.html</t>
  </si>
  <si>
    <t xml:space="preserve">IBOS AUGE</t>
  </si>
  <si>
    <t xml:space="preserve">IBOS AUGE NATHANAEL#https://annuairesante.ameli.fr/professionnels-de-sante/recherche/fiche-detaillee-CbA1kjY5NzGw.html</t>
  </si>
  <si>
    <t xml:space="preserve">01 42 89 18 18</t>
  </si>
  <si>
    <t xml:space="preserve">TOUBOUL PIERRE#https://annuairesante.ameli.fr/professionnels-de-sante/recherche/fiche-detaillee-B7c1kTE0NDGz.html</t>
  </si>
  <si>
    <t xml:space="preserve">HUGON</t>
  </si>
  <si>
    <t xml:space="preserve">HUGON JACQUES#https://annuairesante.ameli.fr/professionnels-de-sante/recherche/fiche-detaillee-B7c1mzQ2MDq2.html</t>
  </si>
  <si>
    <t xml:space="preserve">KOSKAS</t>
  </si>
  <si>
    <t xml:space="preserve">21 RUE ST PETERSBOURG</t>
  </si>
  <si>
    <t xml:space="preserve">01 45 22 38 00</t>
  </si>
  <si>
    <t xml:space="preserve">KOSKAS PIERRE#https://annuairesante.ameli.fr/professionnels-de-sante/recherche/fiche-detaillee-B7c1ljozOTux.html</t>
  </si>
  <si>
    <t xml:space="preserve">RUE ST PETERSBOURG</t>
  </si>
  <si>
    <t xml:space="preserve">PEWZNER APELIOIG</t>
  </si>
  <si>
    <t xml:space="preserve">PEWZNER APELIOIG EVELYNE#https://annuairesante.ameli.fr/professionnels-de-sante/recherche/fiche-detaillee-B7c1kDs0MzOw.html</t>
  </si>
  <si>
    <t xml:space="preserve">POLACK JEAN CLAUDE#https://annuairesante.ameli.fr/professionnels-de-sante/recherche/fiche-detaillee-B7c1kTExODK2.html</t>
  </si>
  <si>
    <t xml:space="preserve">CARMI</t>
  </si>
  <si>
    <t xml:space="preserve">38 RUE D'ALLERAY</t>
  </si>
  <si>
    <t xml:space="preserve">01 45 33 33 96</t>
  </si>
  <si>
    <t xml:space="preserve">CARMI ANTOINE#https://annuairesante.ameli.fr/professionnels-de-sante/recherche/fiche-detaillee-B7c1lzUwNTCw.html</t>
  </si>
  <si>
    <t xml:space="preserve">RUE D'ALLERAY</t>
  </si>
  <si>
    <t xml:space="preserve">REIGNIER</t>
  </si>
  <si>
    <t xml:space="preserve">01 48 88 02 09</t>
  </si>
  <si>
    <t xml:space="preserve">REIGNIER ALAIN#https://annuairesante.ameli.fr/professionnels-de-sante/recherche/fiche-detaillee-B7c1kDUzMDK0.html</t>
  </si>
  <si>
    <t xml:space="preserve">BSPP</t>
  </si>
  <si>
    <t xml:space="preserve">HÔPITAL VAUGIRARD - APHP</t>
  </si>
  <si>
    <t xml:space="preserve">Grand âge</t>
  </si>
  <si>
    <t xml:space="preserve">CLINIQUE EDOUARD RIST</t>
  </si>
  <si>
    <t xml:space="preserve">Ados</t>
  </si>
  <si>
    <t xml:space="preserve">MINISTERE DE LA DEFENSE</t>
  </si>
  <si>
    <t xml:space="preserve">CABINET MÉDICAL DE LA TOUR-MAUBOURG</t>
  </si>
  <si>
    <t xml:space="preserve">Gastro-entéro-hépato + chirurgie</t>
  </si>
  <si>
    <t xml:space="preserve">Esthétique</t>
  </si>
  <si>
    <t xml:space="preserve">CENTRE DU CHAMP DE MARS - EIFFEL</t>
  </si>
  <si>
    <t xml:space="preserve">CLINIQUE SAINT JEAN DE DIEU</t>
  </si>
  <si>
    <t xml:space="preserve">La Clinique Saint Jean de Dieu est un établissement privé, piloté en commun par la Fondation Cognacq-Jay et la Fondation Saint Jean de Dieu. Toutes deux sont reconnues d’utilité publique et partagent les mêmes valeurs d’exigence et d’hospitalité dans le soin.</t>
  </si>
  <si>
    <t xml:space="preserve">2 B SQUARE LAMARTINE</t>
  </si>
  <si>
    <t xml:space="preserve">CENTRE D'ACCUEIL THÉRAPEUTIQUE À TEMPS PARTIEL LAMARTINE (CATTP)</t>
  </si>
  <si>
    <t xml:space="preserve">CAB MED</t>
  </si>
  <si>
    <t xml:space="preserve">MAISON DE SANTÉ PLURIPROFESSIONNELLE CONVENTION-LECOURBE</t>
  </si>
  <si>
    <t xml:space="preserve">MGY + PE</t>
  </si>
  <si>
    <t xml:space="preserve">CENTRE HOSPITALIER RIVES DE SEINE - URGENCES</t>
  </si>
  <si>
    <t xml:space="preserve">Institution Nationale des Invalides</t>
  </si>
  <si>
    <t xml:space="preserve">Centre Hospitalier Spécialisé Roger Prévot</t>
  </si>
  <si>
    <t xml:space="preserve">CMP</t>
  </si>
  <si>
    <t xml:space="preserve">nom zone</t>
  </si>
  <si>
    <t xml:space="preserve">tarif</t>
  </si>
  <si>
    <t xml:space="preserve">Paris</t>
  </si>
  <si>
    <t xml:space="preserve">Paris 7e arr.</t>
  </si>
  <si>
    <t xml:space="preserve">Paris 8e arr.</t>
  </si>
  <si>
    <t xml:space="preserve">Paris 15e arr.</t>
  </si>
  <si>
    <t xml:space="preserve">Paris 16e arr.</t>
  </si>
  <si>
    <t xml:space="preserve">Paris 17e arr.</t>
  </si>
  <si>
    <t xml:space="preserve">Neuilly-sur-Seine</t>
  </si>
  <si>
    <t xml:space="preserve">Neuilly / S.</t>
  </si>
  <si>
    <t xml:space="preserve">Levallois-Perret</t>
  </si>
  <si>
    <t xml:space="preserve">Levallois P.</t>
  </si>
  <si>
    <t xml:space="preserve">Boulogne  Billancourt</t>
  </si>
  <si>
    <t xml:space="preserve">Boulogne  B.</t>
  </si>
  <si>
    <t xml:space="preserve">title</t>
  </si>
  <si>
    <t xml:space="preserve">PHARMACIE DAMBREVILLE PHARMACIE DAMBREVILLE</t>
  </si>
  <si>
    <t xml:space="preserve">AKLIT FARID</t>
  </si>
  <si>
    <t xml:space="preserve">AKLIT</t>
  </si>
  <si>
    <t xml:space="preserve">FARID</t>
  </si>
  <si>
    <t xml:space="preserve">ISHAK SAMIA</t>
  </si>
  <si>
    <t xml:space="preserve">ISHAK</t>
  </si>
  <si>
    <t xml:space="preserve">PHARMACIE VERSAILLES MIRABEAU PHARMACIE VERSAILLES MIRABEAU</t>
  </si>
  <si>
    <t xml:space="preserve">PHARMACIE DU BIEN ETRE PHARMACIE DU BIEN ETRE</t>
  </si>
  <si>
    <t xml:space="preserve">PHARMACIE DUBLY PHARMACIE DUBLY</t>
  </si>
  <si>
    <t xml:space="preserve">PHARMACIE HAUSSMANN LABORDE PHARMACIE HAUSSMANN LABORDE</t>
  </si>
  <si>
    <t xml:space="preserve">[Timestamp('2023-07-26 15:00:00'), Timestamp('2023-07-26 16:00:00')]</t>
  </si>
  <si>
    <t xml:space="preserve">PHARMACIE DE BERRI PHARMACIE DE BERRI</t>
  </si>
  <si>
    <t xml:space="preserve">HIEN NGUYEN TRONG</t>
  </si>
  <si>
    <t xml:space="preserve">HIEN NGUYEN</t>
  </si>
  <si>
    <t xml:space="preserve">TRONG</t>
  </si>
  <si>
    <t xml:space="preserve">PHARMACIE DARMON PHARMACIE DARMON</t>
  </si>
  <si>
    <t xml:space="preserve">PHARMACIE BROVILLE PHARMACIE BROVILLE</t>
  </si>
  <si>
    <t xml:space="preserve">PHARMACIE LAHYANI PHARMACIE LAHYANI</t>
  </si>
  <si>
    <t xml:space="preserve">PHARMACIE LAHYANI</t>
  </si>
  <si>
    <t xml:space="preserve">PHARMACIE DU DOCTEUR BLANCHE PHARMACIE DU DOCTEUR BLANCHE</t>
  </si>
  <si>
    <t xml:space="preserve">DE L ARC DE TRIOMPHE PHARM</t>
  </si>
  <si>
    <t xml:space="preserve">DE L ARC DE TRIOMPHE</t>
  </si>
  <si>
    <t xml:space="preserve">PHARMACIE COHEN MARTIN PHARMACIE COHEN MARTIN</t>
  </si>
  <si>
    <t xml:space="preserve">CHRISTINE REBETEZ MARIE</t>
  </si>
  <si>
    <t xml:space="preserve">CHRISTINE REBETEZ</t>
  </si>
  <si>
    <t xml:space="preserve">LAURE TRIALOUP SARAH</t>
  </si>
  <si>
    <t xml:space="preserve">LAURE TRIALOUP</t>
  </si>
  <si>
    <t xml:space="preserve">PARADE CHRISTIAN</t>
  </si>
  <si>
    <t xml:space="preserve">PARADE</t>
  </si>
  <si>
    <t xml:space="preserve">PHARMACIE DES SABLONS PHARMACIE DES SABLONS</t>
  </si>
  <si>
    <t xml:space="preserve">PHARMACIE YAICHE LAZIMI PHARMACIE YAICHE LAZIMI</t>
  </si>
  <si>
    <t xml:space="preserve">HUEL CHAN</t>
  </si>
  <si>
    <t xml:space="preserve">PHARMACIE NIEL PHARMACIE NIEL</t>
  </si>
  <si>
    <t xml:space="preserve">SULTAN SAMY</t>
  </si>
  <si>
    <t xml:space="preserve">HARBULOT CAROLE</t>
  </si>
  <si>
    <t xml:space="preserve">HARBULOT</t>
  </si>
  <si>
    <t xml:space="preserve">BENSAAD MOUNA</t>
  </si>
  <si>
    <t xml:space="preserve">THU NGUYEN XUAN HUYEN</t>
  </si>
  <si>
    <t xml:space="preserve">THU NGUYEN XUAN</t>
  </si>
  <si>
    <t xml:space="preserve">HUYEN</t>
  </si>
  <si>
    <t xml:space="preserve">BISMUTH LAURENCE</t>
  </si>
  <si>
    <t xml:space="preserve">DAUVISSAT CLEMENTINE</t>
  </si>
  <si>
    <t xml:space="preserve">DAUVISSAT</t>
  </si>
  <si>
    <t xml:space="preserve">PHARMACIE COURCELLES DEMOURS PHARMACIE COURCELLES DEMOURS</t>
  </si>
  <si>
    <t xml:space="preserve">[Timestamp('2023-09-20 14:00:00'), Timestamp('2023-11-08 12:00:00')]</t>
  </si>
  <si>
    <t xml:space="preserve">PHARMACIE DE PRONY PHARMACIE DE PRONY</t>
  </si>
  <si>
    <t xml:space="preserve">AKNIN JESSICA</t>
  </si>
  <si>
    <t xml:space="preserve">DOUARD STEPHANE</t>
  </si>
  <si>
    <t xml:space="preserve">FADONOUGBO ALAIN</t>
  </si>
  <si>
    <t xml:space="preserve">FADONOUGBO</t>
  </si>
  <si>
    <t xml:space="preserve">FABREGUETTES DENMUR AURELIE</t>
  </si>
  <si>
    <t xml:space="preserve">FABREGUETTES DENMUR</t>
  </si>
  <si>
    <t xml:space="preserve">LEBLANC VALERIE</t>
  </si>
  <si>
    <t xml:space="preserve">FELLOUS BRUNO</t>
  </si>
  <si>
    <t xml:space="preserve">FELLOUS</t>
  </si>
  <si>
    <t xml:space="preserve">PHARMACIE FELLOUS PHARMACIE FELLOUS</t>
  </si>
  <si>
    <t xml:space="preserve">LAURE ETIENNE ANAHI</t>
  </si>
  <si>
    <t xml:space="preserve">LAURE ETIENNE</t>
  </si>
  <si>
    <t xml:space="preserve">ANAHI</t>
  </si>
  <si>
    <t xml:space="preserve">PINTA STANISLAS</t>
  </si>
  <si>
    <t xml:space="preserve">PINTA</t>
  </si>
  <si>
    <t xml:space="preserve">STANISLAS</t>
  </si>
  <si>
    <t xml:space="preserve">PHARMACIE PINTA PHARMACIE PINTA</t>
  </si>
  <si>
    <t xml:space="preserve">ELKESLASSY YONI</t>
  </si>
  <si>
    <t xml:space="preserve">ELKESLASSY</t>
  </si>
  <si>
    <t xml:space="preserve">YONI</t>
  </si>
  <si>
    <t xml:space="preserve">PHARMACIE DU MARECHAL JUIN PHARMACIE DU MARECHAL JUIN</t>
  </si>
  <si>
    <t xml:space="preserve">[Timestamp('2023-09-20 16:00:00'), Timestamp('2023-10-23 17:30:00'), Timestamp('2023-11-08 16:00:00'), Timestamp('2023-11-21 15:00:00')]</t>
  </si>
  <si>
    <t xml:space="preserve">NGUYET PHAM THI THOI</t>
  </si>
  <si>
    <t xml:space="preserve">NGUYET PHAM THI</t>
  </si>
  <si>
    <t xml:space="preserve">THOI</t>
  </si>
  <si>
    <t xml:space="preserve">CHANRION AUDE</t>
  </si>
  <si>
    <t xml:space="preserve">CHANRION</t>
  </si>
  <si>
    <t xml:space="preserve">PHARMACIE LECOURBE CAMBRONNE PHARMACIE LECOURBE CAMBRONNE</t>
  </si>
  <si>
    <t xml:space="preserve">PHARMACIE DU MARCHE DE PASSY PHARMACIE DU MARCHE DE PASSY</t>
  </si>
  <si>
    <t xml:space="preserve">CONSTANTINI JEAN MARC</t>
  </si>
  <si>
    <t xml:space="preserve">CONSTANTINI</t>
  </si>
  <si>
    <t xml:space="preserve">ORSEAU EDELMAN CLAIRE</t>
  </si>
  <si>
    <t xml:space="preserve">ORSEAU EDELMAN</t>
  </si>
  <si>
    <t xml:space="preserve">GRANDE PHARMACIE DOUMER PASSY GRANDE PHARMACIE DOUMER PASSY</t>
  </si>
  <si>
    <t xml:space="preserve">PHARMACIE CONTET PHARMACIE CONTET</t>
  </si>
  <si>
    <t xml:space="preserve">LISE BAUDINO ANNE</t>
  </si>
  <si>
    <t xml:space="preserve">LISE BAUDINO</t>
  </si>
  <si>
    <t xml:space="preserve">PASCALE GRENIER MIROUX MARIE</t>
  </si>
  <si>
    <t xml:space="preserve">PASCALE GRENIER MIROUX</t>
  </si>
  <si>
    <t xml:space="preserve">METROT NICOLAS</t>
  </si>
  <si>
    <t xml:space="preserve">METROT</t>
  </si>
  <si>
    <t xml:space="preserve">PHARMACIE NECKER PHARMACIE NECKER</t>
  </si>
  <si>
    <t xml:space="preserve">KOKO NAOMI</t>
  </si>
  <si>
    <t xml:space="preserve">KOKO</t>
  </si>
  <si>
    <t xml:space="preserve">NAOMI</t>
  </si>
  <si>
    <t xml:space="preserve">PHARMACIE VILLA CROIX NIVERT PHARMACIE VILLA CROIX NIVERT</t>
  </si>
  <si>
    <t xml:space="preserve">AOUIZERAT FRANCK</t>
  </si>
  <si>
    <t xml:space="preserve">AOUIZERAT</t>
  </si>
  <si>
    <t xml:space="preserve">[Timestamp('2023-11-08 09:00:00'), Timestamp('2023-12-07 10:00:00')]</t>
  </si>
  <si>
    <t xml:space="preserve">PHARMACIE AOUIZERAT PHARMACIE AOUIZERAT</t>
  </si>
  <si>
    <t xml:space="preserve">AMIEL HANOUNA SOPHIE</t>
  </si>
  <si>
    <t xml:space="preserve">AMIEL HANOUNA</t>
  </si>
  <si>
    <t xml:space="preserve">PHARMACIE AMIEL HANOUNA PHARMACIE AMIEL HANOUNA</t>
  </si>
  <si>
    <t xml:space="preserve">HAMMIDECHE WAHIRA</t>
  </si>
  <si>
    <t xml:space="preserve">HAMMIDECHE</t>
  </si>
  <si>
    <t xml:space="preserve">WAHIRA</t>
  </si>
  <si>
    <t xml:space="preserve">REDA BENISSA MOHAMED</t>
  </si>
  <si>
    <t xml:space="preserve">REDA BENISSA</t>
  </si>
  <si>
    <t xml:space="preserve">GOBRAIL NESSEM STEPHANIE</t>
  </si>
  <si>
    <t xml:space="preserve">GOBRAIL NESSEM</t>
  </si>
  <si>
    <t xml:space="preserve">PHARMACIE ZANEA PHARMACIE ZANEA</t>
  </si>
  <si>
    <t xml:space="preserve">JACQUES PHILIPPE</t>
  </si>
  <si>
    <t xml:space="preserve">PHARMACIE CENTRALE PHARMACIE CENTRALE</t>
  </si>
  <si>
    <t xml:space="preserve">ALTOBELLI ANNIE</t>
  </si>
  <si>
    <t xml:space="preserve">ALTOBELLI</t>
  </si>
  <si>
    <t xml:space="preserve">[Timestamp('2024-01-04 10:30:00'), Timestamp('2024-01-16 17:00:00')]</t>
  </si>
  <si>
    <t xml:space="preserve">PHARMACIE ALTOBELLI CHEKROUN PHARMACIE ALTOBELLI CHEKROUN</t>
  </si>
  <si>
    <t xml:space="preserve">CHEKROUN GUYLAINE</t>
  </si>
  <si>
    <t xml:space="preserve">CHEKROUN</t>
  </si>
  <si>
    <t xml:space="preserve">GUYLAINE</t>
  </si>
  <si>
    <t xml:space="preserve">PHARMACIE DE L ASSEMBLEE PHARMACIE DE L ASSEMBLEE</t>
  </si>
  <si>
    <t xml:space="preserve">MARQUEZ ANA</t>
  </si>
  <si>
    <t xml:space="preserve">MARQUEZ</t>
  </si>
  <si>
    <t xml:space="preserve">ANA</t>
  </si>
  <si>
    <t xml:space="preserve">GOLDES LISE</t>
  </si>
  <si>
    <t xml:space="preserve">GOLDES</t>
  </si>
  <si>
    <t xml:space="preserve">LISE</t>
  </si>
  <si>
    <t xml:space="preserve">PHARMACIE SAINT PIERRE PHARMACIE SAINT PIERRE</t>
  </si>
  <si>
    <t xml:space="preserve">LEMAITRE MARION</t>
  </si>
  <si>
    <t xml:space="preserve">PHARMACIE PARSY PHARMACIE PARSY</t>
  </si>
  <si>
    <t xml:space="preserve">PHARMACIE D ALLERAY PHARMACIE D ALLERAY</t>
  </si>
  <si>
    <t xml:space="preserve">ANTOINE MATHILDE</t>
  </si>
  <si>
    <t xml:space="preserve">VERON MAXIME</t>
  </si>
  <si>
    <t xml:space="preserve">VERON</t>
  </si>
  <si>
    <t xml:space="preserve">PHARMACIE BUFFON PHARMACIE BUFFON</t>
  </si>
  <si>
    <t xml:space="preserve">MGHAIETH CLARISSE</t>
  </si>
  <si>
    <t xml:space="preserve">PHARMACIE AGOUDJIAN PHARMACIE AGOUDJIAN</t>
  </si>
  <si>
    <t xml:space="preserve">[Timestamp('2023-07-26 15:30:00'), Timestamp('2024-02-02 10:30:00')]</t>
  </si>
  <si>
    <t xml:space="preserve">AGOUDJIAN VERONIQUE</t>
  </si>
  <si>
    <t xml:space="preserve">AGOUDJIAN</t>
  </si>
  <si>
    <t xml:space="preserve">LAFARGE GONZAGUE</t>
  </si>
  <si>
    <t xml:space="preserve">LAFARGE</t>
  </si>
  <si>
    <t xml:space="preserve">GONZAGUE</t>
  </si>
  <si>
    <t xml:space="preserve">PHARMACIE LAFARGE PHARMACIE LAFARGE</t>
  </si>
  <si>
    <t xml:space="preserve">PHARMACIE PARIS EIFFEL PHARMACIE PARIS EIFFEL</t>
  </si>
  <si>
    <t xml:space="preserve">DUDOUIT BOUVET HELENE</t>
  </si>
  <si>
    <t xml:space="preserve">DUDOUIT BOUVET</t>
  </si>
  <si>
    <t xml:space="preserve">CHRISTINE CLAVERO FABRI MARIE</t>
  </si>
  <si>
    <t xml:space="preserve">CHRISTINE CLAVERO FABRI</t>
  </si>
  <si>
    <t xml:space="preserve">HAGGIAG DAVID</t>
  </si>
  <si>
    <t xml:space="preserve">HAGGIAG</t>
  </si>
  <si>
    <t xml:space="preserve">COHEN ANDREA</t>
  </si>
  <si>
    <t xml:space="preserve">ANDREA</t>
  </si>
  <si>
    <t xml:space="preserve">PHARMACIE DU PARC PHARMACIE DU PARC</t>
  </si>
  <si>
    <t xml:space="preserve">PHARMACIE EL KAIM LESELBAUM PHARMACIE EL KAIM LESELBAUM</t>
  </si>
  <si>
    <t xml:space="preserve">SEBILLE ALEXANDRA</t>
  </si>
  <si>
    <t xml:space="preserve">SEBILLE</t>
  </si>
  <si>
    <t xml:space="preserve">LAMAIN ODILE</t>
  </si>
  <si>
    <t xml:space="preserve">LAMAIN</t>
  </si>
  <si>
    <t xml:space="preserve">PHARMACIE EUROPEENNE PHARMACIE EUROPEENNE</t>
  </si>
  <si>
    <t xml:space="preserve">PHARMACIE PERETTI PHARMACIE PERETTI</t>
  </si>
  <si>
    <t xml:space="preserve">CASTETBON CELINE</t>
  </si>
  <si>
    <t xml:space="preserve">CASTETBON</t>
  </si>
  <si>
    <t xml:space="preserve">PERRIN CLAIRE</t>
  </si>
  <si>
    <t xml:space="preserve">PHARMACIE CENTRALE D AUTEUIL PHARMACIE CENTRALE D AUTEUIL</t>
  </si>
  <si>
    <t xml:space="preserve">[Timestamp('2023-11-08 09:30:00'), Timestamp('2024-03-04 09:30:00')]</t>
  </si>
  <si>
    <t xml:space="preserve">FAIVRE BROUSSOLLE VERONIQUE</t>
  </si>
  <si>
    <t xml:space="preserve">FAIVRE BROUSSOLLE</t>
  </si>
  <si>
    <t xml:space="preserve">BENAYOUN BENELBAZ SANDRA</t>
  </si>
  <si>
    <t xml:space="preserve">BENAYOUN BENELBAZ</t>
  </si>
  <si>
    <t xml:space="preserve">PHARMACIE LA FONTAINE PHARMACIE LA FONTAINE</t>
  </si>
  <si>
    <t xml:space="preserve">CAPILLON RENALD</t>
  </si>
  <si>
    <t xml:space="preserve">CAPILLON</t>
  </si>
  <si>
    <t xml:space="preserve">RENALD</t>
  </si>
  <si>
    <t xml:space="preserve">PHARMACIE MATIGNON PHARMACIE MATIGNON</t>
  </si>
  <si>
    <t xml:space="preserve">OMAR JUMAH ALEXANDRE</t>
  </si>
  <si>
    <t xml:space="preserve">OMAR JUMAH</t>
  </si>
  <si>
    <t xml:space="preserve">CLARET TOURNIER ANNE</t>
  </si>
  <si>
    <t xml:space="preserve">FUSSIEN EDOUARD</t>
  </si>
  <si>
    <t xml:space="preserve">PHARMACIE DE VILLIERS PHARMACIE DE VILLIERS</t>
  </si>
  <si>
    <t xml:space="preserve">PHARMACIE CHARLES MICHELS PHARMACIE CHARLES MICHELS</t>
  </si>
  <si>
    <t xml:space="preserve">BALME BEATRICE</t>
  </si>
  <si>
    <t xml:space="preserve">BALME</t>
  </si>
  <si>
    <t xml:space="preserve">SASPORTAS DAVID</t>
  </si>
  <si>
    <t xml:space="preserve">PHARMACIE ANGLAISE PHARMACIE ANGLAISE</t>
  </si>
  <si>
    <t xml:space="preserve">CHRISTINE LAFFONT GERODOLLE MARIE</t>
  </si>
  <si>
    <t xml:space="preserve">CHRISTINE LAFFONT GERODOLLE</t>
  </si>
  <si>
    <t xml:space="preserve">[Timestamp('2024-02-15 15:30:00'), Timestamp('2024-03-22 16:30:00')]</t>
  </si>
  <si>
    <t xml:space="preserve">CALONEC ELISE</t>
  </si>
  <si>
    <t xml:space="preserve">CALONEC</t>
  </si>
  <si>
    <t xml:space="preserve">PHARMACIE DU PONT DE NEUILLY PHARMACIE DU PONT DE NEUILLY</t>
  </si>
  <si>
    <t xml:space="preserve">BOUKOBZA DAVID</t>
  </si>
  <si>
    <t xml:space="preserve">PHARMACIE VICTOR HUGO PHARMACIE VICTOR HUGO</t>
  </si>
  <si>
    <t xml:space="preserve">PHARMACIE DE LA PORTE MAILLOT PHARMACIE DE LA PORTE MAILLOT</t>
  </si>
  <si>
    <t xml:space="preserve">[Timestamp('2023-11-14 11:30:00'), Timestamp('2024-05-07 12:30:00')]</t>
  </si>
  <si>
    <t xml:space="preserve">HEIDERIJK JOHANNES</t>
  </si>
  <si>
    <t xml:space="preserve">HEIDERIJK</t>
  </si>
  <si>
    <t xml:space="preserve">JOHANNES</t>
  </si>
  <si>
    <t xml:space="preserve">BENKHELIFA SAMIR</t>
  </si>
  <si>
    <t xml:space="preserve">BENKHELIFA</t>
  </si>
  <si>
    <t xml:space="preserve">PHARMACIE BRANCION VOUILLE PHARMACIE BRANCION VOUILLE</t>
  </si>
  <si>
    <t xml:space="preserve">BENABDALLAH SIHAME</t>
  </si>
  <si>
    <t xml:space="preserve">BENABDALLAH</t>
  </si>
  <si>
    <t xml:space="preserve">SIHAME</t>
  </si>
  <si>
    <t xml:space="preserve">[Timestamp('2024-01-03 10:00:00'), Timestamp('2024-05-14 10:00:00')]</t>
  </si>
  <si>
    <t xml:space="preserve">PHARMACIE DES BELLES FEUILLES PHARMACIE DES BELLES FEUILLES</t>
  </si>
  <si>
    <t xml:space="preserve">DUPLAIX SABINE</t>
  </si>
  <si>
    <t xml:space="preserve">DUPLAIX</t>
  </si>
  <si>
    <t xml:space="preserve">PHARMACIE TREBOIS PHARMACIE TREBOIS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</si>
</sst>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"/>
    <numFmt numFmtId="166" formatCode="0"/>
    <numFmt numFmtId="167" formatCode="dd/mm/yy"/>
    <numFmt numFmtId="168" formatCode="#\ ##\ ##\ ##\ #0"/>
    <numFmt numFmtId="169" formatCode="dd/mm/yy\ hh:mm"/>
    <numFmt numFmtId="170" formatCode="hh:mm"/>
    <numFmt numFmtId="171" formatCode="#,##0.00\ [$€-40C];[RED]\-#,##0.00\ [$€-40C]"/>
    <numFmt numFmtId="172" formatCode="#,###.00\ [$€-40C];[RED]\-#,###.00\ [$€-40C]"/>
    <numFmt numFmtId="173" formatCode="yyyy\-mm\-dd\ hh:mm:ss"/>
  </numFmts>
  <fonts count="22">
    <font>
      <sz val="7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7"/>
      <name val="Arial"/>
      <family val="2"/>
      <charset val="1"/>
    </font>
    <font>
      <b val="true"/>
      <sz val="10"/>
      <color rgb="FFFFFFFF"/>
      <name val="Cambria"/>
      <family val="0"/>
      <charset val="1"/>
    </font>
    <font>
      <sz val="10"/>
      <name val="Cambria"/>
      <family val="0"/>
      <charset val="1"/>
    </font>
    <font>
      <b val="true"/>
      <sz val="10"/>
      <name val="Cambria"/>
      <family val="0"/>
      <charset val="1"/>
    </font>
    <font>
      <sz val="10"/>
      <name val="Arial"/>
      <family val="2"/>
      <charset val="1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6.8"/>
      <name val="Times New Roman"/>
      <family val="1"/>
      <charset val="1"/>
    </font>
    <font>
      <u val="single"/>
      <sz val="7"/>
      <name val="Arial"/>
      <family val="2"/>
      <charset val="1"/>
    </font>
    <font>
      <sz val="7"/>
      <color rgb="FF780373"/>
      <name val="Calibri"/>
      <family val="2"/>
      <charset val="1"/>
    </font>
    <font>
      <sz val="7"/>
      <color rgb="FFFF0000"/>
      <name val="Calibri"/>
      <family val="2"/>
      <charset val="1"/>
    </font>
    <font>
      <b val="true"/>
      <sz val="10"/>
      <color rgb="FFA1467E"/>
      <name val="Cambria"/>
      <family val="0"/>
      <charset val="1"/>
    </font>
    <font>
      <b val="true"/>
      <sz val="10"/>
      <color rgb="FF3FAF46"/>
      <name val="Cambria"/>
      <family val="0"/>
      <charset val="1"/>
    </font>
    <font>
      <b val="true"/>
      <sz val="7"/>
      <color rgb="FF3FAF46"/>
      <name val="Arial"/>
      <family val="2"/>
      <charset val="1"/>
    </font>
    <font>
      <b val="true"/>
      <sz val="7"/>
      <color rgb="FF00A933"/>
      <name val="Arial"/>
      <family val="2"/>
      <charset val="1"/>
    </font>
    <font>
      <b val="true"/>
      <sz val="11"/>
      <name val="Cambria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07600"/>
        <bgColor rgb="FFFF8200"/>
      </patternFill>
    </fill>
    <fill>
      <patternFill patternType="solid">
        <fgColor rgb="FF1D68A8"/>
        <bgColor rgb="FF3264FF"/>
      </patternFill>
    </fill>
    <fill>
      <patternFill patternType="solid">
        <fgColor rgb="FF0F8B49"/>
        <bgColor rgb="FF00A933"/>
      </patternFill>
    </fill>
    <fill>
      <patternFill patternType="solid">
        <fgColor rgb="FF000000"/>
        <bgColor rgb="FF003300"/>
      </patternFill>
    </fill>
    <fill>
      <patternFill patternType="solid">
        <fgColor rgb="FFC71425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FED6D3"/>
        <bgColor rgb="FFFFCCCC"/>
      </patternFill>
    </fill>
    <fill>
      <patternFill patternType="solid">
        <fgColor rgb="FF780373"/>
        <bgColor rgb="FF73007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</cellStyles>
  <dxfs count="260">
    <dxf>
      <fill>
        <patternFill patternType="solid">
          <fgColor rgb="FFCCFFCC"/>
          <bgColor rgb="FF000000"/>
        </patternFill>
      </fill>
    </dxf>
    <dxf>
      <fill>
        <patternFill patternType="solid">
          <fgColor rgb="FFF07600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80373"/>
          <bgColor rgb="FF000000"/>
        </patternFill>
      </fill>
    </dxf>
    <dxf>
      <fill>
        <patternFill patternType="solid">
          <fgColor rgb="FF3264FF"/>
          <bgColor rgb="FF000000"/>
        </patternFill>
      </fill>
    </dxf>
    <dxf>
      <fill>
        <patternFill patternType="solid">
          <fgColor rgb="FF730073"/>
          <bgColor rgb="FF000000"/>
        </patternFill>
      </fill>
    </dxf>
    <dxf>
      <fill>
        <patternFill patternType="solid">
          <fgColor rgb="FF73A0FF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F8200"/>
          <bgColor rgb="FF000000"/>
        </patternFill>
      </fill>
    </dxf>
    <dxf>
      <fill>
        <patternFill patternType="solid">
          <fgColor rgb="FFFFB4FF"/>
          <bgColor rgb="FF000000"/>
        </patternFill>
      </fill>
    </dxf>
    <dxf>
      <fill>
        <patternFill patternType="solid">
          <fgColor rgb="FF77BC65"/>
          <bgColor rgb="FF000000"/>
        </patternFill>
      </fill>
    </dxf>
    <dxf>
      <fill>
        <patternFill patternType="solid">
          <fgColor rgb="FFFF6D6D"/>
          <bgColor rgb="FF000000"/>
        </patternFill>
      </fill>
    </dxf>
    <dxf>
      <fill>
        <patternFill patternType="solid">
          <fgColor rgb="FFFF726D"/>
          <bgColor rgb="FF000000"/>
        </patternFill>
      </fill>
    </dxf>
    <dxf>
      <fill>
        <patternFill patternType="solid">
          <fgColor rgb="FFFF746D"/>
          <bgColor rgb="FF000000"/>
        </patternFill>
      </fill>
    </dxf>
    <dxf>
      <fill>
        <patternFill patternType="solid">
          <fgColor rgb="FFFF756D"/>
          <bgColor rgb="FF000000"/>
        </patternFill>
      </fill>
    </dxf>
    <dxf>
      <fill>
        <patternFill patternType="solid">
          <fgColor rgb="FFFF776D"/>
          <bgColor rgb="FF000000"/>
        </patternFill>
      </fill>
    </dxf>
    <dxf>
      <fill>
        <patternFill patternType="solid">
          <fgColor rgb="FFFF786D"/>
          <bgColor rgb="FF000000"/>
        </patternFill>
      </fill>
    </dxf>
    <dxf>
      <fill>
        <patternFill patternType="solid">
          <fgColor rgb="FFFF7A6D"/>
          <bgColor rgb="FF000000"/>
        </patternFill>
      </fill>
    </dxf>
    <dxf>
      <fill>
        <patternFill patternType="solid">
          <fgColor rgb="FFFF7B6D"/>
          <bgColor rgb="FF000000"/>
        </patternFill>
      </fill>
    </dxf>
    <dxf>
      <fill>
        <patternFill patternType="solid">
          <fgColor rgb="FFFF7D6D"/>
          <bgColor rgb="FF000000"/>
        </patternFill>
      </fill>
    </dxf>
    <dxf>
      <fill>
        <patternFill patternType="solid">
          <fgColor rgb="FFFF7E6D"/>
          <bgColor rgb="FF000000"/>
        </patternFill>
      </fill>
    </dxf>
    <dxf>
      <fill>
        <patternFill patternType="solid">
          <fgColor rgb="FFFF806D"/>
          <bgColor rgb="FF000000"/>
        </patternFill>
      </fill>
    </dxf>
    <dxf>
      <fill>
        <patternFill patternType="solid">
          <fgColor rgb="FFFF816D"/>
          <bgColor rgb="FF000000"/>
        </patternFill>
      </fill>
    </dxf>
    <dxf>
      <fill>
        <patternFill patternType="solid">
          <fgColor rgb="FFFF836D"/>
          <bgColor rgb="FF000000"/>
        </patternFill>
      </fill>
    </dxf>
    <dxf>
      <fill>
        <patternFill patternType="solid">
          <fgColor rgb="FFFF856D"/>
          <bgColor rgb="FF000000"/>
        </patternFill>
      </fill>
    </dxf>
    <dxf>
      <fill>
        <patternFill patternType="solid">
          <fgColor rgb="FFFF866D"/>
          <bgColor rgb="FF000000"/>
        </patternFill>
      </fill>
    </dxf>
    <dxf>
      <fill>
        <patternFill patternType="solid">
          <fgColor rgb="FFFF886D"/>
          <bgColor rgb="FF000000"/>
        </patternFill>
      </fill>
    </dxf>
    <dxf>
      <fill>
        <patternFill patternType="solid">
          <fgColor rgb="FFFF896D"/>
          <bgColor rgb="FF000000"/>
        </patternFill>
      </fill>
    </dxf>
    <dxf>
      <fill>
        <patternFill patternType="solid">
          <fgColor rgb="FFFF8B6D"/>
          <bgColor rgb="FF000000"/>
        </patternFill>
      </fill>
    </dxf>
    <dxf>
      <fill>
        <patternFill patternType="solid">
          <fgColor rgb="FFFF8C6D"/>
          <bgColor rgb="FF000000"/>
        </patternFill>
      </fill>
    </dxf>
    <dxf>
      <fill>
        <patternFill patternType="solid">
          <fgColor rgb="FFFF8E6D"/>
          <bgColor rgb="FF000000"/>
        </patternFill>
      </fill>
    </dxf>
    <dxf>
      <fill>
        <patternFill patternType="solid">
          <fgColor rgb="FFFF8F6D"/>
          <bgColor rgb="FF000000"/>
        </patternFill>
      </fill>
    </dxf>
    <dxf>
      <fill>
        <patternFill patternType="solid">
          <fgColor rgb="FFFF916D"/>
          <bgColor rgb="FF000000"/>
        </patternFill>
      </fill>
    </dxf>
    <dxf>
      <fill>
        <patternFill patternType="solid">
          <fgColor rgb="FFFF926D"/>
          <bgColor rgb="FF000000"/>
        </patternFill>
      </fill>
    </dxf>
    <dxf>
      <fill>
        <patternFill patternType="solid">
          <fgColor rgb="FFFF946D"/>
          <bgColor rgb="FF000000"/>
        </patternFill>
      </fill>
    </dxf>
    <dxf>
      <fill>
        <patternFill patternType="solid">
          <fgColor rgb="FFFF956D"/>
          <bgColor rgb="FF000000"/>
        </patternFill>
      </fill>
    </dxf>
    <dxf>
      <fill>
        <patternFill patternType="solid">
          <fgColor rgb="FFFF976D"/>
          <bgColor rgb="FF000000"/>
        </patternFill>
      </fill>
    </dxf>
    <dxf>
      <fill>
        <patternFill patternType="solid">
          <fgColor rgb="FFFF996D"/>
          <bgColor rgb="FF000000"/>
        </patternFill>
      </fill>
    </dxf>
    <dxf>
      <fill>
        <patternFill patternType="solid">
          <fgColor rgb="FFFF9A6D"/>
          <bgColor rgb="FF000000"/>
        </patternFill>
      </fill>
    </dxf>
    <dxf>
      <fill>
        <patternFill patternType="solid">
          <fgColor rgb="FFFF9C6D"/>
          <bgColor rgb="FF000000"/>
        </patternFill>
      </fill>
    </dxf>
    <dxf>
      <fill>
        <patternFill patternType="solid">
          <fgColor rgb="FFFF9D6D"/>
          <bgColor rgb="FF000000"/>
        </patternFill>
      </fill>
    </dxf>
    <dxf>
      <fill>
        <patternFill patternType="solid">
          <fgColor rgb="FFFF9F6D"/>
          <bgColor rgb="FF000000"/>
        </patternFill>
      </fill>
    </dxf>
    <dxf>
      <fill>
        <patternFill patternType="solid">
          <fgColor rgb="FFFFA06D"/>
          <bgColor rgb="FF000000"/>
        </patternFill>
      </fill>
    </dxf>
    <dxf>
      <fill>
        <patternFill patternType="solid">
          <fgColor rgb="FFFFA26D"/>
          <bgColor rgb="FF000000"/>
        </patternFill>
      </fill>
    </dxf>
    <dxf>
      <fill>
        <patternFill patternType="solid">
          <fgColor rgb="FFFFA36D"/>
          <bgColor rgb="FF000000"/>
        </patternFill>
      </fill>
    </dxf>
    <dxf>
      <fill>
        <patternFill patternType="solid">
          <fgColor rgb="FFFFA56D"/>
          <bgColor rgb="FF000000"/>
        </patternFill>
      </fill>
    </dxf>
    <dxf>
      <fill>
        <patternFill patternType="solid">
          <fgColor rgb="FFFFA66D"/>
          <bgColor rgb="FF000000"/>
        </patternFill>
      </fill>
    </dxf>
    <dxf>
      <fill>
        <patternFill patternType="solid">
          <fgColor rgb="FFFFA86D"/>
          <bgColor rgb="FF000000"/>
        </patternFill>
      </fill>
    </dxf>
    <dxf>
      <fill>
        <patternFill patternType="solid">
          <fgColor rgb="FFFFA96D"/>
          <bgColor rgb="FF000000"/>
        </patternFill>
      </fill>
    </dxf>
    <dxf>
      <fill>
        <patternFill patternType="solid">
          <fgColor rgb="FFFFAB6D"/>
          <bgColor rgb="FF000000"/>
        </patternFill>
      </fill>
    </dxf>
    <dxf>
      <fill>
        <patternFill patternType="solid">
          <fgColor rgb="FFFFAD6D"/>
          <bgColor rgb="FF000000"/>
        </patternFill>
      </fill>
    </dxf>
    <dxf>
      <fill>
        <patternFill patternType="solid">
          <fgColor rgb="FFFFAE6D"/>
          <bgColor rgb="FF000000"/>
        </patternFill>
      </fill>
    </dxf>
    <dxf>
      <fill>
        <patternFill patternType="solid">
          <fgColor rgb="FFFFB06D"/>
          <bgColor rgb="FF000000"/>
        </patternFill>
      </fill>
    </dxf>
    <dxf>
      <fill>
        <patternFill patternType="solid">
          <fgColor rgb="FFFFB16D"/>
          <bgColor rgb="FF000000"/>
        </patternFill>
      </fill>
    </dxf>
    <dxf>
      <fill>
        <patternFill patternType="solid">
          <fgColor rgb="FFFFB36D"/>
          <bgColor rgb="FF000000"/>
        </patternFill>
      </fill>
    </dxf>
    <dxf>
      <fill>
        <patternFill patternType="solid">
          <fgColor rgb="FFFFB46D"/>
          <bgColor rgb="FF000000"/>
        </patternFill>
      </fill>
    </dxf>
    <dxf>
      <fill>
        <patternFill patternType="solid">
          <fgColor rgb="FFFFB66D"/>
          <bgColor rgb="FF000000"/>
        </patternFill>
      </fill>
    </dxf>
    <dxf>
      <fill>
        <patternFill patternType="solid">
          <fgColor rgb="FFFFB76D"/>
          <bgColor rgb="FF000000"/>
        </patternFill>
      </fill>
    </dxf>
    <dxf>
      <fill>
        <patternFill patternType="solid">
          <fgColor rgb="FFFFB96D"/>
          <bgColor rgb="FF000000"/>
        </patternFill>
      </fill>
    </dxf>
    <dxf>
      <fill>
        <patternFill patternType="solid">
          <fgColor rgb="FFFFBA6D"/>
          <bgColor rgb="FF000000"/>
        </patternFill>
      </fill>
    </dxf>
    <dxf>
      <fill>
        <patternFill patternType="solid">
          <fgColor rgb="FFFFBC6D"/>
          <bgColor rgb="FF000000"/>
        </patternFill>
      </fill>
    </dxf>
    <dxf>
      <fill>
        <patternFill patternType="solid">
          <fgColor rgb="FFFFBD6D"/>
          <bgColor rgb="FF000000"/>
        </patternFill>
      </fill>
    </dxf>
    <dxf>
      <fill>
        <patternFill patternType="solid">
          <fgColor rgb="FFFFBF6D"/>
          <bgColor rgb="FF000000"/>
        </patternFill>
      </fill>
    </dxf>
    <dxf>
      <fill>
        <patternFill patternType="solid">
          <fgColor rgb="FFFFC06D"/>
          <bgColor rgb="FF000000"/>
        </patternFill>
      </fill>
    </dxf>
    <dxf>
      <fill>
        <patternFill patternType="solid">
          <fgColor rgb="FFFFC26D"/>
          <bgColor rgb="FF000000"/>
        </patternFill>
      </fill>
    </dxf>
    <dxf>
      <fill>
        <patternFill patternType="solid">
          <fgColor rgb="FFFFC46D"/>
          <bgColor rgb="FF000000"/>
        </patternFill>
      </fill>
    </dxf>
    <dxf>
      <fill>
        <patternFill patternType="solid">
          <fgColor rgb="FFFFC56D"/>
          <bgColor rgb="FF000000"/>
        </patternFill>
      </fill>
    </dxf>
    <dxf>
      <fill>
        <patternFill patternType="solid">
          <fgColor rgb="FFFFC76D"/>
          <bgColor rgb="FF000000"/>
        </patternFill>
      </fill>
    </dxf>
    <dxf>
      <fill>
        <patternFill patternType="solid">
          <fgColor rgb="FFFFC86D"/>
          <bgColor rgb="FF000000"/>
        </patternFill>
      </fill>
    </dxf>
    <dxf>
      <fill>
        <patternFill patternType="solid">
          <fgColor rgb="FFFFCA6D"/>
          <bgColor rgb="FF000000"/>
        </patternFill>
      </fill>
    </dxf>
    <dxf>
      <fill>
        <patternFill patternType="solid">
          <fgColor rgb="FFFFCB6D"/>
          <bgColor rgb="FF000000"/>
        </patternFill>
      </fill>
    </dxf>
    <dxf>
      <fill>
        <patternFill patternType="solid">
          <fgColor rgb="FFFFCD6D"/>
          <bgColor rgb="FF000000"/>
        </patternFill>
      </fill>
    </dxf>
    <dxf>
      <fill>
        <patternFill patternType="solid">
          <fgColor rgb="FFFFCE6D"/>
          <bgColor rgb="FF000000"/>
        </patternFill>
      </fill>
    </dxf>
    <dxf>
      <fill>
        <patternFill patternType="solid">
          <fgColor rgb="FFFFD06D"/>
          <bgColor rgb="FF000000"/>
        </patternFill>
      </fill>
    </dxf>
    <dxf>
      <fill>
        <patternFill patternType="solid">
          <fgColor rgb="FFFFD16D"/>
          <bgColor rgb="FF000000"/>
        </patternFill>
      </fill>
    </dxf>
    <dxf>
      <fill>
        <patternFill patternType="solid">
          <fgColor rgb="FFFFD36D"/>
          <bgColor rgb="FF000000"/>
        </patternFill>
      </fill>
    </dxf>
    <dxf>
      <fill>
        <patternFill patternType="solid">
          <fgColor rgb="FFBBE33D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1D68A8"/>
          <bgColor rgb="FF000000"/>
        </patternFill>
      </fill>
    </dxf>
    <dxf>
      <fill>
        <patternFill patternType="solid">
          <fgColor rgb="FF597FAF"/>
          <bgColor rgb="FF000000"/>
        </patternFill>
      </fill>
    </dxf>
    <dxf>
      <fill>
        <patternFill patternType="solid">
          <fgColor rgb="FF5980AF"/>
          <bgColor rgb="FF000000"/>
        </patternFill>
      </fill>
    </dxf>
    <dxf>
      <fill>
        <patternFill patternType="solid">
          <fgColor rgb="FF5981AF"/>
          <bgColor rgb="FF000000"/>
        </patternFill>
      </fill>
    </dxf>
    <dxf>
      <fill>
        <patternFill patternType="solid">
          <fgColor rgb="FF5982B0"/>
          <bgColor rgb="FF000000"/>
        </patternFill>
      </fill>
    </dxf>
    <dxf>
      <fill>
        <patternFill patternType="solid">
          <fgColor rgb="FF5A7BAD"/>
          <bgColor rgb="FF000000"/>
        </patternFill>
      </fill>
    </dxf>
    <dxf>
      <fill>
        <patternFill patternType="solid">
          <fgColor rgb="FF5A7CAD"/>
          <bgColor rgb="FF000000"/>
        </patternFill>
      </fill>
    </dxf>
    <dxf>
      <fill>
        <patternFill patternType="solid">
          <fgColor rgb="FF5A7DAD"/>
          <bgColor rgb="FF000000"/>
        </patternFill>
      </fill>
    </dxf>
    <dxf>
      <fill>
        <patternFill patternType="solid">
          <fgColor rgb="FF5A7DAE"/>
          <bgColor rgb="FF000000"/>
        </patternFill>
      </fill>
    </dxf>
    <dxf>
      <fill>
        <patternFill patternType="solid">
          <fgColor rgb="FF5A7EAE"/>
          <bgColor rgb="FF000000"/>
        </patternFill>
      </fill>
    </dxf>
    <dxf>
      <fill>
        <patternFill patternType="solid">
          <fgColor rgb="FF5A7FAE"/>
          <bgColor rgb="FF000000"/>
        </patternFill>
      </fill>
    </dxf>
    <dxf>
      <fill>
        <patternFill patternType="solid">
          <fgColor rgb="FF5A7FAF"/>
          <bgColor rgb="FF000000"/>
        </patternFill>
      </fill>
    </dxf>
    <dxf>
      <fill>
        <patternFill patternType="solid">
          <fgColor rgb="FF5B77AB"/>
          <bgColor rgb="FF000000"/>
        </patternFill>
      </fill>
    </dxf>
    <dxf>
      <fill>
        <patternFill patternType="solid">
          <fgColor rgb="FF5B78AB"/>
          <bgColor rgb="FF000000"/>
        </patternFill>
      </fill>
    </dxf>
    <dxf>
      <fill>
        <patternFill patternType="solid">
          <fgColor rgb="FF5B79AB"/>
          <bgColor rgb="FF000000"/>
        </patternFill>
      </fill>
    </dxf>
    <dxf>
      <fill>
        <patternFill patternType="solid">
          <fgColor rgb="FF5B79AC"/>
          <bgColor rgb="FF000000"/>
        </patternFill>
      </fill>
    </dxf>
    <dxf>
      <fill>
        <patternFill patternType="solid">
          <fgColor rgb="FF5B7AAC"/>
          <bgColor rgb="FF000000"/>
        </patternFill>
      </fill>
    </dxf>
    <dxf>
      <fill>
        <patternFill patternType="solid">
          <fgColor rgb="FF5B7BAC"/>
          <bgColor rgb="FF000000"/>
        </patternFill>
      </fill>
    </dxf>
    <dxf>
      <fill>
        <patternFill patternType="solid">
          <fgColor rgb="FF5B7BAD"/>
          <bgColor rgb="FF000000"/>
        </patternFill>
      </fill>
    </dxf>
    <dxf>
      <fill>
        <patternFill patternType="solid">
          <fgColor rgb="FF5C73A9"/>
          <bgColor rgb="FF000000"/>
        </patternFill>
      </fill>
    </dxf>
    <dxf>
      <fill>
        <patternFill patternType="solid">
          <fgColor rgb="FF5C74A9"/>
          <bgColor rgb="FF000000"/>
        </patternFill>
      </fill>
    </dxf>
    <dxf>
      <fill>
        <patternFill patternType="solid">
          <fgColor rgb="FF5C75A9"/>
          <bgColor rgb="FF000000"/>
        </patternFill>
      </fill>
    </dxf>
    <dxf>
      <fill>
        <patternFill patternType="solid">
          <fgColor rgb="FF5C75AA"/>
          <bgColor rgb="FF000000"/>
        </patternFill>
      </fill>
    </dxf>
    <dxf>
      <fill>
        <patternFill patternType="solid">
          <fgColor rgb="FF5C76AA"/>
          <bgColor rgb="FF000000"/>
        </patternFill>
      </fill>
    </dxf>
    <dxf>
      <fill>
        <patternFill patternType="solid">
          <fgColor rgb="FF5C77AA"/>
          <bgColor rgb="FF000000"/>
        </patternFill>
      </fill>
    </dxf>
    <dxf>
      <fill>
        <patternFill patternType="solid">
          <fgColor rgb="FF5C77AB"/>
          <bgColor rgb="FF000000"/>
        </patternFill>
      </fill>
    </dxf>
    <dxf>
      <fill>
        <patternFill patternType="solid">
          <fgColor rgb="FF5D6FA7"/>
          <bgColor rgb="FF000000"/>
        </patternFill>
      </fill>
    </dxf>
    <dxf>
      <fill>
        <patternFill patternType="solid">
          <fgColor rgb="FF5D70A7"/>
          <bgColor rgb="FF000000"/>
        </patternFill>
      </fill>
    </dxf>
    <dxf>
      <fill>
        <patternFill patternType="solid">
          <fgColor rgb="FF5D71A7"/>
          <bgColor rgb="FF000000"/>
        </patternFill>
      </fill>
    </dxf>
    <dxf>
      <fill>
        <patternFill patternType="solid">
          <fgColor rgb="FF5D71A8"/>
          <bgColor rgb="FF000000"/>
        </patternFill>
      </fill>
    </dxf>
    <dxf>
      <fill>
        <patternFill patternType="solid">
          <fgColor rgb="FF5D72A8"/>
          <bgColor rgb="FF000000"/>
        </patternFill>
      </fill>
    </dxf>
    <dxf>
      <fill>
        <patternFill patternType="solid">
          <fgColor rgb="FF5D73A8"/>
          <bgColor rgb="FF000000"/>
        </patternFill>
      </fill>
    </dxf>
    <dxf>
      <fill>
        <patternFill patternType="solid">
          <fgColor rgb="FF5D73A9"/>
          <bgColor rgb="FF000000"/>
        </patternFill>
      </fill>
    </dxf>
    <dxf>
      <fill>
        <patternFill patternType="solid">
          <fgColor rgb="FF5E6BA5"/>
          <bgColor rgb="FF000000"/>
        </patternFill>
      </fill>
    </dxf>
    <dxf>
      <fill>
        <patternFill patternType="solid">
          <fgColor rgb="FF5E6CA5"/>
          <bgColor rgb="FF000000"/>
        </patternFill>
      </fill>
    </dxf>
    <dxf>
      <fill>
        <patternFill patternType="solid">
          <fgColor rgb="FF5E6CA6"/>
          <bgColor rgb="FF000000"/>
        </patternFill>
      </fill>
    </dxf>
    <dxf>
      <fill>
        <patternFill patternType="solid">
          <fgColor rgb="FF5E6DA6"/>
          <bgColor rgb="FF000000"/>
        </patternFill>
      </fill>
    </dxf>
    <dxf>
      <fill>
        <patternFill patternType="solid">
          <fgColor rgb="FF5E6EA6"/>
          <bgColor rgb="FF000000"/>
        </patternFill>
      </fill>
    </dxf>
    <dxf>
      <fill>
        <patternFill patternType="solid">
          <fgColor rgb="FF5E6FA7"/>
          <bgColor rgb="FF000000"/>
        </patternFill>
      </fill>
    </dxf>
    <dxf>
      <fill>
        <patternFill patternType="solid">
          <fgColor rgb="FF5F67A3"/>
          <bgColor rgb="FF000000"/>
        </patternFill>
      </fill>
    </dxf>
    <dxf>
      <fill>
        <patternFill patternType="solid">
          <fgColor rgb="FF5F68A3"/>
          <bgColor rgb="FF000000"/>
        </patternFill>
      </fill>
    </dxf>
    <dxf>
      <fill>
        <patternFill patternType="solid">
          <fgColor rgb="FF5F68A4"/>
          <bgColor rgb="FF000000"/>
        </patternFill>
      </fill>
    </dxf>
    <dxf>
      <fill>
        <patternFill patternType="solid">
          <fgColor rgb="FF5F69A4"/>
          <bgColor rgb="FF000000"/>
        </patternFill>
      </fill>
    </dxf>
    <dxf>
      <fill>
        <patternFill patternType="solid">
          <fgColor rgb="FF5F6AA4"/>
          <bgColor rgb="FF000000"/>
        </patternFill>
      </fill>
    </dxf>
    <dxf>
      <fill>
        <patternFill patternType="solid">
          <fgColor rgb="FF5F6AA5"/>
          <bgColor rgb="FF000000"/>
        </patternFill>
      </fill>
    </dxf>
    <dxf>
      <fill>
        <patternFill patternType="solid">
          <fgColor rgb="FF5F6BA5"/>
          <bgColor rgb="FF000000"/>
        </patternFill>
      </fill>
    </dxf>
    <dxf>
      <fill>
        <patternFill patternType="solid">
          <fgColor rgb="FF6062A1"/>
          <bgColor rgb="FF000000"/>
        </patternFill>
      </fill>
    </dxf>
    <dxf>
      <fill>
        <patternFill patternType="solid">
          <fgColor rgb="FF6063A1"/>
          <bgColor rgb="FF000000"/>
        </patternFill>
      </fill>
    </dxf>
    <dxf>
      <fill>
        <patternFill patternType="solid">
          <fgColor rgb="FF6064A1"/>
          <bgColor rgb="FF000000"/>
        </patternFill>
      </fill>
    </dxf>
    <dxf>
      <fill>
        <patternFill patternType="solid">
          <fgColor rgb="FF6064A2"/>
          <bgColor rgb="FF000000"/>
        </patternFill>
      </fill>
    </dxf>
    <dxf>
      <fill>
        <patternFill patternType="solid">
          <fgColor rgb="FF6065A2"/>
          <bgColor rgb="FF000000"/>
        </patternFill>
      </fill>
    </dxf>
    <dxf>
      <fill>
        <patternFill patternType="solid">
          <fgColor rgb="FF6066A2"/>
          <bgColor rgb="FF000000"/>
        </patternFill>
      </fill>
    </dxf>
    <dxf>
      <fill>
        <patternFill patternType="solid">
          <fgColor rgb="FF6066A3"/>
          <bgColor rgb="FF000000"/>
        </patternFill>
      </fill>
    </dxf>
    <dxf>
      <fill>
        <patternFill patternType="solid">
          <fgColor rgb="FF6067A3"/>
          <bgColor rgb="FF000000"/>
        </patternFill>
      </fill>
    </dxf>
    <dxf>
      <fill>
        <patternFill patternType="solid">
          <fgColor rgb="FF615E9F"/>
          <bgColor rgb="FF000000"/>
        </patternFill>
      </fill>
    </dxf>
    <dxf>
      <fill>
        <patternFill patternType="solid">
          <fgColor rgb="FF615F9F"/>
          <bgColor rgb="FF000000"/>
        </patternFill>
      </fill>
    </dxf>
    <dxf>
      <fill>
        <patternFill patternType="solid">
          <fgColor rgb="FF61609F"/>
          <bgColor rgb="FF000000"/>
        </patternFill>
      </fill>
    </dxf>
    <dxf>
      <fill>
        <patternFill patternType="solid">
          <fgColor rgb="FF6160A0"/>
          <bgColor rgb="FF000000"/>
        </patternFill>
      </fill>
    </dxf>
    <dxf>
      <fill>
        <patternFill patternType="solid">
          <fgColor rgb="FF6161A0"/>
          <bgColor rgb="FF000000"/>
        </patternFill>
      </fill>
    </dxf>
    <dxf>
      <fill>
        <patternFill patternType="solid">
          <fgColor rgb="FF6162A0"/>
          <bgColor rgb="FF000000"/>
        </patternFill>
      </fill>
    </dxf>
    <dxf>
      <fill>
        <patternFill patternType="solid">
          <fgColor rgb="FF6162A1"/>
          <bgColor rgb="FF000000"/>
        </patternFill>
      </fill>
    </dxf>
    <dxf>
      <fill>
        <patternFill patternType="solid">
          <fgColor rgb="FF625A9D"/>
          <bgColor rgb="FF000000"/>
        </patternFill>
      </fill>
    </dxf>
    <dxf>
      <fill>
        <patternFill patternType="solid">
          <fgColor rgb="FF625B9D"/>
          <bgColor rgb="FF000000"/>
        </patternFill>
      </fill>
    </dxf>
    <dxf>
      <fill>
        <patternFill patternType="solid">
          <fgColor rgb="FF625C9D"/>
          <bgColor rgb="FF000000"/>
        </patternFill>
      </fill>
    </dxf>
    <dxf>
      <fill>
        <patternFill patternType="solid">
          <fgColor rgb="FF625C9E"/>
          <bgColor rgb="FF000000"/>
        </patternFill>
      </fill>
    </dxf>
    <dxf>
      <fill>
        <patternFill patternType="solid">
          <fgColor rgb="FF625D9E"/>
          <bgColor rgb="FF000000"/>
        </patternFill>
      </fill>
    </dxf>
    <dxf>
      <fill>
        <patternFill patternType="solid">
          <fgColor rgb="FF625E9E"/>
          <bgColor rgb="FF000000"/>
        </patternFill>
      </fill>
    </dxf>
    <dxf>
      <fill>
        <patternFill patternType="solid">
          <fgColor rgb="FF625E9F"/>
          <bgColor rgb="FF000000"/>
        </patternFill>
      </fill>
    </dxf>
    <dxf>
      <fill>
        <patternFill patternType="solid">
          <fgColor rgb="FF63569B"/>
          <bgColor rgb="FF000000"/>
        </patternFill>
      </fill>
    </dxf>
    <dxf>
      <fill>
        <patternFill patternType="solid">
          <fgColor rgb="FF63579B"/>
          <bgColor rgb="FF000000"/>
        </patternFill>
      </fill>
    </dxf>
    <dxf>
      <fill>
        <patternFill patternType="solid">
          <fgColor rgb="FF63589C"/>
          <bgColor rgb="FF000000"/>
        </patternFill>
      </fill>
    </dxf>
    <dxf>
      <fill>
        <patternFill patternType="solid">
          <fgColor rgb="FF63599C"/>
          <bgColor rgb="FF000000"/>
        </patternFill>
      </fill>
    </dxf>
    <dxf>
      <fill>
        <patternFill patternType="solid">
          <fgColor rgb="FF635A9D"/>
          <bgColor rgb="FF000000"/>
        </patternFill>
      </fill>
    </dxf>
    <dxf>
      <fill>
        <patternFill patternType="solid">
          <fgColor rgb="FF645299"/>
          <bgColor rgb="FF000000"/>
        </patternFill>
      </fill>
    </dxf>
    <dxf>
      <fill>
        <patternFill patternType="solid">
          <fgColor rgb="FF645399"/>
          <bgColor rgb="FF000000"/>
        </patternFill>
      </fill>
    </dxf>
    <dxf>
      <fill>
        <patternFill patternType="solid">
          <fgColor rgb="FF64539A"/>
          <bgColor rgb="FF000000"/>
        </patternFill>
      </fill>
    </dxf>
    <dxf>
      <fill>
        <patternFill patternType="solid">
          <fgColor rgb="FF64549A"/>
          <bgColor rgb="FF000000"/>
        </patternFill>
      </fill>
    </dxf>
    <dxf>
      <fill>
        <patternFill patternType="solid">
          <fgColor rgb="FF64559A"/>
          <bgColor rgb="FF000000"/>
        </patternFill>
      </fill>
    </dxf>
    <dxf>
      <fill>
        <patternFill patternType="solid">
          <fgColor rgb="FF64559B"/>
          <bgColor rgb="FF000000"/>
        </patternFill>
      </fill>
    </dxf>
    <dxf>
      <fill>
        <patternFill patternType="solid">
          <fgColor rgb="FF64569B"/>
          <bgColor rgb="FF000000"/>
        </patternFill>
      </fill>
    </dxf>
    <dxf>
      <fill>
        <patternFill patternType="solid">
          <fgColor rgb="FF654E97"/>
          <bgColor rgb="FF000000"/>
        </patternFill>
      </fill>
    </dxf>
    <dxf>
      <fill>
        <patternFill patternType="solid">
          <fgColor rgb="FF654F97"/>
          <bgColor rgb="FF000000"/>
        </patternFill>
      </fill>
    </dxf>
    <dxf>
      <fill>
        <patternFill patternType="solid">
          <fgColor rgb="FF654F98"/>
          <bgColor rgb="FF000000"/>
        </patternFill>
      </fill>
    </dxf>
    <dxf>
      <fill>
        <patternFill patternType="solid">
          <fgColor rgb="FF655098"/>
          <bgColor rgb="FF000000"/>
        </patternFill>
      </fill>
    </dxf>
    <dxf>
      <fill>
        <patternFill patternType="solid">
          <fgColor rgb="FF655198"/>
          <bgColor rgb="FF000000"/>
        </patternFill>
      </fill>
    </dxf>
    <dxf>
      <fill>
        <patternFill patternType="solid">
          <fgColor rgb="FF655199"/>
          <bgColor rgb="FF000000"/>
        </patternFill>
      </fill>
    </dxf>
    <dxf>
      <fill>
        <patternFill patternType="solid">
          <fgColor rgb="FF655299"/>
          <bgColor rgb="FF000000"/>
        </patternFill>
      </fill>
    </dxf>
    <dxf>
      <fill>
        <patternFill patternType="solid">
          <fgColor rgb="FF664B95"/>
          <bgColor rgb="FF000000"/>
        </patternFill>
      </fill>
    </dxf>
    <dxf>
      <fill>
        <patternFill patternType="solid">
          <fgColor rgb="FF664B96"/>
          <bgColor rgb="FF000000"/>
        </patternFill>
      </fill>
    </dxf>
    <dxf>
      <fill>
        <patternFill patternType="solid">
          <fgColor rgb="FF664C96"/>
          <bgColor rgb="FF000000"/>
        </patternFill>
      </fill>
    </dxf>
    <dxf>
      <fill>
        <patternFill patternType="solid">
          <fgColor rgb="FF664D96"/>
          <bgColor rgb="FF000000"/>
        </patternFill>
      </fill>
    </dxf>
    <dxf>
      <fill>
        <patternFill patternType="solid">
          <fgColor rgb="FF664D97"/>
          <bgColor rgb="FF000000"/>
        </patternFill>
      </fill>
    </dxf>
    <dxf>
      <fill>
        <patternFill patternType="solid">
          <fgColor rgb="FF664E97"/>
          <bgColor rgb="FF000000"/>
        </patternFill>
      </fill>
    </dxf>
    <dxf>
      <fill>
        <patternFill patternType="solid">
          <fgColor rgb="FF674693"/>
          <bgColor rgb="FF000000"/>
        </patternFill>
      </fill>
    </dxf>
    <dxf>
      <fill>
        <patternFill patternType="solid">
          <fgColor rgb="FF674794"/>
          <bgColor rgb="FF000000"/>
        </patternFill>
      </fill>
    </dxf>
    <dxf>
      <fill>
        <patternFill patternType="solid">
          <fgColor rgb="FF674894"/>
          <bgColor rgb="FF000000"/>
        </patternFill>
      </fill>
    </dxf>
    <dxf>
      <fill>
        <patternFill patternType="solid">
          <fgColor rgb="FF674994"/>
          <bgColor rgb="FF000000"/>
        </patternFill>
      </fill>
    </dxf>
    <dxf>
      <fill>
        <patternFill patternType="solid">
          <fgColor rgb="FF674995"/>
          <bgColor rgb="FF000000"/>
        </patternFill>
      </fill>
    </dxf>
    <dxf>
      <fill>
        <patternFill patternType="solid">
          <fgColor rgb="FF674A95"/>
          <bgColor rgb="FF000000"/>
        </patternFill>
      </fill>
    </dxf>
    <dxf>
      <fill>
        <patternFill patternType="solid">
          <fgColor rgb="FF684291"/>
          <bgColor rgb="FF000000"/>
        </patternFill>
      </fill>
    </dxf>
    <dxf>
      <fill>
        <patternFill patternType="solid">
          <fgColor rgb="FF684392"/>
          <bgColor rgb="FF000000"/>
        </patternFill>
      </fill>
    </dxf>
    <dxf>
      <fill>
        <patternFill patternType="solid">
          <fgColor rgb="FF684492"/>
          <bgColor rgb="FF000000"/>
        </patternFill>
      </fill>
    </dxf>
    <dxf>
      <fill>
        <patternFill patternType="solid">
          <fgColor rgb="FF684593"/>
          <bgColor rgb="FF000000"/>
        </patternFill>
      </fill>
    </dxf>
    <dxf>
      <fill>
        <patternFill patternType="solid">
          <fgColor rgb="FF684693"/>
          <bgColor rgb="FF000000"/>
        </patternFill>
      </fill>
    </dxf>
    <dxf>
      <fill>
        <patternFill patternType="solid">
          <fgColor rgb="FF693E8F"/>
          <bgColor rgb="FF000000"/>
        </patternFill>
      </fill>
    </dxf>
    <dxf>
      <fill>
        <patternFill patternType="solid">
          <fgColor rgb="FF693F90"/>
          <bgColor rgb="FF000000"/>
        </patternFill>
      </fill>
    </dxf>
    <dxf>
      <fill>
        <patternFill patternType="solid">
          <fgColor rgb="FF694191"/>
          <bgColor rgb="FF000000"/>
        </patternFill>
      </fill>
    </dxf>
    <dxf>
      <fill>
        <patternFill patternType="solid">
          <fgColor rgb="FF6A3A8E"/>
          <bgColor rgb="FF000000"/>
        </patternFill>
      </fill>
    </dxf>
    <dxf>
      <fill>
        <patternFill patternType="solid">
          <fgColor rgb="FF6A3B8E"/>
          <bgColor rgb="FF000000"/>
        </patternFill>
      </fill>
    </dxf>
    <dxf>
      <fill>
        <patternFill patternType="solid">
          <fgColor rgb="FF6A3C8E"/>
          <bgColor rgb="FF000000"/>
        </patternFill>
      </fill>
    </dxf>
    <dxf>
      <fill>
        <patternFill patternType="solid">
          <fgColor rgb="FF6A3C8F"/>
          <bgColor rgb="FF000000"/>
        </patternFill>
      </fill>
    </dxf>
    <dxf>
      <fill>
        <patternFill patternType="solid">
          <fgColor rgb="FF6B378C"/>
          <bgColor rgb="FF000000"/>
        </patternFill>
      </fill>
    </dxf>
    <dxf>
      <fill>
        <patternFill patternType="solid">
          <fgColor rgb="FF6B388C"/>
          <bgColor rgb="FF000000"/>
        </patternFill>
      </fill>
    </dxf>
    <dxf>
      <fill>
        <patternFill patternType="solid">
          <fgColor rgb="FF6C338A"/>
          <bgColor rgb="FF000000"/>
        </patternFill>
      </fill>
    </dxf>
    <dxf>
      <fill>
        <patternFill patternType="solid">
          <fgColor rgb="FF6C348B"/>
          <bgColor rgb="FF000000"/>
        </patternFill>
      </fill>
    </dxf>
    <dxf>
      <fill>
        <patternFill patternType="solid">
          <fgColor rgb="FF6C358B"/>
          <bgColor rgb="FF000000"/>
        </patternFill>
      </fill>
    </dxf>
    <dxf>
      <fill>
        <patternFill patternType="solid">
          <fgColor rgb="FF6E2B86"/>
          <bgColor rgb="FF000000"/>
        </patternFill>
      </fill>
    </dxf>
    <dxf>
      <fill>
        <patternFill patternType="solid">
          <fgColor rgb="FF6E2C87"/>
          <bgColor rgb="FF000000"/>
        </patternFill>
      </fill>
    </dxf>
    <dxf>
      <fill>
        <patternFill patternType="solid">
          <fgColor rgb="FF6F2885"/>
          <bgColor rgb="FF000000"/>
        </patternFill>
      </fill>
    </dxf>
    <dxf>
      <fill>
        <patternFill patternType="solid">
          <fgColor rgb="FF702383"/>
          <bgColor rgb="FF000000"/>
        </patternFill>
      </fill>
    </dxf>
    <dxf>
      <fill>
        <patternFill patternType="solid">
          <fgColor rgb="FF711D80"/>
          <bgColor rgb="FF000000"/>
        </patternFill>
      </fill>
    </dxf>
    <dxf>
      <fill>
        <patternFill patternType="solid">
          <fgColor rgb="FF712081"/>
          <bgColor rgb="FF000000"/>
        </patternFill>
      </fill>
    </dxf>
    <dxf>
      <fill>
        <patternFill patternType="solid">
          <fgColor rgb="FF73157C"/>
          <bgColor rgb="FF000000"/>
        </patternFill>
      </fill>
    </dxf>
    <dxf>
      <fill>
        <patternFill patternType="solid">
          <fgColor rgb="FF74127A"/>
          <bgColor rgb="FF000000"/>
        </patternFill>
      </fill>
    </dxf>
    <dxf>
      <fill>
        <patternFill patternType="solid">
          <fgColor rgb="FF74127B"/>
          <bgColor rgb="FF000000"/>
        </patternFill>
      </fill>
    </dxf>
    <dxf>
      <fill>
        <patternFill patternType="solid">
          <fgColor rgb="FF760A77"/>
          <bgColor rgb="FF000000"/>
        </patternFill>
      </fill>
    </dxf>
    <dxf>
      <fill>
        <patternFill patternType="solid">
          <fgColor rgb="FF760B77"/>
          <bgColor rgb="FF000000"/>
        </patternFill>
      </fill>
    </dxf>
    <dxf>
      <fill>
        <patternFill patternType="solid">
          <fgColor rgb="FF40AC46"/>
          <bgColor rgb="FF000000"/>
        </patternFill>
      </fill>
    </dxf>
    <dxf>
      <fill>
        <patternFill patternType="solid">
          <fgColor rgb="FF41A947"/>
          <bgColor rgb="FF000000"/>
        </patternFill>
      </fill>
    </dxf>
    <dxf>
      <fill>
        <patternFill patternType="solid">
          <fgColor rgb="FF42A648"/>
          <bgColor rgb="FF000000"/>
        </patternFill>
      </fill>
    </dxf>
    <dxf>
      <fill>
        <patternFill patternType="solid">
          <fgColor rgb="FF43A349"/>
          <bgColor rgb="FF000000"/>
        </patternFill>
      </fill>
    </dxf>
    <dxf>
      <fill>
        <patternFill patternType="solid">
          <fgColor rgb="FF44A049"/>
          <bgColor rgb="FF000000"/>
        </patternFill>
      </fill>
    </dxf>
    <dxf>
      <fill>
        <patternFill patternType="solid">
          <fgColor rgb="FF459D4A"/>
          <bgColor rgb="FF000000"/>
        </patternFill>
      </fill>
    </dxf>
    <dxf>
      <fill>
        <patternFill patternType="solid">
          <fgColor rgb="FF469A4B"/>
          <bgColor rgb="FF000000"/>
        </patternFill>
      </fill>
    </dxf>
    <dxf>
      <fill>
        <patternFill patternType="solid">
          <fgColor rgb="FF47974C"/>
          <bgColor rgb="FF000000"/>
        </patternFill>
      </fill>
    </dxf>
    <dxf>
      <fill>
        <patternFill patternType="solid">
          <fgColor rgb="FF48944D"/>
          <bgColor rgb="FF000000"/>
        </patternFill>
      </fill>
    </dxf>
    <dxf>
      <fill>
        <patternFill patternType="solid">
          <fgColor rgb="FF49914D"/>
          <bgColor rgb="FF000000"/>
        </patternFill>
      </fill>
    </dxf>
    <dxf>
      <fill>
        <patternFill patternType="solid">
          <fgColor rgb="FF4A8E4E"/>
          <bgColor rgb="FF000000"/>
        </patternFill>
      </fill>
    </dxf>
    <dxf>
      <fill>
        <patternFill patternType="solid">
          <fgColor rgb="FF4B8B4F"/>
          <bgColor rgb="FF000000"/>
        </patternFill>
      </fill>
    </dxf>
    <dxf>
      <fill>
        <patternFill patternType="solid">
          <fgColor rgb="FF4C8850"/>
          <bgColor rgb="FF000000"/>
        </patternFill>
      </fill>
    </dxf>
    <dxf>
      <fill>
        <patternFill patternType="solid">
          <fgColor rgb="FF4D8551"/>
          <bgColor rgb="FF000000"/>
        </patternFill>
      </fill>
    </dxf>
    <dxf>
      <fill>
        <patternFill patternType="solid">
          <fgColor rgb="FF4E8251"/>
          <bgColor rgb="FF000000"/>
        </patternFill>
      </fill>
    </dxf>
    <dxf>
      <fill>
        <patternFill patternType="solid">
          <fgColor rgb="FF4F7F52"/>
          <bgColor rgb="FF000000"/>
        </patternFill>
      </fill>
    </dxf>
    <dxf>
      <fill>
        <patternFill patternType="solid">
          <fgColor rgb="FF507C53"/>
          <bgColor rgb="FF000000"/>
        </patternFill>
      </fill>
    </dxf>
    <dxf>
      <fill>
        <patternFill patternType="solid">
          <fgColor rgb="FF517954"/>
          <bgColor rgb="FF000000"/>
        </patternFill>
      </fill>
    </dxf>
    <dxf>
      <fill>
        <patternFill patternType="solid">
          <fgColor rgb="FF527655"/>
          <bgColor rgb="FF000000"/>
        </patternFill>
      </fill>
    </dxf>
    <dxf>
      <fill>
        <patternFill patternType="solid">
          <fgColor rgb="FF537355"/>
          <bgColor rgb="FF000000"/>
        </patternFill>
      </fill>
    </dxf>
    <dxf>
      <fill>
        <patternFill patternType="solid">
          <fgColor rgb="FF547056"/>
          <bgColor rgb="FF000000"/>
        </patternFill>
      </fill>
    </dxf>
    <dxf>
      <fill>
        <patternFill patternType="solid">
          <fgColor rgb="FF556D57"/>
          <bgColor rgb="FF000000"/>
        </patternFill>
      </fill>
    </dxf>
    <dxf>
      <fill>
        <patternFill patternType="solid">
          <fgColor rgb="FF566A58"/>
          <bgColor rgb="FF000000"/>
        </patternFill>
      </fill>
    </dxf>
    <dxf>
      <fill>
        <patternFill patternType="solid">
          <fgColor rgb="FF586459"/>
          <bgColor rgb="FF000000"/>
        </patternFill>
      </fill>
    </dxf>
    <dxf>
      <fill>
        <patternFill patternType="solid">
          <fgColor rgb="FF59615A"/>
          <bgColor rgb="FF000000"/>
        </patternFill>
      </fill>
    </dxf>
    <dxf>
      <fill>
        <patternFill patternType="solid">
          <fgColor rgb="FF5A5E5B"/>
          <bgColor rgb="FF000000"/>
        </patternFill>
      </fill>
    </dxf>
    <dxf>
      <fill>
        <patternFill patternType="solid">
          <fgColor rgb="FF5B5B5C"/>
          <bgColor rgb="FF000000"/>
        </patternFill>
      </fill>
    </dxf>
    <dxf>
      <fill>
        <patternFill patternType="solid">
          <fgColor rgb="FF5C585C"/>
          <bgColor rgb="FF000000"/>
        </patternFill>
      </fill>
    </dxf>
    <dxf>
      <fill>
        <patternFill patternType="solid">
          <fgColor rgb="FF5D555D"/>
          <bgColor rgb="FF000000"/>
        </patternFill>
      </fill>
    </dxf>
    <dxf>
      <fill>
        <patternFill patternType="solid">
          <fgColor rgb="FF5E525E"/>
          <bgColor rgb="FF000000"/>
        </patternFill>
      </fill>
    </dxf>
    <dxf>
      <fill>
        <patternFill patternType="solid">
          <fgColor rgb="FF5F4F5F"/>
          <bgColor rgb="FF000000"/>
        </patternFill>
      </fill>
    </dxf>
    <dxf>
      <fill>
        <patternFill patternType="solid">
          <fgColor rgb="FF624661"/>
          <bgColor rgb="FF000000"/>
        </patternFill>
      </fill>
    </dxf>
    <dxf>
      <fill>
        <patternFill patternType="solid">
          <fgColor rgb="FF634362"/>
          <bgColor rgb="FF000000"/>
        </patternFill>
      </fill>
    </dxf>
    <dxf>
      <fill>
        <patternFill patternType="solid">
          <fgColor rgb="FF653D64"/>
          <bgColor rgb="FF000000"/>
        </patternFill>
      </fill>
    </dxf>
    <dxf>
      <fill>
        <patternFill patternType="solid">
          <fgColor rgb="FFF6F9D4"/>
          <bgColor rgb="FF000000"/>
        </patternFill>
      </fill>
    </dxf>
    <dxf>
      <fill>
        <patternFill patternType="solid">
          <fgColor rgb="FF0F8B49"/>
          <bgColor rgb="FF000000"/>
        </patternFill>
      </fill>
    </dxf>
    <dxf>
      <fill>
        <patternFill patternType="solid">
          <fgColor rgb="FFFED6D3"/>
          <bgColor rgb="FF000000"/>
        </patternFill>
      </fill>
    </dxf>
    <dxf>
      <fill>
        <patternFill patternType="solid">
          <fgColor rgb="FFC71425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name val="Calibri"/>
        <charset val="1"/>
        <family val="2"/>
        <color rgb="FFCC0000"/>
        <sz val="7"/>
      </font>
      <fill>
        <patternFill>
          <bgColor rgb="FFFFCCCC"/>
        </patternFill>
      </fill>
    </dxf>
    <dxf>
      <font>
        <name val="Calibri"/>
        <charset val="1"/>
        <family val="2"/>
        <color rgb="FF006600"/>
        <sz val="7"/>
      </font>
      <fill>
        <patternFill>
          <bgColor rgb="FFCCFFCC"/>
        </patternFill>
      </fill>
    </dxf>
    <dxf>
      <font>
        <name val="Calibri"/>
        <charset val="1"/>
        <family val="2"/>
        <b val="1"/>
        <color rgb="FF730073"/>
        <sz val="7"/>
      </font>
    </dxf>
    <dxf>
      <font>
        <name val="Calibri"/>
        <charset val="1"/>
        <family val="2"/>
        <b val="1"/>
        <color rgb="FF808080"/>
        <sz val="7"/>
      </font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1"/>
        <outline val="0"/>
        <shadow val="1"/>
        <color rgb="FFFFB4FF"/>
        <sz val="7"/>
      </font>
    </dxf>
    <dxf>
      <font>
        <name val="Calibri"/>
        <charset val="1"/>
        <family val="2"/>
        <b val="1"/>
        <color rgb="FFFF8200"/>
        <sz val="7"/>
      </font>
    </dxf>
    <dxf>
      <font>
        <name val="Calibri"/>
        <charset val="1"/>
        <family val="2"/>
        <b val="1"/>
        <color rgb="FF73A0FF"/>
        <sz val="7"/>
      </font>
    </dxf>
    <dxf>
      <font>
        <name val="Calibri"/>
        <charset val="1"/>
        <family val="2"/>
        <b val="1"/>
        <color rgb="FF3264FF"/>
        <sz val="7"/>
      </font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FAF46"/>
          <bgColor rgb="FF000000"/>
        </patternFill>
      </fill>
    </dxf>
    <dxf>
      <fill>
        <patternFill patternType="solid">
          <fgColor rgb="FFA1467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780373"/>
      <rgbColor rgb="FF0F8B49"/>
      <rgbColor rgb="FFC0C0C0"/>
      <rgbColor rgb="FF808080"/>
      <rgbColor rgb="FF73A0FF"/>
      <rgbColor rgb="FFA1467E"/>
      <rgbColor rgb="FFFED6D3"/>
      <rgbColor rgb="FFCCFFFF"/>
      <rgbColor rgb="FF730073"/>
      <rgbColor rgb="FFFF8080"/>
      <rgbColor rgb="FF1D68A8"/>
      <rgbColor rgb="FFCCCCFF"/>
      <rgbColor rgb="FF000080"/>
      <rgbColor rgb="FFFF00FF"/>
      <rgbColor rgb="FFFFFF00"/>
      <rgbColor rgb="FF00FFFF"/>
      <rgbColor rgb="FF800080"/>
      <rgbColor rgb="FF800000"/>
      <rgbColor rgb="FF00A933"/>
      <rgbColor rgb="FF0000FF"/>
      <rgbColor rgb="FF00CCFF"/>
      <rgbColor rgb="FFCCFFFF"/>
      <rgbColor rgb="FFCCFFCC"/>
      <rgbColor rgb="FFFFFF99"/>
      <rgbColor rgb="FF99CCFF"/>
      <rgbColor rgb="FFFFB4FF"/>
      <rgbColor rgb="FFCC99FF"/>
      <rgbColor rgb="FFFFCCCC"/>
      <rgbColor rgb="FF3264FF"/>
      <rgbColor rgb="FF33CCCC"/>
      <rgbColor rgb="FFBBE33D"/>
      <rgbColor rgb="FFFFCC00"/>
      <rgbColor rgb="FFFF8200"/>
      <rgbColor rgb="FFF07600"/>
      <rgbColor rgb="FF666699"/>
      <rgbColor rgb="FF969696"/>
      <rgbColor rgb="FF003366"/>
      <rgbColor rgb="FF3FAF46"/>
      <rgbColor rgb="FF003300"/>
      <rgbColor rgb="FF333300"/>
      <rgbColor rgb="FFC714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10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9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A11" activeCellId="0" sqref="A11"/>
    </sheetView>
  </sheetViews>
  <sheetFormatPr defaultColWidth="16.4140625" defaultRowHeight="12.75" zeroHeight="false" outlineLevelRow="0" outlineLevelCol="1"/>
  <cols>
    <col collapsed="false" customWidth="true" hidden="false" outlineLevel="0" max="1" min="1" style="1" width="25.86"/>
    <col collapsed="false" customWidth="true" hidden="false" outlineLevel="0" max="2" min="2" style="2" width="18.11"/>
    <col collapsed="false" customWidth="true" hidden="false" outlineLevel="0" max="3" min="3" style="2" width="34.77"/>
    <col collapsed="false" customWidth="true" hidden="false" outlineLevel="0" max="5" min="4" style="3" width="8.74"/>
    <col collapsed="false" customWidth="true" hidden="false" outlineLevel="0" max="6" min="6" style="3" width="10.19"/>
    <col collapsed="false" customWidth="true" hidden="false" outlineLevel="0" max="7" min="7" style="3" width="7.57"/>
    <col collapsed="false" customWidth="true" hidden="false" outlineLevel="0" max="8" min="8" style="3" width="7.25"/>
    <col collapsed="false" customWidth="true" hidden="false" outlineLevel="0" max="9" min="9" style="3" width="10.51"/>
    <col collapsed="false" customWidth="true" hidden="true" outlineLevel="1" max="10" min="10" style="2" width="24.04"/>
    <col collapsed="false" customWidth="true" hidden="true" outlineLevel="1" max="11" min="11" style="2" width="29.82"/>
    <col collapsed="false" customWidth="true" hidden="true" outlineLevel="1" max="12" min="12" style="2" width="11.67"/>
    <col collapsed="false" customWidth="true" hidden="true" outlineLevel="1" max="13" min="13" style="2" width="35.59"/>
    <col collapsed="false" customWidth="true" hidden="true" outlineLevel="1" max="14" min="14" style="4" width="9.03"/>
    <col collapsed="false" customWidth="false" hidden="true" outlineLevel="1" max="15" min="15" style="2" width="16.41"/>
    <col collapsed="false" customWidth="true" hidden="true" outlineLevel="1" max="16" min="16" style="3" width="26.52"/>
    <col collapsed="false" customWidth="true" hidden="true" outlineLevel="1" max="17" min="17" style="5" width="10.84"/>
    <col collapsed="false" customWidth="true" hidden="false" outlineLevel="0" max="20" min="18" style="3" width="9.13"/>
    <col collapsed="false" customWidth="true" hidden="true" outlineLevel="0" max="21" min="21" style="3" width="12.67"/>
    <col collapsed="false" customWidth="true" hidden="false" outlineLevel="0" max="22" min="22" style="6" width="12.67"/>
    <col collapsed="false" customWidth="true" hidden="true" outlineLevel="0" max="23" min="23" style="3" width="12.67"/>
    <col collapsed="false" customWidth="true" hidden="true" outlineLevel="0" max="24" min="24" style="7" width="12"/>
    <col collapsed="false" customWidth="true" hidden="true" outlineLevel="0" max="25" min="25" style="7" width="13.98"/>
    <col collapsed="false" customWidth="true" hidden="true" outlineLevel="0" max="26" min="26" style="2" width="38.9"/>
    <col collapsed="false" customWidth="true" hidden="true" outlineLevel="0" max="27" min="27" style="2" width="49.78"/>
    <col collapsed="false" customWidth="true" hidden="true" outlineLevel="0" max="28" min="28" style="2" width="101.25"/>
    <col collapsed="false" customWidth="true" hidden="true" outlineLevel="0" max="29" min="29" style="2" width="43.18"/>
    <col collapsed="false" customWidth="true" hidden="true" outlineLevel="0" max="30" min="30" style="2" width="39.88"/>
    <col collapsed="false" customWidth="true" hidden="false" outlineLevel="0" max="31" min="31" style="8" width="10.68"/>
    <col collapsed="false" customWidth="true" hidden="true" outlineLevel="0" max="32" min="32" style="1" width="75.36"/>
    <col collapsed="false" customWidth="true" hidden="false" outlineLevel="0" max="33" min="33" style="3" width="13.98"/>
    <col collapsed="false" customWidth="true" hidden="false" outlineLevel="0" max="34" min="34" style="3" width="11.83"/>
    <col collapsed="false" customWidth="true" hidden="false" outlineLevel="0" max="35" min="35" style="3" width="12.82"/>
    <col collapsed="false" customWidth="true" hidden="false" outlineLevel="0" max="36" min="36" style="2" width="37.9"/>
    <col collapsed="false" customWidth="true" hidden="false" outlineLevel="0" max="37" min="37" style="2" width="26.2"/>
    <col collapsed="false" customWidth="true" hidden="false" outlineLevel="0" max="47" min="38" style="3" width="14.54"/>
    <col collapsed="false" customWidth="false" hidden="false" outlineLevel="0" max="16384" min="48" style="2" width="16.41"/>
  </cols>
  <sheetData>
    <row r="1" s="26" customFormat="true" ht="12.75" hidden="false" customHeight="false" outlineLevel="0" collapsed="false">
      <c r="A1" s="9" t="s">
        <v>0</v>
      </c>
      <c r="B1" s="10" t="s">
        <v>1</v>
      </c>
      <c r="C1" s="10" t="s">
        <v>2</v>
      </c>
      <c r="D1" s="11" t="s">
        <v>3</v>
      </c>
      <c r="E1" s="9" t="s">
        <v>4</v>
      </c>
      <c r="F1" s="10" t="s">
        <v>5</v>
      </c>
      <c r="G1" s="10" t="s">
        <v>6</v>
      </c>
      <c r="H1" s="12" t="s">
        <v>7</v>
      </c>
      <c r="I1" s="12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3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7" t="s">
        <v>18</v>
      </c>
      <c r="T1" s="18" t="s">
        <v>19</v>
      </c>
      <c r="U1" s="19" t="s">
        <v>20</v>
      </c>
      <c r="V1" s="20" t="s">
        <v>21</v>
      </c>
      <c r="W1" s="19" t="s">
        <v>22</v>
      </c>
      <c r="X1" s="21" t="s">
        <v>23</v>
      </c>
      <c r="Y1" s="21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3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XEY1" s="27"/>
      <c r="XEZ1" s="27"/>
      <c r="XFA1" s="27"/>
      <c r="XFB1" s="27"/>
      <c r="XFC1" s="27"/>
      <c r="XFD1" s="27"/>
    </row>
    <row r="2" s="42" customFormat="true" ht="14.15" hidden="false" customHeight="true" outlineLevel="0" collapsed="false">
      <c r="A2" s="28" t="s">
        <v>47</v>
      </c>
      <c r="B2" s="29" t="s">
        <v>48</v>
      </c>
      <c r="C2" s="29" t="s">
        <v>49</v>
      </c>
      <c r="D2" s="30" t="s">
        <v>50</v>
      </c>
      <c r="E2" s="31"/>
      <c r="F2" s="32" t="n">
        <v>39</v>
      </c>
      <c r="G2" s="31"/>
      <c r="H2" s="31" t="n">
        <v>1</v>
      </c>
      <c r="I2" s="31" t="s">
        <v>51</v>
      </c>
      <c r="J2" s="29" t="s">
        <v>52</v>
      </c>
      <c r="K2" s="29" t="s">
        <v>53</v>
      </c>
      <c r="L2" s="32" t="n">
        <v>149</v>
      </c>
      <c r="M2" s="33" t="s">
        <v>54</v>
      </c>
      <c r="N2" s="34" t="n">
        <v>75015</v>
      </c>
      <c r="O2" s="35" t="s">
        <v>55</v>
      </c>
      <c r="P2" s="36" t="s">
        <v>56</v>
      </c>
      <c r="Q2" s="36" t="n">
        <v>236</v>
      </c>
      <c r="R2" s="32" t="n">
        <v>322</v>
      </c>
      <c r="S2" s="32" t="n">
        <v>57</v>
      </c>
      <c r="T2" s="32"/>
      <c r="U2" s="32"/>
      <c r="V2" s="37"/>
      <c r="W2" s="32"/>
      <c r="X2" s="34"/>
      <c r="Y2" s="34"/>
      <c r="Z2" s="32"/>
      <c r="AA2" s="32" t="s">
        <v>57</v>
      </c>
      <c r="AB2" s="32"/>
      <c r="AC2" s="38" t="str">
        <f aca="false">HYPERLINK("https://biocodex6--c.vf.force.com/0014L00000KFRiPQAX", "AMAZZOUGH KARIMA")</f>
        <v>AMAZZOUGH KARIMA</v>
      </c>
      <c r="AD2" s="38"/>
      <c r="AE2" s="39"/>
      <c r="AF2" s="40"/>
      <c r="AG2" s="41"/>
      <c r="AH2" s="32"/>
      <c r="AI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XEY2" s="27"/>
      <c r="XEZ2" s="27"/>
      <c r="XFA2" s="27"/>
      <c r="XFB2" s="27"/>
      <c r="XFC2" s="27"/>
      <c r="XFD2" s="27"/>
    </row>
    <row r="3" s="42" customFormat="true" ht="14.15" hidden="false" customHeight="true" outlineLevel="0" collapsed="false">
      <c r="A3" s="28" t="s">
        <v>58</v>
      </c>
      <c r="B3" s="29" t="s">
        <v>59</v>
      </c>
      <c r="C3" s="29" t="s">
        <v>60</v>
      </c>
      <c r="D3" s="30" t="s">
        <v>50</v>
      </c>
      <c r="E3" s="31"/>
      <c r="F3" s="32" t="n">
        <v>65</v>
      </c>
      <c r="G3" s="31" t="s">
        <v>61</v>
      </c>
      <c r="H3" s="31" t="n">
        <v>1</v>
      </c>
      <c r="I3" s="31" t="s">
        <v>62</v>
      </c>
      <c r="J3" s="29"/>
      <c r="K3" s="29" t="s">
        <v>63</v>
      </c>
      <c r="L3" s="32" t="n">
        <v>26</v>
      </c>
      <c r="M3" s="33" t="s">
        <v>64</v>
      </c>
      <c r="N3" s="34" t="n">
        <v>75017</v>
      </c>
      <c r="O3" s="35" t="s">
        <v>55</v>
      </c>
      <c r="P3" s="36" t="s">
        <v>65</v>
      </c>
      <c r="Q3" s="36" t="n">
        <v>1</v>
      </c>
      <c r="R3" s="32" t="n">
        <v>333</v>
      </c>
      <c r="S3" s="32" t="n">
        <v>38</v>
      </c>
      <c r="T3" s="32"/>
      <c r="U3" s="32"/>
      <c r="V3" s="37" t="n">
        <v>3</v>
      </c>
      <c r="W3" s="32"/>
      <c r="X3" s="34" t="n">
        <v>1</v>
      </c>
      <c r="Y3" s="34"/>
      <c r="Z3" s="32"/>
      <c r="AA3" s="32" t="s">
        <v>66</v>
      </c>
      <c r="AB3" s="32" t="s">
        <v>67</v>
      </c>
      <c r="AC3" s="38" t="str">
        <f aca="false">HYPERLINK("https://biocodex6--c.vf.force.com/0014L00000KFiNyQAL", "HAZEN RICHARD")</f>
        <v>HAZEN RICHARD</v>
      </c>
      <c r="AD3" s="38" t="str">
        <f aca="false">HYPERLINK("https://annuairesante.ameli.fr/professionnels-de-sante/recherche/fiche-detaillee-B7c1lzA1OTO7.html", "HAZEN RICHARD")</f>
        <v>HAZEN RICHARD</v>
      </c>
      <c r="AE3" s="39" t="n">
        <v>45425.6041666667</v>
      </c>
      <c r="AF3" s="40" t="s">
        <v>68</v>
      </c>
      <c r="AG3" s="41" t="s">
        <v>69</v>
      </c>
      <c r="AH3" s="32" t="s">
        <v>70</v>
      </c>
      <c r="AI3" s="32" t="s">
        <v>71</v>
      </c>
      <c r="AL3" s="32"/>
      <c r="AM3" s="32"/>
      <c r="AN3" s="32"/>
      <c r="AO3" s="32"/>
      <c r="AP3" s="32"/>
      <c r="AQ3" s="32"/>
      <c r="AR3" s="32"/>
      <c r="AS3" s="32"/>
      <c r="AT3" s="32"/>
      <c r="AU3" s="32"/>
      <c r="XEY3" s="27"/>
      <c r="XEZ3" s="27"/>
      <c r="XFA3" s="27"/>
      <c r="XFB3" s="27"/>
      <c r="XFC3" s="27"/>
      <c r="XFD3" s="27"/>
    </row>
    <row r="4" s="42" customFormat="true" ht="14.15" hidden="false" customHeight="true" outlineLevel="0" collapsed="false">
      <c r="A4" s="28" t="s">
        <v>72</v>
      </c>
      <c r="B4" s="29" t="s">
        <v>73</v>
      </c>
      <c r="C4" s="29" t="s">
        <v>74</v>
      </c>
      <c r="D4" s="30" t="s">
        <v>75</v>
      </c>
      <c r="E4" s="30" t="s">
        <v>76</v>
      </c>
      <c r="F4" s="32" t="n">
        <v>49</v>
      </c>
      <c r="G4" s="31" t="s">
        <v>61</v>
      </c>
      <c r="H4" s="31" t="n">
        <v>2</v>
      </c>
      <c r="I4" s="31" t="s">
        <v>77</v>
      </c>
      <c r="J4" s="29" t="s">
        <v>78</v>
      </c>
      <c r="K4" s="29" t="s">
        <v>79</v>
      </c>
      <c r="L4" s="32" t="n">
        <v>26</v>
      </c>
      <c r="M4" s="33" t="s">
        <v>80</v>
      </c>
      <c r="N4" s="34" t="n">
        <v>92200</v>
      </c>
      <c r="O4" s="35" t="s">
        <v>81</v>
      </c>
      <c r="P4" s="36" t="s">
        <v>82</v>
      </c>
      <c r="Q4" s="36" t="n">
        <v>10</v>
      </c>
      <c r="R4" s="32" t="n">
        <v>260</v>
      </c>
      <c r="S4" s="32" t="n">
        <v>36</v>
      </c>
      <c r="T4" s="32"/>
      <c r="U4" s="32" t="n">
        <v>3</v>
      </c>
      <c r="V4" s="37" t="n">
        <v>2</v>
      </c>
      <c r="W4" s="32"/>
      <c r="X4" s="34"/>
      <c r="Y4" s="34"/>
      <c r="Z4" s="32"/>
      <c r="AA4" s="32" t="s">
        <v>83</v>
      </c>
      <c r="AB4" s="32" t="s">
        <v>84</v>
      </c>
      <c r="AC4" s="38" t="str">
        <f aca="false">HYPERLINK("https://biocodex6--c.vf.force.com/0014L00000KG4F6QAL", "TRETON XAVIER")</f>
        <v>TRETON XAVIER</v>
      </c>
      <c r="AD4" s="38" t="str">
        <f aca="false">HYPERLINK("https://annuairesante.ameli.fr/professionnels-de-sante/recherche/fiche-detaillee-CbA1lTM5MjG3.html", "TRETON XAVIER")</f>
        <v>TRETON XAVIER</v>
      </c>
      <c r="AE4" s="39"/>
      <c r="AF4" s="40"/>
      <c r="AG4" s="41"/>
      <c r="AH4" s="32"/>
      <c r="AI4" s="32"/>
      <c r="AL4" s="32"/>
      <c r="AM4" s="32"/>
      <c r="AN4" s="43" t="s">
        <v>85</v>
      </c>
      <c r="AO4" s="43" t="s">
        <v>86</v>
      </c>
      <c r="AP4" s="32"/>
      <c r="AQ4" s="32"/>
      <c r="AR4" s="32"/>
      <c r="AS4" s="43" t="s">
        <v>87</v>
      </c>
      <c r="AT4" s="43" t="s">
        <v>88</v>
      </c>
      <c r="AU4" s="32"/>
      <c r="XEY4" s="27"/>
      <c r="XEZ4" s="27"/>
      <c r="XFA4" s="27"/>
      <c r="XFB4" s="27"/>
      <c r="XFC4" s="27"/>
      <c r="XFD4" s="27"/>
    </row>
    <row r="5" s="42" customFormat="true" ht="14.15" hidden="false" customHeight="true" outlineLevel="0" collapsed="false">
      <c r="A5" s="28" t="s">
        <v>89</v>
      </c>
      <c r="B5" s="29" t="s">
        <v>90</v>
      </c>
      <c r="C5" s="29" t="s">
        <v>91</v>
      </c>
      <c r="D5" s="30" t="s">
        <v>75</v>
      </c>
      <c r="E5" s="31"/>
      <c r="F5" s="32" t="n">
        <v>48</v>
      </c>
      <c r="G5" s="31"/>
      <c r="H5" s="31" t="n">
        <v>2</v>
      </c>
      <c r="I5" s="31" t="s">
        <v>77</v>
      </c>
      <c r="J5" s="29" t="s">
        <v>78</v>
      </c>
      <c r="K5" s="29" t="s">
        <v>79</v>
      </c>
      <c r="L5" s="32" t="n">
        <v>26</v>
      </c>
      <c r="M5" s="33" t="s">
        <v>80</v>
      </c>
      <c r="N5" s="34" t="n">
        <v>92200</v>
      </c>
      <c r="O5" s="35" t="s">
        <v>81</v>
      </c>
      <c r="P5" s="36"/>
      <c r="Q5" s="36" t="n">
        <v>10</v>
      </c>
      <c r="R5" s="32" t="n">
        <v>260</v>
      </c>
      <c r="S5" s="32" t="n">
        <v>35</v>
      </c>
      <c r="T5" s="32"/>
      <c r="U5" s="32" t="n">
        <v>3</v>
      </c>
      <c r="V5" s="37" t="n">
        <v>2</v>
      </c>
      <c r="W5" s="32"/>
      <c r="X5" s="34"/>
      <c r="Y5" s="34"/>
      <c r="Z5" s="32"/>
      <c r="AA5" s="32" t="s">
        <v>92</v>
      </c>
      <c r="AB5" s="44"/>
      <c r="AC5" s="38" t="str">
        <f aca="false">HYPERLINK("https://biocodex6--c.vf.force.com/0014L00000KG2chQAD", "TANASA STEFANESCU CARMEN")</f>
        <v>TANASA STEFANESCU CARMEN</v>
      </c>
      <c r="AD5" s="38"/>
      <c r="AE5" s="39" t="n">
        <v>45427.6041666667</v>
      </c>
      <c r="AF5" s="40" t="s">
        <v>93</v>
      </c>
      <c r="AG5" s="41"/>
      <c r="AH5" s="32"/>
      <c r="AI5" s="32"/>
      <c r="AJ5" s="42" t="s">
        <v>94</v>
      </c>
      <c r="AL5" s="32"/>
      <c r="AM5" s="32"/>
      <c r="AN5" s="32"/>
      <c r="AO5" s="32"/>
      <c r="AP5" s="32"/>
      <c r="AQ5" s="32"/>
      <c r="AR5" s="32"/>
      <c r="AS5" s="32"/>
      <c r="AT5" s="32"/>
      <c r="AU5" s="32"/>
      <c r="XEY5" s="27"/>
      <c r="XEZ5" s="27"/>
      <c r="XFA5" s="27"/>
      <c r="XFB5" s="27"/>
      <c r="XFC5" s="27"/>
      <c r="XFD5" s="27"/>
    </row>
    <row r="6" s="42" customFormat="true" ht="14.15" hidden="false" customHeight="true" outlineLevel="0" collapsed="false">
      <c r="A6" s="28" t="s">
        <v>95</v>
      </c>
      <c r="B6" s="29" t="s">
        <v>96</v>
      </c>
      <c r="C6" s="29" t="s">
        <v>97</v>
      </c>
      <c r="D6" s="30" t="s">
        <v>50</v>
      </c>
      <c r="E6" s="31"/>
      <c r="F6" s="32" t="n">
        <v>37</v>
      </c>
      <c r="G6" s="31" t="s">
        <v>98</v>
      </c>
      <c r="H6" s="31" t="n">
        <v>1</v>
      </c>
      <c r="I6" s="31" t="s">
        <v>99</v>
      </c>
      <c r="J6" s="29"/>
      <c r="K6" s="29" t="s">
        <v>100</v>
      </c>
      <c r="L6" s="32" t="n">
        <v>154</v>
      </c>
      <c r="M6" s="33" t="s">
        <v>101</v>
      </c>
      <c r="N6" s="34" t="n">
        <v>75015</v>
      </c>
      <c r="O6" s="35" t="s">
        <v>55</v>
      </c>
      <c r="P6" s="36" t="s">
        <v>102</v>
      </c>
      <c r="Q6" s="36" t="n">
        <v>2</v>
      </c>
      <c r="R6" s="32" t="n">
        <v>354</v>
      </c>
      <c r="S6" s="32" t="n">
        <v>32</v>
      </c>
      <c r="T6" s="32"/>
      <c r="U6" s="32"/>
      <c r="V6" s="37" t="n">
        <v>3</v>
      </c>
      <c r="W6" s="32"/>
      <c r="X6" s="34" t="n">
        <v>2</v>
      </c>
      <c r="Y6" s="34" t="n">
        <v>4</v>
      </c>
      <c r="Z6" s="32"/>
      <c r="AA6" s="32" t="s">
        <v>103</v>
      </c>
      <c r="AB6" s="32" t="s">
        <v>104</v>
      </c>
      <c r="AC6" s="42" t="str">
        <f aca="false">HYPERLINK("https://biocodex6--c.vf.force.com/0014L00000KG8znQAD", "BLAISE BENJAMIN")</f>
        <v>BLAISE BENJAMIN</v>
      </c>
      <c r="AD6" s="32" t="str">
        <f aca="false">HYPERLINK("https://annuairesante.ameli.fr/professionnels-de-sante/recherche/fiche-detaillee-B7c1kjQwNze3.html", "BLAISE BENJAMIN")</f>
        <v>BLAISE BENJAMIN</v>
      </c>
      <c r="AE6" s="39" t="n">
        <v>45181.3958333333</v>
      </c>
      <c r="AF6" s="40" t="s">
        <v>105</v>
      </c>
      <c r="AG6" s="41"/>
      <c r="AH6" s="32" t="s">
        <v>70</v>
      </c>
      <c r="AI6" s="32" t="s">
        <v>106</v>
      </c>
      <c r="AJ6" s="32"/>
      <c r="AK6" s="32"/>
      <c r="AL6" s="43" t="s">
        <v>107</v>
      </c>
      <c r="AM6" s="43" t="s">
        <v>108</v>
      </c>
      <c r="AN6" s="43" t="s">
        <v>107</v>
      </c>
      <c r="AO6" s="43" t="s">
        <v>108</v>
      </c>
      <c r="AP6" s="43" t="s">
        <v>107</v>
      </c>
      <c r="AQ6" s="43" t="s">
        <v>108</v>
      </c>
      <c r="AR6" s="43" t="s">
        <v>107</v>
      </c>
      <c r="AS6" s="43" t="s">
        <v>108</v>
      </c>
      <c r="AT6" s="43" t="s">
        <v>107</v>
      </c>
      <c r="AU6" s="43" t="s">
        <v>108</v>
      </c>
      <c r="XEY6" s="27"/>
      <c r="XEZ6" s="27"/>
      <c r="XFA6" s="27"/>
      <c r="XFB6" s="27"/>
      <c r="XFC6" s="27"/>
      <c r="XFD6" s="27"/>
    </row>
    <row r="7" s="42" customFormat="true" ht="14.15" hidden="false" customHeight="true" outlineLevel="0" collapsed="false">
      <c r="A7" s="28" t="s">
        <v>109</v>
      </c>
      <c r="B7" s="29" t="s">
        <v>110</v>
      </c>
      <c r="C7" s="29" t="s">
        <v>111</v>
      </c>
      <c r="D7" s="30" t="s">
        <v>112</v>
      </c>
      <c r="E7" s="30" t="s">
        <v>113</v>
      </c>
      <c r="F7" s="32" t="n">
        <v>43</v>
      </c>
      <c r="G7" s="31"/>
      <c r="H7" s="31" t="n">
        <v>1</v>
      </c>
      <c r="I7" s="31" t="s">
        <v>51</v>
      </c>
      <c r="J7" s="29" t="s">
        <v>52</v>
      </c>
      <c r="K7" s="29" t="s">
        <v>53</v>
      </c>
      <c r="L7" s="32" t="n">
        <v>149</v>
      </c>
      <c r="M7" s="33" t="s">
        <v>54</v>
      </c>
      <c r="N7" s="34" t="n">
        <v>75015</v>
      </c>
      <c r="O7" s="35" t="s">
        <v>55</v>
      </c>
      <c r="P7" s="36" t="s">
        <v>114</v>
      </c>
      <c r="Q7" s="36" t="n">
        <v>236</v>
      </c>
      <c r="R7" s="32" t="n">
        <v>162</v>
      </c>
      <c r="S7" s="32" t="n">
        <v>32</v>
      </c>
      <c r="T7" s="32"/>
      <c r="U7" s="32"/>
      <c r="V7" s="37"/>
      <c r="W7" s="32"/>
      <c r="X7" s="34"/>
      <c r="Y7" s="34"/>
      <c r="Z7" s="32"/>
      <c r="AA7" s="32" t="s">
        <v>115</v>
      </c>
      <c r="AB7" s="32"/>
      <c r="AC7" s="38" t="str">
        <f aca="false">HYPERLINK("https://biocodex6--c.vf.force.com/0014L00000KFV4jQAH", "BRASSIER ANAIS")</f>
        <v>BRASSIER ANAIS</v>
      </c>
      <c r="AD7" s="38"/>
      <c r="AE7" s="39"/>
      <c r="AF7" s="40"/>
      <c r="AG7" s="41"/>
      <c r="AH7" s="32"/>
      <c r="AI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XEY7" s="27"/>
      <c r="XEZ7" s="27"/>
      <c r="XFA7" s="27"/>
      <c r="XFB7" s="27"/>
      <c r="XFC7" s="27"/>
      <c r="XFD7" s="27"/>
    </row>
    <row r="8" s="42" customFormat="true" ht="14.15" hidden="false" customHeight="true" outlineLevel="0" collapsed="false">
      <c r="A8" s="28" t="s">
        <v>116</v>
      </c>
      <c r="B8" s="29" t="s">
        <v>117</v>
      </c>
      <c r="C8" s="29" t="s">
        <v>118</v>
      </c>
      <c r="D8" s="30" t="s">
        <v>50</v>
      </c>
      <c r="E8" s="31"/>
      <c r="F8" s="32" t="n">
        <v>72</v>
      </c>
      <c r="G8" s="31" t="s">
        <v>61</v>
      </c>
      <c r="H8" s="31" t="n">
        <v>1</v>
      </c>
      <c r="I8" s="31" t="s">
        <v>119</v>
      </c>
      <c r="J8" s="29"/>
      <c r="K8" s="29" t="s">
        <v>120</v>
      </c>
      <c r="L8" s="32" t="n">
        <v>15</v>
      </c>
      <c r="M8" s="33" t="s">
        <v>121</v>
      </c>
      <c r="N8" s="34" t="n">
        <v>75007</v>
      </c>
      <c r="O8" s="35" t="s">
        <v>55</v>
      </c>
      <c r="P8" s="36" t="s">
        <v>122</v>
      </c>
      <c r="Q8" s="36" t="n">
        <v>1</v>
      </c>
      <c r="R8" s="32" t="n">
        <v>429</v>
      </c>
      <c r="S8" s="32" t="n">
        <v>31</v>
      </c>
      <c r="T8" s="32"/>
      <c r="U8" s="32" t="n">
        <v>3</v>
      </c>
      <c r="V8" s="37" t="n">
        <v>3</v>
      </c>
      <c r="W8" s="32" t="n">
        <v>4</v>
      </c>
      <c r="X8" s="34" t="n">
        <v>1</v>
      </c>
      <c r="Y8" s="34" t="n">
        <v>4</v>
      </c>
      <c r="Z8" s="32"/>
      <c r="AA8" s="32" t="s">
        <v>123</v>
      </c>
      <c r="AB8" s="32" t="s">
        <v>124</v>
      </c>
      <c r="AC8" s="42" t="str">
        <f aca="false">HYPERLINK("https://biocodex6--c.vf.force.com/0014L00000KFsbRQAT", "MORELLO DOMINIQUE")</f>
        <v>MORELLO DOMINIQUE</v>
      </c>
      <c r="AD8" s="32" t="str">
        <f aca="false">HYPERLINK("https://annuairesante.ameli.fr/professionnels-de-sante/recherche/fiche-detaillee-B7c1ljIyNDa3.html", "MORELLO DOMINIQUE")</f>
        <v>MORELLO DOMINIQUE</v>
      </c>
      <c r="AE8" s="39" t="n">
        <v>45128.5833333333</v>
      </c>
      <c r="AF8" s="40"/>
      <c r="AG8" s="41" t="s">
        <v>125</v>
      </c>
      <c r="AH8" s="32"/>
      <c r="AI8" s="32"/>
      <c r="AL8" s="43" t="s">
        <v>107</v>
      </c>
      <c r="AM8" s="43" t="s">
        <v>126</v>
      </c>
      <c r="AN8" s="43" t="s">
        <v>107</v>
      </c>
      <c r="AO8" s="43" t="s">
        <v>126</v>
      </c>
      <c r="AP8" s="43" t="s">
        <v>107</v>
      </c>
      <c r="AQ8" s="43" t="s">
        <v>126</v>
      </c>
      <c r="AR8" s="43" t="s">
        <v>107</v>
      </c>
      <c r="AS8" s="43" t="s">
        <v>126</v>
      </c>
      <c r="AT8" s="43" t="s">
        <v>107</v>
      </c>
      <c r="AU8" s="43" t="s">
        <v>126</v>
      </c>
      <c r="XEY8" s="27"/>
      <c r="XEZ8" s="27"/>
      <c r="XFA8" s="27"/>
      <c r="XFB8" s="27"/>
      <c r="XFC8" s="27"/>
      <c r="XFD8" s="27"/>
    </row>
    <row r="9" s="42" customFormat="true" ht="14.15" hidden="false" customHeight="true" outlineLevel="0" collapsed="false">
      <c r="A9" s="28" t="s">
        <v>127</v>
      </c>
      <c r="B9" s="29" t="s">
        <v>128</v>
      </c>
      <c r="C9" s="29" t="s">
        <v>129</v>
      </c>
      <c r="D9" s="30" t="s">
        <v>50</v>
      </c>
      <c r="E9" s="31"/>
      <c r="F9" s="32" t="n">
        <v>58</v>
      </c>
      <c r="G9" s="31" t="s">
        <v>98</v>
      </c>
      <c r="H9" s="31" t="n">
        <v>1</v>
      </c>
      <c r="I9" s="31" t="s">
        <v>99</v>
      </c>
      <c r="J9" s="29"/>
      <c r="K9" s="29" t="s">
        <v>130</v>
      </c>
      <c r="L9" s="32" t="n">
        <v>28</v>
      </c>
      <c r="M9" s="33" t="s">
        <v>131</v>
      </c>
      <c r="N9" s="34" t="n">
        <v>75015</v>
      </c>
      <c r="O9" s="35" t="s">
        <v>55</v>
      </c>
      <c r="P9" s="36" t="s">
        <v>132</v>
      </c>
      <c r="Q9" s="36" t="n">
        <v>1</v>
      </c>
      <c r="R9" s="32" t="n">
        <v>330</v>
      </c>
      <c r="S9" s="32" t="n">
        <v>31</v>
      </c>
      <c r="T9" s="32"/>
      <c r="U9" s="32" t="n">
        <v>3</v>
      </c>
      <c r="V9" s="37" t="n">
        <v>3</v>
      </c>
      <c r="W9" s="32" t="n">
        <v>3</v>
      </c>
      <c r="X9" s="34" t="n">
        <v>1</v>
      </c>
      <c r="Y9" s="34" t="n">
        <v>2</v>
      </c>
      <c r="Z9" s="32"/>
      <c r="AA9" s="32" t="s">
        <v>133</v>
      </c>
      <c r="AB9" s="32" t="s">
        <v>134</v>
      </c>
      <c r="AC9" s="38" t="str">
        <f aca="false">HYPERLINK("https://biocodex6--c.vf.force.com/0014L00000KFTtoQAH", "BARRO LECOMTE FRANCOISE")</f>
        <v>BARRO LECOMTE FRANCOISE</v>
      </c>
      <c r="AD9" s="38" t="str">
        <f aca="false">HYPERLINK("https://annuairesante.ameli.fr/professionnels-de-sante/recherche/fiche-detaillee-B7c1lzQ4MjW6.html", "BARRO LECOMTE FRANCOISE")</f>
        <v>BARRO LECOMTE FRANCOISE</v>
      </c>
      <c r="AE9" s="39" t="n">
        <v>45376.4375</v>
      </c>
      <c r="AF9" s="40" t="s">
        <v>135</v>
      </c>
      <c r="AG9" s="41"/>
      <c r="AH9" s="32"/>
      <c r="AI9" s="32" t="s">
        <v>106</v>
      </c>
      <c r="AJ9" s="32"/>
      <c r="AK9" s="32"/>
      <c r="AL9" s="43" t="s">
        <v>136</v>
      </c>
      <c r="AM9" s="43" t="s">
        <v>137</v>
      </c>
      <c r="AN9" s="43" t="s">
        <v>136</v>
      </c>
      <c r="AO9" s="43" t="s">
        <v>137</v>
      </c>
      <c r="AP9" s="43" t="s">
        <v>138</v>
      </c>
      <c r="AQ9" s="43" t="s">
        <v>139</v>
      </c>
      <c r="AR9" s="43" t="s">
        <v>136</v>
      </c>
      <c r="AS9" s="43" t="s">
        <v>137</v>
      </c>
      <c r="AT9" s="43" t="s">
        <v>140</v>
      </c>
      <c r="AU9" s="32"/>
      <c r="XEY9" s="27"/>
      <c r="XEZ9" s="27"/>
      <c r="XFA9" s="27"/>
      <c r="XFB9" s="27"/>
      <c r="XFC9" s="27"/>
      <c r="XFD9" s="27"/>
    </row>
    <row r="10" s="42" customFormat="true" ht="14.15" hidden="false" customHeight="true" outlineLevel="0" collapsed="false">
      <c r="A10" s="28" t="s">
        <v>141</v>
      </c>
      <c r="B10" s="29" t="s">
        <v>142</v>
      </c>
      <c r="C10" s="29" t="s">
        <v>143</v>
      </c>
      <c r="D10" s="30" t="s">
        <v>50</v>
      </c>
      <c r="E10" s="30" t="s">
        <v>112</v>
      </c>
      <c r="F10" s="32" t="n">
        <v>81</v>
      </c>
      <c r="G10" s="31" t="s">
        <v>61</v>
      </c>
      <c r="H10" s="31" t="n">
        <v>1</v>
      </c>
      <c r="I10" s="31" t="s">
        <v>119</v>
      </c>
      <c r="J10" s="29"/>
      <c r="K10" s="29" t="s">
        <v>144</v>
      </c>
      <c r="L10" s="32" t="n">
        <v>19</v>
      </c>
      <c r="M10" s="33" t="s">
        <v>145</v>
      </c>
      <c r="N10" s="34" t="n">
        <v>75007</v>
      </c>
      <c r="O10" s="35" t="s">
        <v>55</v>
      </c>
      <c r="P10" s="36" t="s">
        <v>146</v>
      </c>
      <c r="Q10" s="36" t="n">
        <v>3</v>
      </c>
      <c r="R10" s="32" t="n">
        <v>652</v>
      </c>
      <c r="S10" s="32" t="n">
        <v>30</v>
      </c>
      <c r="T10" s="32"/>
      <c r="U10" s="32" t="n">
        <v>3</v>
      </c>
      <c r="V10" s="37" t="n">
        <v>3</v>
      </c>
      <c r="W10" s="32" t="n">
        <v>3</v>
      </c>
      <c r="X10" s="34" t="n">
        <v>1</v>
      </c>
      <c r="Y10" s="34" t="n">
        <v>1</v>
      </c>
      <c r="Z10" s="32"/>
      <c r="AA10" s="32" t="s">
        <v>147</v>
      </c>
      <c r="AB10" s="32" t="s">
        <v>148</v>
      </c>
      <c r="AC10" s="38" t="str">
        <f aca="false">HYPERLINK("https://biocodex6--c.vf.force.com/0014L00000KFpxKQAT", "MARES MICHEL")</f>
        <v>MARES MICHEL</v>
      </c>
      <c r="AD10" s="38" t="str">
        <f aca="false">HYPERLINK("https://annuairesante.ameli.fr/professionnels-de-sante/recherche/fiche-detaillee-B7c1kTc3MTGy.html", "MARES MICHEL")</f>
        <v>MARES MICHEL</v>
      </c>
      <c r="AE10" s="39" t="n">
        <v>45419.5833333333</v>
      </c>
      <c r="AF10" s="40" t="s">
        <v>149</v>
      </c>
      <c r="AG10" s="41" t="n">
        <v>45398.4375</v>
      </c>
      <c r="AH10" s="32" t="s">
        <v>70</v>
      </c>
      <c r="AI10" s="32" t="s">
        <v>71</v>
      </c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XEY10" s="27"/>
      <c r="XEZ10" s="27"/>
      <c r="XFA10" s="27"/>
      <c r="XFB10" s="27"/>
      <c r="XFC10" s="27"/>
      <c r="XFD10" s="27"/>
    </row>
    <row r="11" s="42" customFormat="true" ht="14.15" hidden="false" customHeight="true" outlineLevel="0" collapsed="false">
      <c r="A11" s="28" t="s">
        <v>150</v>
      </c>
      <c r="B11" s="29" t="s">
        <v>151</v>
      </c>
      <c r="C11" s="29" t="s">
        <v>152</v>
      </c>
      <c r="D11" s="30" t="s">
        <v>50</v>
      </c>
      <c r="E11" s="31"/>
      <c r="F11" s="32" t="n">
        <v>72</v>
      </c>
      <c r="G11" s="31"/>
      <c r="H11" s="31" t="n">
        <v>1</v>
      </c>
      <c r="I11" s="31" t="s">
        <v>99</v>
      </c>
      <c r="J11" s="29"/>
      <c r="K11" s="29" t="s">
        <v>100</v>
      </c>
      <c r="L11" s="32" t="n">
        <v>154</v>
      </c>
      <c r="M11" s="33" t="s">
        <v>101</v>
      </c>
      <c r="N11" s="34" t="n">
        <v>75015</v>
      </c>
      <c r="O11" s="35" t="s">
        <v>55</v>
      </c>
      <c r="P11" s="36" t="s">
        <v>153</v>
      </c>
      <c r="Q11" s="36" t="n">
        <v>2</v>
      </c>
      <c r="R11" s="32" t="n">
        <v>456</v>
      </c>
      <c r="S11" s="32" t="n">
        <v>29</v>
      </c>
      <c r="T11" s="32"/>
      <c r="U11" s="32" t="n">
        <v>3</v>
      </c>
      <c r="V11" s="37"/>
      <c r="W11" s="32" t="n">
        <v>3</v>
      </c>
      <c r="X11" s="34" t="n">
        <v>2</v>
      </c>
      <c r="Y11" s="34" t="n">
        <v>4</v>
      </c>
      <c r="Z11" s="32"/>
      <c r="AA11" s="32" t="s">
        <v>154</v>
      </c>
      <c r="AB11" s="36"/>
      <c r="AC11" s="42" t="str">
        <f aca="false">HYPERLINK("https://biocodex6--c.vf.force.com/0014L00000KFmKJQA1", "LATTES FREDERIC")</f>
        <v>LATTES FREDERIC</v>
      </c>
      <c r="AD11" s="32"/>
      <c r="AE11" s="39" t="n">
        <v>45219.4791666667</v>
      </c>
      <c r="AF11" s="40" t="s">
        <v>155</v>
      </c>
      <c r="AG11" s="41"/>
      <c r="AH11" s="32" t="s">
        <v>156</v>
      </c>
      <c r="AI11" s="32" t="s">
        <v>157</v>
      </c>
      <c r="AL11" s="43" t="s">
        <v>158</v>
      </c>
      <c r="AM11" s="32"/>
      <c r="AN11" s="32"/>
      <c r="AO11" s="32"/>
      <c r="AP11" s="32"/>
      <c r="AQ11" s="32"/>
      <c r="AR11" s="32"/>
      <c r="AS11" s="32"/>
      <c r="AT11" s="32"/>
      <c r="AU11" s="32"/>
      <c r="XEY11" s="27"/>
      <c r="XEZ11" s="27"/>
      <c r="XFA11" s="27"/>
      <c r="XFB11" s="27"/>
      <c r="XFC11" s="27"/>
      <c r="XFD11" s="27"/>
    </row>
    <row r="12" s="42" customFormat="true" ht="14.15" hidden="false" customHeight="true" outlineLevel="0" collapsed="false">
      <c r="A12" s="28" t="s">
        <v>159</v>
      </c>
      <c r="B12" s="29" t="s">
        <v>160</v>
      </c>
      <c r="C12" s="29" t="s">
        <v>161</v>
      </c>
      <c r="D12" s="30" t="s">
        <v>50</v>
      </c>
      <c r="E12" s="31"/>
      <c r="F12" s="32" t="n">
        <v>38</v>
      </c>
      <c r="G12" s="31" t="s">
        <v>98</v>
      </c>
      <c r="H12" s="31" t="n">
        <v>1</v>
      </c>
      <c r="I12" s="31" t="s">
        <v>99</v>
      </c>
      <c r="J12" s="29" t="s">
        <v>162</v>
      </c>
      <c r="K12" s="29" t="s">
        <v>163</v>
      </c>
      <c r="L12" s="32" t="n">
        <v>66</v>
      </c>
      <c r="M12" s="33" t="s">
        <v>164</v>
      </c>
      <c r="N12" s="34" t="n">
        <v>75015</v>
      </c>
      <c r="O12" s="35" t="s">
        <v>55</v>
      </c>
      <c r="P12" s="36" t="s">
        <v>165</v>
      </c>
      <c r="Q12" s="36" t="n">
        <v>5</v>
      </c>
      <c r="R12" s="32" t="n">
        <v>269</v>
      </c>
      <c r="S12" s="32" t="n">
        <v>28</v>
      </c>
      <c r="T12" s="32"/>
      <c r="U12" s="32"/>
      <c r="V12" s="37" t="n">
        <v>3</v>
      </c>
      <c r="W12" s="32"/>
      <c r="X12" s="34" t="n">
        <v>1</v>
      </c>
      <c r="Y12" s="34"/>
      <c r="Z12" s="32"/>
      <c r="AA12" s="32" t="s">
        <v>166</v>
      </c>
      <c r="AB12" s="32" t="s">
        <v>167</v>
      </c>
      <c r="AC12" s="38" t="str">
        <f aca="false">HYPERLINK("https://biocodex6--c.vf.force.com/0014L00000KFPGgQAP", "AZOULAY CAMILLE")</f>
        <v>AZOULAY CAMILLE</v>
      </c>
      <c r="AD12" s="38" t="str">
        <f aca="false">HYPERLINK("https://annuairesante.ameli.fr/professionnels-de-sante/recherche/fiche-detaillee-B7c1kjQ4MDCw.html", "AZOULAY CAMILLE")</f>
        <v>AZOULAY CAMILLE</v>
      </c>
      <c r="AE12" s="39" t="n">
        <v>45124.4791666667</v>
      </c>
      <c r="AF12" s="40"/>
      <c r="AG12" s="41"/>
      <c r="AH12" s="32"/>
      <c r="AI12" s="32" t="s">
        <v>168</v>
      </c>
      <c r="AL12" s="43" t="s">
        <v>169</v>
      </c>
      <c r="AM12" s="43" t="s">
        <v>137</v>
      </c>
      <c r="AN12" s="43" t="s">
        <v>169</v>
      </c>
      <c r="AO12" s="43" t="s">
        <v>137</v>
      </c>
      <c r="AP12" s="43" t="s">
        <v>169</v>
      </c>
      <c r="AQ12" s="43" t="s">
        <v>137</v>
      </c>
      <c r="AR12" s="43" t="s">
        <v>169</v>
      </c>
      <c r="AS12" s="43" t="s">
        <v>137</v>
      </c>
      <c r="AT12" s="43" t="s">
        <v>169</v>
      </c>
      <c r="AU12" s="43" t="s">
        <v>137</v>
      </c>
      <c r="XEY12" s="27"/>
      <c r="XEZ12" s="27"/>
      <c r="XFA12" s="27"/>
      <c r="XFB12" s="27"/>
      <c r="XFC12" s="27"/>
      <c r="XFD12" s="27"/>
    </row>
    <row r="13" s="42" customFormat="true" ht="14.15" hidden="false" customHeight="true" outlineLevel="0" collapsed="false">
      <c r="A13" s="28" t="s">
        <v>159</v>
      </c>
      <c r="B13" s="29" t="s">
        <v>170</v>
      </c>
      <c r="C13" s="29" t="s">
        <v>171</v>
      </c>
      <c r="D13" s="30" t="s">
        <v>172</v>
      </c>
      <c r="E13" s="31"/>
      <c r="F13" s="32" t="n">
        <v>65</v>
      </c>
      <c r="G13" s="31"/>
      <c r="H13" s="31" t="n">
        <v>1</v>
      </c>
      <c r="I13" s="31" t="s">
        <v>173</v>
      </c>
      <c r="J13" s="29"/>
      <c r="K13" s="29" t="s">
        <v>174</v>
      </c>
      <c r="L13" s="32" t="n">
        <v>61</v>
      </c>
      <c r="M13" s="33" t="s">
        <v>175</v>
      </c>
      <c r="N13" s="34" t="n">
        <v>75016</v>
      </c>
      <c r="O13" s="35" t="s">
        <v>55</v>
      </c>
      <c r="P13" s="36" t="s">
        <v>176</v>
      </c>
      <c r="Q13" s="36" t="n">
        <v>1</v>
      </c>
      <c r="R13" s="32" t="n">
        <v>51</v>
      </c>
      <c r="S13" s="32" t="n">
        <v>28</v>
      </c>
      <c r="T13" s="43" t="s">
        <v>177</v>
      </c>
      <c r="U13" s="32" t="n">
        <v>3</v>
      </c>
      <c r="V13" s="37" t="n">
        <v>3</v>
      </c>
      <c r="W13" s="32"/>
      <c r="X13" s="34"/>
      <c r="Y13" s="34"/>
      <c r="Z13" s="36"/>
      <c r="AA13" s="32" t="s">
        <v>178</v>
      </c>
      <c r="AB13" s="32"/>
      <c r="AC13" s="38" t="str">
        <f aca="false">HYPERLINK("https://biocodex6--c.vf.force.com/0014L00000KFRBFQA5", "AZOULAY CAROLE")</f>
        <v>AZOULAY CAROLE</v>
      </c>
      <c r="AD13" s="38"/>
      <c r="AE13" s="39"/>
      <c r="AF13" s="40"/>
      <c r="AG13" s="41"/>
      <c r="AH13" s="32" t="s">
        <v>179</v>
      </c>
      <c r="AI13" s="32" t="s">
        <v>180</v>
      </c>
      <c r="AK13" s="42" t="s">
        <v>181</v>
      </c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XEY13" s="27"/>
      <c r="XEZ13" s="27"/>
      <c r="XFA13" s="27"/>
      <c r="XFB13" s="27"/>
      <c r="XFC13" s="27"/>
      <c r="XFD13" s="27"/>
    </row>
    <row r="14" s="42" customFormat="true" ht="14.15" hidden="false" customHeight="true" outlineLevel="0" collapsed="false">
      <c r="A14" s="28" t="s">
        <v>182</v>
      </c>
      <c r="B14" s="29" t="s">
        <v>183</v>
      </c>
      <c r="C14" s="29" t="s">
        <v>184</v>
      </c>
      <c r="D14" s="30" t="s">
        <v>50</v>
      </c>
      <c r="E14" s="31"/>
      <c r="F14" s="32" t="n">
        <v>74</v>
      </c>
      <c r="G14" s="31" t="s">
        <v>61</v>
      </c>
      <c r="H14" s="31" t="n">
        <v>1</v>
      </c>
      <c r="I14" s="31" t="s">
        <v>99</v>
      </c>
      <c r="J14" s="29"/>
      <c r="K14" s="29" t="s">
        <v>185</v>
      </c>
      <c r="L14" s="32" t="n">
        <v>117</v>
      </c>
      <c r="M14" s="33" t="s">
        <v>186</v>
      </c>
      <c r="N14" s="34" t="n">
        <v>75015</v>
      </c>
      <c r="O14" s="35" t="s">
        <v>55</v>
      </c>
      <c r="P14" s="36" t="s">
        <v>187</v>
      </c>
      <c r="Q14" s="36" t="n">
        <v>1</v>
      </c>
      <c r="R14" s="32" t="n">
        <v>468</v>
      </c>
      <c r="S14" s="32" t="n">
        <v>27</v>
      </c>
      <c r="T14" s="32"/>
      <c r="U14" s="32"/>
      <c r="V14" s="37" t="n">
        <v>3</v>
      </c>
      <c r="W14" s="32"/>
      <c r="X14" s="34" t="n">
        <v>1</v>
      </c>
      <c r="Y14" s="34" t="n">
        <v>3</v>
      </c>
      <c r="Z14" s="32"/>
      <c r="AA14" s="32" t="s">
        <v>188</v>
      </c>
      <c r="AB14" s="42" t="s">
        <v>189</v>
      </c>
      <c r="AC14" s="38" t="str">
        <f aca="false">HYPERLINK("https://biocodex6--c.vf.force.com/0014L00000KFmNVQA1", "LAURENT CHRISTIAN")</f>
        <v>LAURENT CHRISTIAN</v>
      </c>
      <c r="AD14" s="38" t="str">
        <f aca="false">HYPERLINK("https://annuairesante.ameli.fr/professionnels-de-sante/recherche/fiche-detaillee-B7c1kTE4ODCz.html", "LAURENT CHRISTIAN")</f>
        <v>LAURENT CHRISTIAN</v>
      </c>
      <c r="AE14" s="39" t="n">
        <v>45463.4375</v>
      </c>
      <c r="AF14" s="40" t="s">
        <v>190</v>
      </c>
      <c r="AG14" s="41"/>
      <c r="AH14" s="32"/>
      <c r="AI14" s="32" t="s">
        <v>191</v>
      </c>
      <c r="AL14" s="32"/>
      <c r="AM14" s="43" t="s">
        <v>192</v>
      </c>
      <c r="AN14" s="32"/>
      <c r="AO14" s="43" t="s">
        <v>192</v>
      </c>
      <c r="AP14" s="32"/>
      <c r="AQ14" s="43" t="s">
        <v>192</v>
      </c>
      <c r="AR14" s="32"/>
      <c r="AS14" s="43" t="s">
        <v>192</v>
      </c>
      <c r="AT14" s="43" t="s">
        <v>193</v>
      </c>
      <c r="AU14" s="43" t="s">
        <v>192</v>
      </c>
      <c r="XEY14" s="27"/>
      <c r="XEZ14" s="27"/>
      <c r="XFA14" s="27"/>
      <c r="XFB14" s="27"/>
      <c r="XFC14" s="27"/>
      <c r="XFD14" s="27"/>
    </row>
    <row r="15" s="42" customFormat="true" ht="14.15" hidden="false" customHeight="true" outlineLevel="0" collapsed="false">
      <c r="A15" s="28" t="s">
        <v>194</v>
      </c>
      <c r="B15" s="29" t="s">
        <v>195</v>
      </c>
      <c r="C15" s="29" t="s">
        <v>196</v>
      </c>
      <c r="D15" s="30" t="s">
        <v>50</v>
      </c>
      <c r="E15" s="30" t="s">
        <v>76</v>
      </c>
      <c r="F15" s="32" t="n">
        <v>49</v>
      </c>
      <c r="G15" s="31" t="s">
        <v>98</v>
      </c>
      <c r="H15" s="31" t="n">
        <v>1</v>
      </c>
      <c r="I15" s="31" t="s">
        <v>197</v>
      </c>
      <c r="J15" s="29"/>
      <c r="K15" s="29" t="s">
        <v>198</v>
      </c>
      <c r="L15" s="32" t="n">
        <v>22</v>
      </c>
      <c r="M15" s="33" t="s">
        <v>199</v>
      </c>
      <c r="N15" s="34" t="n">
        <v>75017</v>
      </c>
      <c r="O15" s="35" t="s">
        <v>55</v>
      </c>
      <c r="P15" s="36" t="s">
        <v>200</v>
      </c>
      <c r="Q15" s="36" t="n">
        <v>1</v>
      </c>
      <c r="R15" s="32" t="n">
        <v>315</v>
      </c>
      <c r="S15" s="32" t="n">
        <v>27</v>
      </c>
      <c r="T15" s="32"/>
      <c r="U15" s="32" t="n">
        <v>3</v>
      </c>
      <c r="V15" s="37" t="n">
        <v>3</v>
      </c>
      <c r="W15" s="32" t="n">
        <v>3</v>
      </c>
      <c r="X15" s="34" t="n">
        <v>1</v>
      </c>
      <c r="Y15" s="34" t="n">
        <v>2</v>
      </c>
      <c r="Z15" s="32"/>
      <c r="AA15" s="32" t="s">
        <v>201</v>
      </c>
      <c r="AB15" s="32" t="s">
        <v>202</v>
      </c>
      <c r="AC15" s="38" t="str">
        <f aca="false">HYPERLINK("https://biocodex6--c.vf.force.com/0014L00000KFzCkQAL", "ROMAND MONNIER PHILIPPE")</f>
        <v>ROMAND MONNIER PHILIPPE</v>
      </c>
      <c r="AD15" s="38" t="str">
        <f aca="false">HYPERLINK("https://annuairesante.ameli.fr/professionnels-de-sante/recherche/fiche-detaillee-B7c1lDc3MDS1.html", "ROMAND MONNIER PHILIPPE")</f>
        <v>ROMAND MONNIER PHILIPPE</v>
      </c>
      <c r="AE15" s="39" t="n">
        <v>45131.6041666667</v>
      </c>
      <c r="AF15" s="40"/>
      <c r="AG15" s="41" t="s">
        <v>125</v>
      </c>
      <c r="AH15" s="32" t="s">
        <v>70</v>
      </c>
      <c r="AI15" s="32" t="s">
        <v>71</v>
      </c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XEY15" s="27"/>
      <c r="XEZ15" s="27"/>
      <c r="XFA15" s="27"/>
      <c r="XFB15" s="27"/>
      <c r="XFC15" s="27"/>
      <c r="XFD15" s="27"/>
    </row>
    <row r="16" s="42" customFormat="true" ht="14.15" hidden="false" customHeight="true" outlineLevel="0" collapsed="false">
      <c r="A16" s="28" t="s">
        <v>203</v>
      </c>
      <c r="B16" s="29" t="s">
        <v>204</v>
      </c>
      <c r="C16" s="29" t="s">
        <v>205</v>
      </c>
      <c r="D16" s="30" t="s">
        <v>206</v>
      </c>
      <c r="E16" s="31"/>
      <c r="F16" s="32" t="n">
        <v>56</v>
      </c>
      <c r="G16" s="31" t="s">
        <v>98</v>
      </c>
      <c r="H16" s="31" t="n">
        <v>1</v>
      </c>
      <c r="I16" s="31" t="s">
        <v>62</v>
      </c>
      <c r="J16" s="29"/>
      <c r="K16" s="29" t="s">
        <v>207</v>
      </c>
      <c r="L16" s="32" t="n">
        <v>14</v>
      </c>
      <c r="M16" s="33" t="s">
        <v>208</v>
      </c>
      <c r="N16" s="34" t="n">
        <v>75017</v>
      </c>
      <c r="O16" s="35" t="s">
        <v>55</v>
      </c>
      <c r="P16" s="36" t="s">
        <v>209</v>
      </c>
      <c r="Q16" s="36" t="n">
        <v>1</v>
      </c>
      <c r="R16" s="32" t="n">
        <v>268</v>
      </c>
      <c r="S16" s="32" t="n">
        <v>27</v>
      </c>
      <c r="T16" s="32"/>
      <c r="U16" s="32" t="n">
        <v>3</v>
      </c>
      <c r="V16" s="37" t="n">
        <v>3</v>
      </c>
      <c r="W16" s="32" t="n">
        <v>4</v>
      </c>
      <c r="X16" s="34" t="n">
        <v>1</v>
      </c>
      <c r="Y16" s="34" t="n">
        <v>2</v>
      </c>
      <c r="Z16" s="32"/>
      <c r="AA16" s="32" t="s">
        <v>210</v>
      </c>
      <c r="AB16" s="32" t="s">
        <v>211</v>
      </c>
      <c r="AC16" s="38" t="str">
        <f aca="false">HYPERLINK("https://biocodex6--c.vf.force.com/0014L00000KFyLoQAL", "REGENSBERG DE ANDREIS NATHALIE")</f>
        <v>REGENSBERG DE ANDREIS NATHALIE</v>
      </c>
      <c r="AD16" s="38" t="str">
        <f aca="false">HYPERLINK("https://annuairesante.ameli.fr/professionnels-de-sante/recherche/fiche-detaillee-B7c1lDI2MDW6.html", "REGENSBERG DE ANDREIS NATHALIE")</f>
        <v>REGENSBERG DE ANDREIS NATHALIE</v>
      </c>
      <c r="AE16" s="39" t="n">
        <v>45111.6458333333</v>
      </c>
      <c r="AF16" s="40"/>
      <c r="AG16" s="41"/>
      <c r="AH16" s="32"/>
      <c r="AI16" s="32" t="s">
        <v>71</v>
      </c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XEY16" s="27"/>
      <c r="XEZ16" s="27"/>
      <c r="XFA16" s="27"/>
      <c r="XFB16" s="27"/>
      <c r="XFC16" s="27"/>
      <c r="XFD16" s="27"/>
    </row>
    <row r="17" s="42" customFormat="true" ht="14.15" hidden="false" customHeight="true" outlineLevel="0" collapsed="false">
      <c r="A17" s="28" t="s">
        <v>212</v>
      </c>
      <c r="B17" s="29" t="s">
        <v>213</v>
      </c>
      <c r="C17" s="29" t="s">
        <v>214</v>
      </c>
      <c r="D17" s="30" t="s">
        <v>75</v>
      </c>
      <c r="E17" s="31"/>
      <c r="F17" s="32" t="n">
        <v>63</v>
      </c>
      <c r="G17" s="31" t="s">
        <v>215</v>
      </c>
      <c r="H17" s="31" t="n">
        <v>4</v>
      </c>
      <c r="I17" s="31" t="s">
        <v>77</v>
      </c>
      <c r="J17" s="29" t="s">
        <v>78</v>
      </c>
      <c r="K17" s="29" t="s">
        <v>79</v>
      </c>
      <c r="L17" s="32" t="n">
        <v>26</v>
      </c>
      <c r="M17" s="33" t="s">
        <v>80</v>
      </c>
      <c r="N17" s="34" t="n">
        <v>92200</v>
      </c>
      <c r="O17" s="35" t="s">
        <v>81</v>
      </c>
      <c r="P17" s="36" t="s">
        <v>216</v>
      </c>
      <c r="Q17" s="36" t="n">
        <v>10</v>
      </c>
      <c r="R17" s="32" t="n">
        <v>260</v>
      </c>
      <c r="S17" s="32" t="n">
        <v>27</v>
      </c>
      <c r="T17" s="32"/>
      <c r="U17" s="32"/>
      <c r="V17" s="37" t="n">
        <v>2</v>
      </c>
      <c r="W17" s="32"/>
      <c r="X17" s="34"/>
      <c r="Y17" s="34"/>
      <c r="Z17" s="32"/>
      <c r="AA17" s="32" t="s">
        <v>217</v>
      </c>
      <c r="AB17" s="32" t="s">
        <v>218</v>
      </c>
      <c r="AC17" s="38" t="str">
        <f aca="false">HYPERLINK("https://biocodex6--c.vf.force.com/0014L00000KFUGlQAP", "BOUHNIK YORAM")</f>
        <v>BOUHNIK YORAM</v>
      </c>
      <c r="AD17" s="38" t="str">
        <f aca="false">HYPERLINK("https://annuairesante.ameli.fr/professionnels-de-sante/recherche/fiche-detaillee-CbA1lTM5MTW1.html", "BOUHNIK YORAM")</f>
        <v>BOUHNIK YORAM</v>
      </c>
      <c r="AE17" s="39"/>
      <c r="AF17" s="40"/>
      <c r="AG17" s="41"/>
      <c r="AH17" s="32"/>
      <c r="AI17" s="32"/>
      <c r="AJ17" s="42" t="s">
        <v>219</v>
      </c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XEY17" s="27"/>
      <c r="XEZ17" s="27"/>
      <c r="XFA17" s="27"/>
      <c r="XFB17" s="27"/>
      <c r="XFC17" s="27"/>
      <c r="XFD17" s="27"/>
    </row>
    <row r="18" s="42" customFormat="true" ht="14.15" hidden="false" customHeight="true" outlineLevel="0" collapsed="false">
      <c r="A18" s="28" t="s">
        <v>220</v>
      </c>
      <c r="B18" s="29" t="s">
        <v>221</v>
      </c>
      <c r="C18" s="29" t="s">
        <v>222</v>
      </c>
      <c r="D18" s="30" t="s">
        <v>50</v>
      </c>
      <c r="E18" s="31"/>
      <c r="F18" s="32" t="n">
        <v>63</v>
      </c>
      <c r="G18" s="31" t="s">
        <v>98</v>
      </c>
      <c r="H18" s="31" t="n">
        <v>2</v>
      </c>
      <c r="I18" s="31" t="s">
        <v>99</v>
      </c>
      <c r="J18" s="29"/>
      <c r="K18" s="29" t="s">
        <v>223</v>
      </c>
      <c r="L18" s="32" t="n">
        <v>17</v>
      </c>
      <c r="M18" s="33" t="s">
        <v>224</v>
      </c>
      <c r="N18" s="34" t="n">
        <v>75015</v>
      </c>
      <c r="O18" s="35" t="s">
        <v>55</v>
      </c>
      <c r="P18" s="36" t="s">
        <v>225</v>
      </c>
      <c r="Q18" s="36" t="n">
        <v>2</v>
      </c>
      <c r="R18" s="32" t="n">
        <v>441</v>
      </c>
      <c r="S18" s="32" t="n">
        <v>26</v>
      </c>
      <c r="T18" s="32"/>
      <c r="U18" s="32" t="n">
        <v>3</v>
      </c>
      <c r="V18" s="37" t="n">
        <v>3</v>
      </c>
      <c r="W18" s="32" t="n">
        <v>3</v>
      </c>
      <c r="X18" s="34" t="n">
        <v>2</v>
      </c>
      <c r="Y18" s="34" t="n">
        <v>4</v>
      </c>
      <c r="Z18" s="32"/>
      <c r="AA18" s="32" t="s">
        <v>226</v>
      </c>
      <c r="AB18" s="32" t="s">
        <v>227</v>
      </c>
      <c r="AC18" s="42" t="str">
        <f aca="false">HYPERLINK("https://biocodex6--c.vf.force.com/0014L00000KFhsjQAD", "GUYON BENOIT")</f>
        <v>GUYON BENOIT</v>
      </c>
      <c r="AD18" s="32" t="str">
        <f aca="false">HYPERLINK("https://annuairesante.ameli.fr/professionnels-de-sante/recherche/fiche-detaillee-B7c1lzswNjC7.html", "GUYON BENOIT")</f>
        <v>GUYON BENOIT</v>
      </c>
      <c r="AE18" s="39" t="n">
        <v>45426.5</v>
      </c>
      <c r="AF18" s="40" t="s">
        <v>228</v>
      </c>
      <c r="AG18" s="41" t="s">
        <v>69</v>
      </c>
      <c r="AH18" s="32" t="s">
        <v>70</v>
      </c>
      <c r="AI18" s="32" t="s">
        <v>106</v>
      </c>
      <c r="AJ18" s="32"/>
      <c r="AK18" s="32"/>
      <c r="AL18" s="43" t="s">
        <v>229</v>
      </c>
      <c r="AM18" s="32"/>
      <c r="AN18" s="43" t="s">
        <v>229</v>
      </c>
      <c r="AO18" s="32"/>
      <c r="AP18" s="43" t="s">
        <v>229</v>
      </c>
      <c r="AQ18" s="32"/>
      <c r="AR18" s="43" t="s">
        <v>229</v>
      </c>
      <c r="AS18" s="32"/>
      <c r="AT18" s="43" t="s">
        <v>229</v>
      </c>
      <c r="AU18" s="32"/>
      <c r="XEY18" s="27"/>
      <c r="XEZ18" s="27"/>
      <c r="XFA18" s="27"/>
      <c r="XFB18" s="27"/>
      <c r="XFC18" s="27"/>
      <c r="XFD18" s="27"/>
    </row>
    <row r="19" s="42" customFormat="true" ht="14.15" hidden="false" customHeight="true" outlineLevel="0" collapsed="false">
      <c r="A19" s="28" t="s">
        <v>230</v>
      </c>
      <c r="B19" s="29" t="s">
        <v>231</v>
      </c>
      <c r="C19" s="29" t="s">
        <v>232</v>
      </c>
      <c r="D19" s="30" t="s">
        <v>50</v>
      </c>
      <c r="E19" s="31"/>
      <c r="F19" s="32"/>
      <c r="G19" s="31" t="s">
        <v>98</v>
      </c>
      <c r="H19" s="31" t="n">
        <v>2</v>
      </c>
      <c r="I19" s="31" t="s">
        <v>233</v>
      </c>
      <c r="J19" s="29" t="s">
        <v>234</v>
      </c>
      <c r="K19" s="29" t="s">
        <v>235</v>
      </c>
      <c r="L19" s="32" t="n">
        <v>223</v>
      </c>
      <c r="M19" s="33" t="s">
        <v>236</v>
      </c>
      <c r="N19" s="34" t="n">
        <v>75015</v>
      </c>
      <c r="O19" s="35" t="s">
        <v>55</v>
      </c>
      <c r="P19" s="36" t="s">
        <v>237</v>
      </c>
      <c r="Q19" s="36" t="n">
        <v>7</v>
      </c>
      <c r="R19" s="32" t="n">
        <v>428</v>
      </c>
      <c r="S19" s="32" t="n">
        <v>26</v>
      </c>
      <c r="T19" s="32"/>
      <c r="U19" s="32"/>
      <c r="V19" s="37"/>
      <c r="W19" s="32"/>
      <c r="X19" s="34"/>
      <c r="Y19" s="34"/>
      <c r="Z19" s="32"/>
      <c r="AA19" s="32" t="s">
        <v>238</v>
      </c>
      <c r="AB19" s="32" t="s">
        <v>239</v>
      </c>
      <c r="AC19" s="38" t="str">
        <f aca="false">HYPERLINK("https://biocodex6--c.vf.force.com/0014L00000KG9wtQAD", "GUYOT ANNE")</f>
        <v>GUYOT ANNE</v>
      </c>
      <c r="AD19" s="38" t="str">
        <f aca="false">HYPERLINK("https://annuairesante.ameli.fr/professionnels-de-sante/recherche/fiche-detaillee-B7c1kzExNjC0.html", "GUYOT ANNE")</f>
        <v>GUYOT ANNE</v>
      </c>
      <c r="AE19" s="39" t="n">
        <v>45247.4375</v>
      </c>
      <c r="AF19" s="40"/>
      <c r="AG19" s="41"/>
      <c r="AH19" s="32"/>
      <c r="AI19" s="32"/>
      <c r="AL19" s="43" t="s">
        <v>240</v>
      </c>
      <c r="AM19" s="32"/>
      <c r="AN19" s="43" t="s">
        <v>240</v>
      </c>
      <c r="AO19" s="32"/>
      <c r="AP19" s="43" t="s">
        <v>240</v>
      </c>
      <c r="AQ19" s="32"/>
      <c r="AR19" s="43" t="s">
        <v>240</v>
      </c>
      <c r="AS19" s="32"/>
      <c r="AT19" s="43" t="s">
        <v>240</v>
      </c>
      <c r="AU19" s="32"/>
      <c r="XEY19" s="27"/>
      <c r="XEZ19" s="27"/>
      <c r="XFA19" s="27"/>
      <c r="XFB19" s="27"/>
      <c r="XFC19" s="27"/>
      <c r="XFD19" s="27"/>
    </row>
    <row r="20" s="42" customFormat="true" ht="14.15" hidden="false" customHeight="true" outlineLevel="0" collapsed="false">
      <c r="A20" s="28" t="s">
        <v>241</v>
      </c>
      <c r="B20" s="29" t="s">
        <v>242</v>
      </c>
      <c r="C20" s="29" t="s">
        <v>243</v>
      </c>
      <c r="D20" s="30" t="s">
        <v>244</v>
      </c>
      <c r="E20" s="30" t="s">
        <v>245</v>
      </c>
      <c r="F20" s="32" t="n">
        <v>65</v>
      </c>
      <c r="G20" s="31"/>
      <c r="H20" s="31" t="n">
        <v>4</v>
      </c>
      <c r="I20" s="31" t="s">
        <v>77</v>
      </c>
      <c r="J20" s="29" t="s">
        <v>246</v>
      </c>
      <c r="K20" s="29" t="s">
        <v>247</v>
      </c>
      <c r="L20" s="32" t="n">
        <v>36</v>
      </c>
      <c r="M20" s="33" t="s">
        <v>248</v>
      </c>
      <c r="N20" s="34" t="n">
        <v>92200</v>
      </c>
      <c r="O20" s="35" t="s">
        <v>81</v>
      </c>
      <c r="P20" s="36"/>
      <c r="Q20" s="36" t="n">
        <v>49</v>
      </c>
      <c r="R20" s="32" t="n">
        <v>124</v>
      </c>
      <c r="S20" s="32" t="n">
        <v>26</v>
      </c>
      <c r="T20" s="32"/>
      <c r="U20" s="32"/>
      <c r="V20" s="37"/>
      <c r="W20" s="32" t="n">
        <v>3</v>
      </c>
      <c r="X20" s="34" t="n">
        <v>1</v>
      </c>
      <c r="Y20" s="34" t="n">
        <v>1</v>
      </c>
      <c r="Z20" s="32"/>
      <c r="AA20" s="32" t="s">
        <v>249</v>
      </c>
      <c r="AB20" s="32"/>
      <c r="AC20" s="38" t="str">
        <f aca="false">HYPERLINK("https://biocodex6--c.vf.force.com/0014L00000KFe65QAD", "FOMMARTY JEROME")</f>
        <v>FOMMARTY JEROME</v>
      </c>
      <c r="AD20" s="38"/>
      <c r="AE20" s="39" t="n">
        <v>45316.3958333333</v>
      </c>
      <c r="AF20" s="40" t="s">
        <v>250</v>
      </c>
      <c r="AG20" s="41" t="s">
        <v>69</v>
      </c>
      <c r="AH20" s="32" t="s">
        <v>70</v>
      </c>
      <c r="AI20" s="32" t="s">
        <v>106</v>
      </c>
      <c r="AJ20" s="32"/>
      <c r="AK20" s="32"/>
      <c r="AL20" s="43" t="s">
        <v>251</v>
      </c>
      <c r="AM20" s="43" t="s">
        <v>251</v>
      </c>
      <c r="AN20" s="32"/>
      <c r="AO20" s="32"/>
      <c r="AP20" s="43" t="s">
        <v>251</v>
      </c>
      <c r="AQ20" s="43" t="s">
        <v>251</v>
      </c>
      <c r="AR20" s="32"/>
      <c r="AS20" s="32"/>
      <c r="AT20" s="32"/>
      <c r="AU20" s="32"/>
      <c r="XEY20" s="27"/>
      <c r="XEZ20" s="27"/>
      <c r="XFA20" s="27"/>
      <c r="XFB20" s="27"/>
      <c r="XFC20" s="27"/>
      <c r="XFD20" s="27"/>
    </row>
    <row r="21" s="42" customFormat="true" ht="14.15" hidden="false" customHeight="true" outlineLevel="0" collapsed="false">
      <c r="A21" s="28" t="s">
        <v>252</v>
      </c>
      <c r="B21" s="29" t="s">
        <v>253</v>
      </c>
      <c r="C21" s="29" t="s">
        <v>254</v>
      </c>
      <c r="D21" s="30" t="s">
        <v>50</v>
      </c>
      <c r="E21" s="30" t="s">
        <v>255</v>
      </c>
      <c r="F21" s="32" t="n">
        <v>65</v>
      </c>
      <c r="G21" s="31" t="s">
        <v>98</v>
      </c>
      <c r="H21" s="31" t="n">
        <v>1</v>
      </c>
      <c r="I21" s="31" t="s">
        <v>99</v>
      </c>
      <c r="J21" s="29"/>
      <c r="K21" s="29" t="s">
        <v>256</v>
      </c>
      <c r="L21" s="32" t="n">
        <v>341</v>
      </c>
      <c r="M21" s="33" t="s">
        <v>236</v>
      </c>
      <c r="N21" s="34" t="n">
        <v>75015</v>
      </c>
      <c r="O21" s="35" t="s">
        <v>55</v>
      </c>
      <c r="P21" s="36" t="s">
        <v>257</v>
      </c>
      <c r="Q21" s="36" t="n">
        <v>1</v>
      </c>
      <c r="R21" s="32" t="n">
        <v>527</v>
      </c>
      <c r="S21" s="32" t="n">
        <v>25</v>
      </c>
      <c r="T21" s="32"/>
      <c r="U21" s="32" t="n">
        <v>3</v>
      </c>
      <c r="V21" s="37" t="n">
        <v>3</v>
      </c>
      <c r="W21" s="32" t="n">
        <v>3</v>
      </c>
      <c r="X21" s="34" t="n">
        <v>1</v>
      </c>
      <c r="Y21" s="34" t="n">
        <v>2</v>
      </c>
      <c r="Z21" s="32"/>
      <c r="AA21" s="32" t="s">
        <v>258</v>
      </c>
      <c r="AB21" s="32" t="s">
        <v>259</v>
      </c>
      <c r="AC21" s="38" t="str">
        <f aca="false">HYPERLINK("https://biocodex6--c.vf.force.com/0014L00000KFxJIQA1", "POREE ANNICK")</f>
        <v>POREE ANNICK</v>
      </c>
      <c r="AD21" s="38" t="str">
        <f aca="false">HYPERLINK("https://annuairesante.ameli.fr/professionnels-de-sante/recherche/fiche-detaillee-B7c1lzI5Nza6.html", "POREE ANNICK")</f>
        <v>POREE ANNICK</v>
      </c>
      <c r="AE21" s="39" t="n">
        <v>45463.6666666667</v>
      </c>
      <c r="AF21" s="40" t="s">
        <v>260</v>
      </c>
      <c r="AG21" s="41" t="s">
        <v>125</v>
      </c>
      <c r="AH21" s="32" t="s">
        <v>70</v>
      </c>
      <c r="AI21" s="32" t="s">
        <v>71</v>
      </c>
      <c r="AK21" s="32"/>
      <c r="AL21" s="43" t="s">
        <v>261</v>
      </c>
      <c r="AM21" s="43" t="s">
        <v>262</v>
      </c>
      <c r="AN21" s="43" t="s">
        <v>263</v>
      </c>
      <c r="AO21" s="43" t="s">
        <v>264</v>
      </c>
      <c r="AP21" s="43" t="s">
        <v>261</v>
      </c>
      <c r="AQ21" s="43" t="s">
        <v>262</v>
      </c>
      <c r="AR21" s="43" t="s">
        <v>263</v>
      </c>
      <c r="AS21" s="43" t="s">
        <v>262</v>
      </c>
      <c r="AT21" s="43" t="s">
        <v>263</v>
      </c>
      <c r="AU21" s="43" t="s">
        <v>262</v>
      </c>
      <c r="XEY21" s="27"/>
      <c r="XEZ21" s="27"/>
      <c r="XFA21" s="27"/>
      <c r="XFB21" s="27"/>
      <c r="XFC21" s="27"/>
      <c r="XFD21" s="27"/>
    </row>
    <row r="22" s="42" customFormat="true" ht="14.15" hidden="false" customHeight="true" outlineLevel="0" collapsed="false">
      <c r="A22" s="28" t="s">
        <v>265</v>
      </c>
      <c r="B22" s="29" t="s">
        <v>266</v>
      </c>
      <c r="C22" s="29" t="s">
        <v>267</v>
      </c>
      <c r="D22" s="30" t="s">
        <v>268</v>
      </c>
      <c r="E22" s="31"/>
      <c r="F22" s="32" t="n">
        <v>0</v>
      </c>
      <c r="G22" s="31"/>
      <c r="H22" s="31" t="n">
        <v>1</v>
      </c>
      <c r="I22" s="31" t="s">
        <v>51</v>
      </c>
      <c r="J22" s="29" t="s">
        <v>52</v>
      </c>
      <c r="K22" s="29" t="s">
        <v>53</v>
      </c>
      <c r="L22" s="32" t="n">
        <v>149</v>
      </c>
      <c r="M22" s="33" t="s">
        <v>54</v>
      </c>
      <c r="N22" s="34" t="n">
        <v>75015</v>
      </c>
      <c r="O22" s="35" t="s">
        <v>55</v>
      </c>
      <c r="P22" s="36" t="s">
        <v>269</v>
      </c>
      <c r="Q22" s="36" t="n">
        <v>236</v>
      </c>
      <c r="R22" s="32" t="n">
        <v>400</v>
      </c>
      <c r="S22" s="32" t="n">
        <v>25</v>
      </c>
      <c r="T22" s="32"/>
      <c r="U22" s="32"/>
      <c r="V22" s="37"/>
      <c r="W22" s="32"/>
      <c r="X22" s="34"/>
      <c r="Y22" s="34"/>
      <c r="Z22" s="32"/>
      <c r="AA22" s="32" t="s">
        <v>270</v>
      </c>
      <c r="AB22" s="32"/>
      <c r="AC22" s="38" t="str">
        <f aca="false">HYPERLINK("https://biocodex6--c.vf.force.com/0014L00000bOm3PQAS", "CAVALLIN MARIN")</f>
        <v>CAVALLIN MARIN</v>
      </c>
      <c r="AD22" s="38"/>
      <c r="AE22" s="39"/>
      <c r="AF22" s="40"/>
      <c r="AG22" s="41"/>
      <c r="AH22" s="32"/>
      <c r="AI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XEY22" s="27"/>
      <c r="XEZ22" s="27"/>
      <c r="XFA22" s="27"/>
      <c r="XFB22" s="27"/>
      <c r="XFC22" s="27"/>
      <c r="XFD22" s="27"/>
    </row>
    <row r="23" s="42" customFormat="true" ht="14.15" hidden="false" customHeight="true" outlineLevel="0" collapsed="false">
      <c r="A23" s="28" t="s">
        <v>271</v>
      </c>
      <c r="B23" s="29" t="s">
        <v>142</v>
      </c>
      <c r="C23" s="29" t="s">
        <v>272</v>
      </c>
      <c r="D23" s="30" t="s">
        <v>50</v>
      </c>
      <c r="E23" s="31"/>
      <c r="F23" s="32" t="n">
        <v>66</v>
      </c>
      <c r="G23" s="31" t="s">
        <v>98</v>
      </c>
      <c r="H23" s="31" t="n">
        <v>1</v>
      </c>
      <c r="I23" s="31" t="s">
        <v>62</v>
      </c>
      <c r="J23" s="29"/>
      <c r="K23" s="29" t="s">
        <v>273</v>
      </c>
      <c r="L23" s="32" t="n">
        <v>131</v>
      </c>
      <c r="M23" s="33" t="s">
        <v>274</v>
      </c>
      <c r="N23" s="34" t="n">
        <v>75017</v>
      </c>
      <c r="O23" s="35" t="s">
        <v>55</v>
      </c>
      <c r="P23" s="36" t="s">
        <v>275</v>
      </c>
      <c r="Q23" s="36" t="n">
        <v>1</v>
      </c>
      <c r="R23" s="32" t="n">
        <v>314</v>
      </c>
      <c r="S23" s="32" t="n">
        <v>25</v>
      </c>
      <c r="T23" s="32"/>
      <c r="U23" s="32"/>
      <c r="V23" s="37" t="n">
        <v>3</v>
      </c>
      <c r="W23" s="32"/>
      <c r="X23" s="34"/>
      <c r="Y23" s="34"/>
      <c r="Z23" s="32"/>
      <c r="AA23" s="32" t="s">
        <v>276</v>
      </c>
      <c r="AB23" s="32" t="s">
        <v>277</v>
      </c>
      <c r="AC23" s="38" t="str">
        <f aca="false">HYPERLINK("https://biocodex6--c.vf.force.com/0014L00000KFQtJQAX", "AMZALLAG MICHEL")</f>
        <v>AMZALLAG MICHEL</v>
      </c>
      <c r="AD23" s="38" t="str">
        <f aca="false">HYPERLINK("https://annuairesante.ameli.fr/professionnels-de-sante/recherche/fiche-detaillee-B7c1lzsxMzC2.html", "AMZALLAG MICHEL")</f>
        <v>AMZALLAG MICHEL</v>
      </c>
      <c r="AE23" s="39" t="n">
        <v>45463.5208333333</v>
      </c>
      <c r="AF23" s="40" t="s">
        <v>278</v>
      </c>
      <c r="AG23" s="41" t="s">
        <v>69</v>
      </c>
      <c r="AH23" s="32" t="s">
        <v>70</v>
      </c>
      <c r="AI23" s="32" t="s">
        <v>106</v>
      </c>
      <c r="AJ23" s="32"/>
      <c r="AK23" s="32"/>
      <c r="AL23" s="43" t="s">
        <v>279</v>
      </c>
      <c r="AM23" s="43" t="s">
        <v>280</v>
      </c>
      <c r="AN23" s="43" t="s">
        <v>279</v>
      </c>
      <c r="AO23" s="43" t="s">
        <v>280</v>
      </c>
      <c r="AP23" s="43" t="s">
        <v>279</v>
      </c>
      <c r="AQ23" s="43" t="s">
        <v>280</v>
      </c>
      <c r="AR23" s="43" t="s">
        <v>281</v>
      </c>
      <c r="AS23" s="43" t="s">
        <v>282</v>
      </c>
      <c r="AT23" s="43" t="s">
        <v>279</v>
      </c>
      <c r="AU23" s="43" t="s">
        <v>280</v>
      </c>
      <c r="XEY23" s="27"/>
      <c r="XEZ23" s="27"/>
      <c r="XFA23" s="27"/>
      <c r="XFB23" s="27"/>
      <c r="XFC23" s="27"/>
      <c r="XFD23" s="27"/>
    </row>
    <row r="24" s="42" customFormat="true" ht="14.15" hidden="false" customHeight="true" outlineLevel="0" collapsed="false">
      <c r="A24" s="28" t="s">
        <v>283</v>
      </c>
      <c r="B24" s="29" t="s">
        <v>284</v>
      </c>
      <c r="C24" s="29" t="s">
        <v>285</v>
      </c>
      <c r="D24" s="30" t="s">
        <v>50</v>
      </c>
      <c r="E24" s="31"/>
      <c r="F24" s="32" t="n">
        <v>59</v>
      </c>
      <c r="G24" s="31"/>
      <c r="H24" s="31" t="n">
        <v>1</v>
      </c>
      <c r="I24" s="31" t="s">
        <v>51</v>
      </c>
      <c r="J24" s="29" t="s">
        <v>286</v>
      </c>
      <c r="K24" s="29" t="s">
        <v>287</v>
      </c>
      <c r="L24" s="32" t="n">
        <v>12</v>
      </c>
      <c r="M24" s="33" t="s">
        <v>288</v>
      </c>
      <c r="N24" s="34" t="n">
        <v>75015</v>
      </c>
      <c r="O24" s="35" t="s">
        <v>55</v>
      </c>
      <c r="P24" s="36" t="s">
        <v>289</v>
      </c>
      <c r="Q24" s="36" t="n">
        <v>14</v>
      </c>
      <c r="R24" s="32" t="n">
        <v>250</v>
      </c>
      <c r="S24" s="32" t="n">
        <v>25</v>
      </c>
      <c r="T24" s="32"/>
      <c r="U24" s="32" t="n">
        <v>3</v>
      </c>
      <c r="V24" s="37" t="n">
        <v>3</v>
      </c>
      <c r="W24" s="32" t="n">
        <v>3</v>
      </c>
      <c r="X24" s="34" t="n">
        <v>1</v>
      </c>
      <c r="Y24" s="34" t="n">
        <v>3</v>
      </c>
      <c r="Z24" s="32"/>
      <c r="AA24" s="32" t="s">
        <v>290</v>
      </c>
      <c r="AB24" s="32"/>
      <c r="AC24" s="38" t="str">
        <f aca="false">HYPERLINK("https://biocodex6--c.vf.force.com/0014L00000KFSmkQAH", "BESNAINOU BOTBOL KAREN")</f>
        <v>BESNAINOU BOTBOL KAREN</v>
      </c>
      <c r="AD24" s="38"/>
      <c r="AE24" s="39" t="n">
        <v>45426.625</v>
      </c>
      <c r="AF24" s="40" t="s">
        <v>291</v>
      </c>
      <c r="AG24" s="41"/>
      <c r="AH24" s="32"/>
      <c r="AI24" s="32" t="s">
        <v>106</v>
      </c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XEY24" s="27"/>
      <c r="XEZ24" s="27"/>
      <c r="XFA24" s="27"/>
      <c r="XFB24" s="27"/>
      <c r="XFC24" s="27"/>
      <c r="XFD24" s="27"/>
    </row>
    <row r="25" s="42" customFormat="true" ht="14.15" hidden="false" customHeight="true" outlineLevel="0" collapsed="false">
      <c r="A25" s="28" t="s">
        <v>292</v>
      </c>
      <c r="B25" s="29" t="s">
        <v>293</v>
      </c>
      <c r="C25" s="29" t="s">
        <v>294</v>
      </c>
      <c r="D25" s="30" t="s">
        <v>206</v>
      </c>
      <c r="E25" s="30" t="s">
        <v>244</v>
      </c>
      <c r="F25" s="32" t="n">
        <v>49</v>
      </c>
      <c r="G25" s="31"/>
      <c r="H25" s="31" t="n">
        <v>1</v>
      </c>
      <c r="I25" s="31" t="s">
        <v>295</v>
      </c>
      <c r="J25" s="29"/>
      <c r="K25" s="29" t="s">
        <v>296</v>
      </c>
      <c r="L25" s="32" t="n">
        <v>29</v>
      </c>
      <c r="M25" s="33" t="s">
        <v>297</v>
      </c>
      <c r="N25" s="34" t="n">
        <v>92300</v>
      </c>
      <c r="O25" s="35" t="s">
        <v>298</v>
      </c>
      <c r="P25" s="36" t="s">
        <v>299</v>
      </c>
      <c r="Q25" s="36" t="n">
        <v>2</v>
      </c>
      <c r="R25" s="32" t="n">
        <v>224</v>
      </c>
      <c r="S25" s="32" t="n">
        <v>25</v>
      </c>
      <c r="T25" s="32"/>
      <c r="U25" s="32" t="n">
        <v>3</v>
      </c>
      <c r="V25" s="37" t="n">
        <v>3</v>
      </c>
      <c r="W25" s="32" t="n">
        <v>4</v>
      </c>
      <c r="X25" s="34" t="n">
        <v>1</v>
      </c>
      <c r="Y25" s="34" t="n">
        <v>2</v>
      </c>
      <c r="Z25" s="32" t="s">
        <v>300</v>
      </c>
      <c r="AA25" s="32" t="s">
        <v>301</v>
      </c>
      <c r="AB25" s="32"/>
      <c r="AC25" s="38" t="str">
        <f aca="false">HYPERLINK("https://biocodex6--c.vf.force.com/0014L00000KFjx9QAD", "CAUCHON RAULT MARIE EVE")</f>
        <v>CAUCHON RAULT MARIE EVE</v>
      </c>
      <c r="AD25" s="38"/>
      <c r="AE25" s="39" t="n">
        <v>45322.4166666667</v>
      </c>
      <c r="AF25" s="40" t="s">
        <v>302</v>
      </c>
      <c r="AG25" s="41" t="n">
        <v>45322</v>
      </c>
      <c r="AH25" s="32"/>
      <c r="AI25" s="32" t="s">
        <v>71</v>
      </c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XEY25" s="27"/>
      <c r="XEZ25" s="27"/>
      <c r="XFA25" s="27"/>
      <c r="XFB25" s="27"/>
      <c r="XFC25" s="27"/>
      <c r="XFD25" s="27"/>
    </row>
    <row r="26" s="42" customFormat="true" ht="14.15" hidden="false" customHeight="true" outlineLevel="0" collapsed="false">
      <c r="A26" s="28" t="s">
        <v>303</v>
      </c>
      <c r="B26" s="29" t="s">
        <v>304</v>
      </c>
      <c r="C26" s="29" t="s">
        <v>305</v>
      </c>
      <c r="D26" s="30" t="s">
        <v>50</v>
      </c>
      <c r="E26" s="30" t="s">
        <v>244</v>
      </c>
      <c r="F26" s="32" t="n">
        <v>36</v>
      </c>
      <c r="G26" s="31" t="s">
        <v>98</v>
      </c>
      <c r="H26" s="31" t="n">
        <v>1</v>
      </c>
      <c r="I26" s="31" t="s">
        <v>99</v>
      </c>
      <c r="J26" s="29" t="s">
        <v>162</v>
      </c>
      <c r="K26" s="29" t="s">
        <v>163</v>
      </c>
      <c r="L26" s="32" t="n">
        <v>66</v>
      </c>
      <c r="M26" s="33" t="s">
        <v>164</v>
      </c>
      <c r="N26" s="34" t="n">
        <v>75015</v>
      </c>
      <c r="O26" s="35" t="s">
        <v>55</v>
      </c>
      <c r="P26" s="36" t="s">
        <v>306</v>
      </c>
      <c r="Q26" s="36" t="n">
        <v>5</v>
      </c>
      <c r="R26" s="32" t="n">
        <v>206</v>
      </c>
      <c r="S26" s="32" t="n">
        <v>25</v>
      </c>
      <c r="T26" s="32"/>
      <c r="U26" s="32"/>
      <c r="V26" s="37" t="n">
        <v>3</v>
      </c>
      <c r="W26" s="32"/>
      <c r="X26" s="34" t="n">
        <v>1</v>
      </c>
      <c r="Y26" s="34"/>
      <c r="Z26" s="32"/>
      <c r="AA26" s="32" t="s">
        <v>307</v>
      </c>
      <c r="AB26" s="32" t="s">
        <v>308</v>
      </c>
      <c r="AC26" s="38" t="str">
        <f aca="false">HYPERLINK("https://biocodex6--c.vf.force.com/0014L00000KG9YrQAL", "MEGHIRA SANDRINE")</f>
        <v>MEGHIRA SANDRINE</v>
      </c>
      <c r="AD26" s="38" t="str">
        <f aca="false">HYPERLINK("https://annuairesante.ameli.fr/professionnels-de-sante/recherche/fiche-detaillee-B7c1kjU0NTqz.html", "MEGHIRA SANDRINE")</f>
        <v>MEGHIRA SANDRINE</v>
      </c>
      <c r="AE26" s="39" t="n">
        <v>45463.6041666667</v>
      </c>
      <c r="AF26" s="40" t="s">
        <v>309</v>
      </c>
      <c r="AG26" s="41"/>
      <c r="AH26" s="32"/>
      <c r="AI26" s="32" t="s">
        <v>310</v>
      </c>
      <c r="AJ26" s="42" t="s">
        <v>180</v>
      </c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XEY26" s="27"/>
      <c r="XEZ26" s="27"/>
      <c r="XFA26" s="27"/>
      <c r="XFB26" s="27"/>
      <c r="XFC26" s="27"/>
      <c r="XFD26" s="27"/>
    </row>
    <row r="27" s="42" customFormat="true" ht="14.15" hidden="false" customHeight="true" outlineLevel="0" collapsed="false">
      <c r="A27" s="28" t="s">
        <v>311</v>
      </c>
      <c r="B27" s="29" t="s">
        <v>128</v>
      </c>
      <c r="C27" s="29" t="s">
        <v>312</v>
      </c>
      <c r="D27" s="30" t="s">
        <v>172</v>
      </c>
      <c r="E27" s="31"/>
      <c r="F27" s="32" t="n">
        <v>61</v>
      </c>
      <c r="G27" s="31"/>
      <c r="H27" s="31" t="n">
        <v>1</v>
      </c>
      <c r="I27" s="31" t="s">
        <v>62</v>
      </c>
      <c r="J27" s="29"/>
      <c r="K27" s="29" t="s">
        <v>313</v>
      </c>
      <c r="L27" s="32" t="n">
        <v>4</v>
      </c>
      <c r="M27" s="33" t="s">
        <v>314</v>
      </c>
      <c r="N27" s="34" t="n">
        <v>75017</v>
      </c>
      <c r="O27" s="35" t="s">
        <v>55</v>
      </c>
      <c r="P27" s="36" t="s">
        <v>315</v>
      </c>
      <c r="Q27" s="36" t="n">
        <v>2</v>
      </c>
      <c r="R27" s="32" t="n">
        <v>51</v>
      </c>
      <c r="S27" s="32" t="n">
        <v>25</v>
      </c>
      <c r="T27" s="43" t="s">
        <v>316</v>
      </c>
      <c r="U27" s="32"/>
      <c r="V27" s="37"/>
      <c r="W27" s="32"/>
      <c r="X27" s="34"/>
      <c r="Y27" s="34"/>
      <c r="Z27" s="32"/>
      <c r="AA27" s="32" t="s">
        <v>317</v>
      </c>
      <c r="AB27" s="32"/>
      <c r="AC27" s="38" t="str">
        <f aca="false">HYPERLINK("https://biocodex6--c.vf.force.com/0014L00000KFTDfQAP", "BESSE ASSOULY FRANCOISE")</f>
        <v>BESSE ASSOULY FRANCOISE</v>
      </c>
      <c r="AD27" s="38"/>
      <c r="AE27" s="39"/>
      <c r="AF27" s="40"/>
      <c r="AG27" s="41"/>
      <c r="AH27" s="32" t="s">
        <v>70</v>
      </c>
      <c r="AI27" s="32" t="s">
        <v>318</v>
      </c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XEY27" s="27"/>
      <c r="XEZ27" s="27"/>
      <c r="XFA27" s="27"/>
      <c r="XFB27" s="27"/>
      <c r="XFC27" s="27"/>
      <c r="XFD27" s="27"/>
    </row>
    <row r="28" s="42" customFormat="true" ht="14.15" hidden="false" customHeight="true" outlineLevel="0" collapsed="false">
      <c r="A28" s="28" t="s">
        <v>319</v>
      </c>
      <c r="B28" s="29" t="s">
        <v>320</v>
      </c>
      <c r="C28" s="29" t="s">
        <v>321</v>
      </c>
      <c r="D28" s="30" t="s">
        <v>50</v>
      </c>
      <c r="E28" s="31"/>
      <c r="F28" s="32" t="n">
        <v>68</v>
      </c>
      <c r="G28" s="31" t="s">
        <v>61</v>
      </c>
      <c r="H28" s="31" t="n">
        <v>2</v>
      </c>
      <c r="I28" s="31" t="s">
        <v>99</v>
      </c>
      <c r="J28" s="29"/>
      <c r="K28" s="29" t="s">
        <v>322</v>
      </c>
      <c r="L28" s="32" t="n">
        <v>79</v>
      </c>
      <c r="M28" s="33" t="s">
        <v>323</v>
      </c>
      <c r="N28" s="34" t="n">
        <v>75015</v>
      </c>
      <c r="O28" s="35" t="s">
        <v>55</v>
      </c>
      <c r="P28" s="36" t="s">
        <v>324</v>
      </c>
      <c r="Q28" s="36" t="n">
        <v>1</v>
      </c>
      <c r="R28" s="32" t="n">
        <v>350</v>
      </c>
      <c r="S28" s="32" t="n">
        <v>23</v>
      </c>
      <c r="T28" s="32"/>
      <c r="U28" s="32"/>
      <c r="V28" s="37" t="n">
        <v>3</v>
      </c>
      <c r="W28" s="32"/>
      <c r="X28" s="34"/>
      <c r="Y28" s="34"/>
      <c r="Z28" s="32"/>
      <c r="AA28" s="32" t="s">
        <v>325</v>
      </c>
      <c r="AB28" s="32" t="s">
        <v>326</v>
      </c>
      <c r="AC28" s="38" t="str">
        <f aca="false">HYPERLINK("https://biocodex6--c.vf.force.com/0014L00000KFYuTQAX", "DAVIDEAU SERGE")</f>
        <v>DAVIDEAU SERGE</v>
      </c>
      <c r="AD28" s="38" t="str">
        <f aca="false">HYPERLINK("https://annuairesante.ameli.fr/professionnels-de-sante/recherche/fiche-detaillee-B7c1ljQ3Nzqy.html", "DAVIDEAU SERGE")</f>
        <v>DAVIDEAU SERGE</v>
      </c>
      <c r="AE28" s="39" t="n">
        <v>45463.375</v>
      </c>
      <c r="AF28" s="40"/>
      <c r="AG28" s="41"/>
      <c r="AH28" s="32"/>
      <c r="AI28" s="32"/>
      <c r="AL28" s="43" t="s">
        <v>327</v>
      </c>
      <c r="AM28" s="43" t="s">
        <v>328</v>
      </c>
      <c r="AN28" s="43" t="s">
        <v>329</v>
      </c>
      <c r="AO28" s="43" t="s">
        <v>328</v>
      </c>
      <c r="AP28" s="43" t="s">
        <v>329</v>
      </c>
      <c r="AQ28" s="43" t="s">
        <v>328</v>
      </c>
      <c r="AR28" s="43" t="s">
        <v>327</v>
      </c>
      <c r="AS28" s="43" t="s">
        <v>330</v>
      </c>
      <c r="AT28" s="43" t="s">
        <v>329</v>
      </c>
      <c r="AU28" s="43" t="s">
        <v>328</v>
      </c>
      <c r="XEY28" s="27"/>
      <c r="XEZ28" s="27"/>
      <c r="XFA28" s="27"/>
      <c r="XFB28" s="27"/>
      <c r="XFC28" s="27"/>
      <c r="XFD28" s="27"/>
    </row>
    <row r="29" s="42" customFormat="true" ht="14.15" hidden="false" customHeight="true" outlineLevel="0" collapsed="false">
      <c r="A29" s="28" t="s">
        <v>331</v>
      </c>
      <c r="B29" s="29" t="s">
        <v>332</v>
      </c>
      <c r="C29" s="29" t="s">
        <v>333</v>
      </c>
      <c r="D29" s="30" t="s">
        <v>50</v>
      </c>
      <c r="E29" s="31"/>
      <c r="F29" s="32" t="n">
        <v>62</v>
      </c>
      <c r="G29" s="31" t="s">
        <v>98</v>
      </c>
      <c r="H29" s="31" t="n">
        <v>1</v>
      </c>
      <c r="I29" s="31" t="s">
        <v>99</v>
      </c>
      <c r="J29" s="29"/>
      <c r="K29" s="29" t="s">
        <v>334</v>
      </c>
      <c r="L29" s="32" t="n">
        <v>65</v>
      </c>
      <c r="M29" s="33" t="s">
        <v>186</v>
      </c>
      <c r="N29" s="34" t="n">
        <v>75015</v>
      </c>
      <c r="O29" s="35" t="s">
        <v>55</v>
      </c>
      <c r="P29" s="36" t="s">
        <v>335</v>
      </c>
      <c r="Q29" s="36" t="n">
        <v>2</v>
      </c>
      <c r="R29" s="32" t="n">
        <v>352</v>
      </c>
      <c r="S29" s="32" t="n">
        <v>22</v>
      </c>
      <c r="T29" s="32"/>
      <c r="U29" s="32" t="n">
        <v>3</v>
      </c>
      <c r="V29" s="37" t="n">
        <v>3</v>
      </c>
      <c r="W29" s="32" t="n">
        <v>3</v>
      </c>
      <c r="X29" s="34"/>
      <c r="Y29" s="34" t="n">
        <v>1</v>
      </c>
      <c r="Z29" s="32"/>
      <c r="AA29" s="32" t="s">
        <v>336</v>
      </c>
      <c r="AB29" s="32" t="s">
        <v>337</v>
      </c>
      <c r="AC29" s="38" t="str">
        <f aca="false">HYPERLINK("https://biocodex6--c.vf.force.com/0014L00000KFaT8QAL", "DESGROIS CATHERINE")</f>
        <v>DESGROIS CATHERINE</v>
      </c>
      <c r="AD29" s="38" t="str">
        <f aca="false">HYPERLINK("https://annuairesante.ameli.fr/professionnels-de-sante/recherche/fiche-detaillee-B7c1lzQ0NDe6.html", "DESGROIS CATHERINE")</f>
        <v>DESGROIS CATHERINE</v>
      </c>
      <c r="AE29" s="39" t="n">
        <v>45258.4583333333</v>
      </c>
      <c r="AF29" s="40"/>
      <c r="AG29" s="41"/>
      <c r="AH29" s="32" t="s">
        <v>70</v>
      </c>
      <c r="AI29" s="32" t="s">
        <v>71</v>
      </c>
      <c r="AL29" s="43" t="s">
        <v>338</v>
      </c>
      <c r="AM29" s="43" t="s">
        <v>137</v>
      </c>
      <c r="AN29" s="43" t="s">
        <v>338</v>
      </c>
      <c r="AO29" s="43" t="s">
        <v>262</v>
      </c>
      <c r="AP29" s="43" t="s">
        <v>339</v>
      </c>
      <c r="AQ29" s="43" t="s">
        <v>340</v>
      </c>
      <c r="AR29" s="43" t="s">
        <v>338</v>
      </c>
      <c r="AS29" s="43" t="s">
        <v>262</v>
      </c>
      <c r="AT29" s="43" t="s">
        <v>338</v>
      </c>
      <c r="AU29" s="43" t="s">
        <v>137</v>
      </c>
      <c r="XEY29" s="27"/>
      <c r="XEZ29" s="27"/>
      <c r="XFA29" s="27"/>
      <c r="XFB29" s="27"/>
      <c r="XFC29" s="27"/>
      <c r="XFD29" s="27"/>
    </row>
    <row r="30" s="42" customFormat="true" ht="14.15" hidden="false" customHeight="true" outlineLevel="0" collapsed="false">
      <c r="A30" s="28" t="s">
        <v>341</v>
      </c>
      <c r="B30" s="29" t="s">
        <v>342</v>
      </c>
      <c r="C30" s="29" t="s">
        <v>343</v>
      </c>
      <c r="D30" s="30" t="s">
        <v>50</v>
      </c>
      <c r="E30" s="30" t="s">
        <v>344</v>
      </c>
      <c r="F30" s="32" t="n">
        <v>38</v>
      </c>
      <c r="G30" s="31" t="s">
        <v>345</v>
      </c>
      <c r="H30" s="31" t="n">
        <v>1</v>
      </c>
      <c r="I30" s="31" t="s">
        <v>197</v>
      </c>
      <c r="J30" s="29"/>
      <c r="K30" s="29" t="s">
        <v>346</v>
      </c>
      <c r="L30" s="32" t="n">
        <v>76</v>
      </c>
      <c r="M30" s="33" t="s">
        <v>347</v>
      </c>
      <c r="N30" s="34" t="n">
        <v>75017</v>
      </c>
      <c r="O30" s="35" t="s">
        <v>55</v>
      </c>
      <c r="P30" s="36" t="s">
        <v>348</v>
      </c>
      <c r="Q30" s="36" t="n">
        <v>4</v>
      </c>
      <c r="R30" s="32" t="n">
        <v>210</v>
      </c>
      <c r="S30" s="32" t="n">
        <v>22</v>
      </c>
      <c r="T30" s="32"/>
      <c r="U30" s="32"/>
      <c r="V30" s="37" t="n">
        <v>3</v>
      </c>
      <c r="W30" s="32"/>
      <c r="X30" s="34" t="n">
        <v>1</v>
      </c>
      <c r="Y30" s="34"/>
      <c r="Z30" s="32"/>
      <c r="AA30" s="32" t="s">
        <v>349</v>
      </c>
      <c r="AB30" s="32" t="s">
        <v>350</v>
      </c>
      <c r="AC30" s="38" t="str">
        <f aca="false">HYPERLINK("https://biocodex6--c.vf.force.com/0014L00000KFKpOQAX", "ROMANO VALERIA")</f>
        <v>ROMANO VALERIA</v>
      </c>
      <c r="AD30" s="38" t="str">
        <f aca="false">HYPERLINK("https://annuairesante.ameli.fr/professionnels-de-sante/recherche/fiche-detaillee-B7c1kjM2OTGy.html", "ROMANO VALERIA")</f>
        <v>ROMANO VALERIA</v>
      </c>
      <c r="AE30" s="39" t="n">
        <v>45134.4375</v>
      </c>
      <c r="AF30" s="40"/>
      <c r="AG30" s="41"/>
      <c r="AH30" s="32"/>
      <c r="AI30" s="32" t="s">
        <v>168</v>
      </c>
      <c r="AJ30" s="42" t="s">
        <v>351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XEY30" s="27"/>
      <c r="XEZ30" s="27"/>
      <c r="XFA30" s="27"/>
      <c r="XFB30" s="27"/>
      <c r="XFC30" s="27"/>
      <c r="XFD30" s="27"/>
    </row>
    <row r="31" s="42" customFormat="true" ht="14.15" hidden="false" customHeight="true" outlineLevel="0" collapsed="false">
      <c r="A31" s="28" t="s">
        <v>352</v>
      </c>
      <c r="B31" s="29" t="s">
        <v>353</v>
      </c>
      <c r="C31" s="29" t="s">
        <v>354</v>
      </c>
      <c r="D31" s="30" t="s">
        <v>50</v>
      </c>
      <c r="E31" s="31"/>
      <c r="F31" s="32" t="n">
        <v>0</v>
      </c>
      <c r="G31" s="31" t="s">
        <v>98</v>
      </c>
      <c r="H31" s="31" t="n">
        <v>2</v>
      </c>
      <c r="I31" s="31" t="s">
        <v>99</v>
      </c>
      <c r="J31" s="29"/>
      <c r="K31" s="29" t="s">
        <v>223</v>
      </c>
      <c r="L31" s="32" t="n">
        <v>17</v>
      </c>
      <c r="M31" s="33" t="s">
        <v>224</v>
      </c>
      <c r="N31" s="34" t="n">
        <v>75015</v>
      </c>
      <c r="O31" s="35" t="s">
        <v>55</v>
      </c>
      <c r="P31" s="36" t="s">
        <v>355</v>
      </c>
      <c r="Q31" s="36" t="n">
        <v>2</v>
      </c>
      <c r="R31" s="32" t="n">
        <v>204</v>
      </c>
      <c r="S31" s="32" t="n">
        <v>22</v>
      </c>
      <c r="T31" s="32"/>
      <c r="U31" s="32" t="n">
        <v>3</v>
      </c>
      <c r="V31" s="37" t="n">
        <v>3</v>
      </c>
      <c r="W31" s="32" t="n">
        <v>3</v>
      </c>
      <c r="X31" s="34" t="n">
        <v>2</v>
      </c>
      <c r="Y31" s="34" t="n">
        <v>2</v>
      </c>
      <c r="Z31" s="32"/>
      <c r="AA31" s="32" t="s">
        <v>356</v>
      </c>
      <c r="AB31" s="32" t="s">
        <v>357</v>
      </c>
      <c r="AC31" s="38" t="str">
        <f aca="false">HYPERLINK("https://biocodex6--c.vf.force.com/0014L00000KFajUQAT", "FARZIN ALAIN")</f>
        <v>FARZIN ALAIN</v>
      </c>
      <c r="AD31" s="38" t="str">
        <f aca="false">HYPERLINK("https://annuairesante.ameli.fr/professionnels-de-sante/recherche/fiche-detaillee-B7c1kjMyMTSy.html", "FARZIN ALAIN")</f>
        <v>FARZIN ALAIN</v>
      </c>
      <c r="AE31" s="39" t="n">
        <v>45317.4166666667</v>
      </c>
      <c r="AF31" s="40" t="s">
        <v>358</v>
      </c>
      <c r="AG31" s="41" t="s">
        <v>69</v>
      </c>
      <c r="AH31" s="32" t="s">
        <v>70</v>
      </c>
      <c r="AI31" s="32" t="s">
        <v>106</v>
      </c>
      <c r="AJ31" s="32"/>
      <c r="AK31" s="32"/>
      <c r="AL31" s="43" t="s">
        <v>359</v>
      </c>
      <c r="AM31" s="43" t="s">
        <v>137</v>
      </c>
      <c r="AN31" s="43" t="s">
        <v>359</v>
      </c>
      <c r="AO31" s="43" t="s">
        <v>137</v>
      </c>
      <c r="AP31" s="43" t="s">
        <v>251</v>
      </c>
      <c r="AQ31" s="43" t="s">
        <v>360</v>
      </c>
      <c r="AR31" s="43" t="s">
        <v>359</v>
      </c>
      <c r="AS31" s="43" t="s">
        <v>137</v>
      </c>
      <c r="AT31" s="43" t="s">
        <v>359</v>
      </c>
      <c r="AU31" s="43" t="s">
        <v>361</v>
      </c>
      <c r="XEY31" s="27"/>
      <c r="XEZ31" s="27"/>
      <c r="XFA31" s="27"/>
      <c r="XFB31" s="27"/>
      <c r="XFC31" s="27"/>
      <c r="XFD31" s="27"/>
    </row>
    <row r="32" s="42" customFormat="true" ht="14.15" hidden="false" customHeight="true" outlineLevel="0" collapsed="false">
      <c r="A32" s="28" t="s">
        <v>362</v>
      </c>
      <c r="B32" s="29" t="s">
        <v>363</v>
      </c>
      <c r="C32" s="29" t="s">
        <v>364</v>
      </c>
      <c r="D32" s="30" t="s">
        <v>112</v>
      </c>
      <c r="E32" s="31"/>
      <c r="F32" s="32" t="n">
        <v>51</v>
      </c>
      <c r="G32" s="31"/>
      <c r="H32" s="31" t="n">
        <v>1</v>
      </c>
      <c r="I32" s="31" t="s">
        <v>77</v>
      </c>
      <c r="J32" s="29" t="s">
        <v>246</v>
      </c>
      <c r="K32" s="29" t="s">
        <v>247</v>
      </c>
      <c r="L32" s="32" t="n">
        <v>36</v>
      </c>
      <c r="M32" s="33" t="s">
        <v>248</v>
      </c>
      <c r="N32" s="34" t="n">
        <v>92200</v>
      </c>
      <c r="O32" s="35" t="s">
        <v>81</v>
      </c>
      <c r="P32" s="36" t="s">
        <v>365</v>
      </c>
      <c r="Q32" s="36" t="n">
        <v>49</v>
      </c>
      <c r="R32" s="32" t="n">
        <v>103</v>
      </c>
      <c r="S32" s="32" t="n">
        <v>22</v>
      </c>
      <c r="T32" s="32"/>
      <c r="U32" s="32"/>
      <c r="V32" s="37"/>
      <c r="W32" s="32" t="n">
        <v>3</v>
      </c>
      <c r="X32" s="34"/>
      <c r="Y32" s="34" t="n">
        <v>2</v>
      </c>
      <c r="Z32" s="32"/>
      <c r="AA32" s="32" t="s">
        <v>366</v>
      </c>
      <c r="AB32" s="32"/>
      <c r="AC32" s="38" t="str">
        <f aca="false">HYPERLINK("https://biocodex6--c.vf.force.com/0014L00000KFRgCQAX", "AHMED ALI NASSIMA")</f>
        <v>AHMED ALI NASSIMA</v>
      </c>
      <c r="AD32" s="38"/>
      <c r="AE32" s="39"/>
      <c r="AF32" s="40"/>
      <c r="AG32" s="41"/>
      <c r="AH32" s="32"/>
      <c r="AI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XEY32" s="27"/>
      <c r="XEZ32" s="27"/>
      <c r="XFA32" s="27"/>
      <c r="XFB32" s="27"/>
      <c r="XFC32" s="27"/>
      <c r="XFD32" s="27"/>
    </row>
    <row r="33" s="42" customFormat="true" ht="14.15" hidden="false" customHeight="true" outlineLevel="0" collapsed="false">
      <c r="A33" s="28" t="s">
        <v>367</v>
      </c>
      <c r="B33" s="29" t="s">
        <v>368</v>
      </c>
      <c r="C33" s="29" t="s">
        <v>369</v>
      </c>
      <c r="D33" s="30" t="s">
        <v>50</v>
      </c>
      <c r="E33" s="30" t="s">
        <v>113</v>
      </c>
      <c r="F33" s="32" t="n">
        <v>0</v>
      </c>
      <c r="G33" s="31"/>
      <c r="H33" s="31" t="n">
        <v>1</v>
      </c>
      <c r="I33" s="31" t="s">
        <v>51</v>
      </c>
      <c r="J33" s="29" t="s">
        <v>286</v>
      </c>
      <c r="K33" s="29" t="s">
        <v>287</v>
      </c>
      <c r="L33" s="32" t="n">
        <v>12</v>
      </c>
      <c r="M33" s="33" t="s">
        <v>288</v>
      </c>
      <c r="N33" s="34" t="n">
        <v>75015</v>
      </c>
      <c r="O33" s="35" t="s">
        <v>55</v>
      </c>
      <c r="P33" s="36" t="s">
        <v>370</v>
      </c>
      <c r="Q33" s="36" t="n">
        <v>14</v>
      </c>
      <c r="R33" s="32" t="n">
        <v>364</v>
      </c>
      <c r="S33" s="32" t="n">
        <v>21</v>
      </c>
      <c r="T33" s="32"/>
      <c r="U33" s="32" t="n">
        <v>3</v>
      </c>
      <c r="V33" s="37" t="n">
        <v>3</v>
      </c>
      <c r="W33" s="32" t="n">
        <v>3</v>
      </c>
      <c r="X33" s="34"/>
      <c r="Y33" s="34" t="n">
        <v>2</v>
      </c>
      <c r="Z33" s="32"/>
      <c r="AA33" s="32"/>
      <c r="AB33" s="32"/>
      <c r="AC33" s="38"/>
      <c r="AD33" s="38"/>
      <c r="AE33" s="39" t="n">
        <v>45341.4375</v>
      </c>
      <c r="AF33" s="40"/>
      <c r="AG33" s="45"/>
      <c r="AH33" s="32"/>
      <c r="AI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XEY33" s="27"/>
      <c r="XEZ33" s="27"/>
      <c r="XFA33" s="27"/>
      <c r="XFB33" s="27"/>
      <c r="XFC33" s="27"/>
      <c r="XFD33" s="27"/>
    </row>
    <row r="34" s="42" customFormat="true" ht="14.15" hidden="false" customHeight="true" outlineLevel="0" collapsed="false">
      <c r="A34" s="28" t="s">
        <v>371</v>
      </c>
      <c r="B34" s="29" t="s">
        <v>372</v>
      </c>
      <c r="C34" s="29" t="s">
        <v>373</v>
      </c>
      <c r="D34" s="30" t="s">
        <v>50</v>
      </c>
      <c r="E34" s="31"/>
      <c r="F34" s="32" t="n">
        <v>40</v>
      </c>
      <c r="G34" s="31"/>
      <c r="H34" s="31" t="n">
        <v>1</v>
      </c>
      <c r="I34" s="31" t="s">
        <v>99</v>
      </c>
      <c r="J34" s="29" t="s">
        <v>162</v>
      </c>
      <c r="K34" s="29" t="s">
        <v>163</v>
      </c>
      <c r="L34" s="32" t="n">
        <v>66</v>
      </c>
      <c r="M34" s="33" t="s">
        <v>164</v>
      </c>
      <c r="N34" s="34" t="n">
        <v>75015</v>
      </c>
      <c r="O34" s="35" t="s">
        <v>55</v>
      </c>
      <c r="P34" s="36" t="s">
        <v>165</v>
      </c>
      <c r="Q34" s="36" t="n">
        <v>5</v>
      </c>
      <c r="R34" s="32" t="n">
        <v>276</v>
      </c>
      <c r="S34" s="32" t="n">
        <v>21</v>
      </c>
      <c r="T34" s="32"/>
      <c r="U34" s="32"/>
      <c r="V34" s="37" t="n">
        <v>3</v>
      </c>
      <c r="W34" s="32"/>
      <c r="X34" s="34" t="n">
        <v>1</v>
      </c>
      <c r="Y34" s="34"/>
      <c r="Z34" s="32"/>
      <c r="AA34" s="32" t="s">
        <v>374</v>
      </c>
      <c r="AB34" s="32"/>
      <c r="AC34" s="38" t="str">
        <f aca="false">HYPERLINK("https://biocodex6--c.vf.force.com/0014L00000KFNuSQAX", "DERY YOHANA")</f>
        <v>DERY YOHANA</v>
      </c>
      <c r="AD34" s="38"/>
      <c r="AE34" s="39" t="n">
        <v>45134.6458333333</v>
      </c>
      <c r="AF34" s="40"/>
      <c r="AG34" s="41"/>
      <c r="AH34" s="32"/>
      <c r="AI34" s="32" t="s">
        <v>168</v>
      </c>
      <c r="AJ34" s="42" t="s">
        <v>180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XEY34" s="27"/>
      <c r="XEZ34" s="27"/>
      <c r="XFA34" s="27"/>
      <c r="XFB34" s="27"/>
      <c r="XFC34" s="27"/>
      <c r="XFD34" s="27"/>
    </row>
    <row r="35" s="42" customFormat="true" ht="14.15" hidden="false" customHeight="true" outlineLevel="0" collapsed="false">
      <c r="A35" s="28" t="s">
        <v>375</v>
      </c>
      <c r="B35" s="29" t="s">
        <v>376</v>
      </c>
      <c r="C35" s="29" t="s">
        <v>377</v>
      </c>
      <c r="D35" s="30" t="s">
        <v>50</v>
      </c>
      <c r="E35" s="31"/>
      <c r="F35" s="32" t="n">
        <v>39</v>
      </c>
      <c r="G35" s="31" t="s">
        <v>61</v>
      </c>
      <c r="H35" s="31" t="n">
        <v>1</v>
      </c>
      <c r="I35" s="31" t="s">
        <v>77</v>
      </c>
      <c r="J35" s="29"/>
      <c r="K35" s="29" t="s">
        <v>378</v>
      </c>
      <c r="L35" s="32" t="n">
        <v>146</v>
      </c>
      <c r="M35" s="33" t="s">
        <v>379</v>
      </c>
      <c r="N35" s="34" t="n">
        <v>92200</v>
      </c>
      <c r="O35" s="35" t="s">
        <v>81</v>
      </c>
      <c r="P35" s="36" t="s">
        <v>380</v>
      </c>
      <c r="Q35" s="36" t="n">
        <v>1</v>
      </c>
      <c r="R35" s="32" t="n">
        <v>391</v>
      </c>
      <c r="S35" s="32" t="n">
        <v>20</v>
      </c>
      <c r="T35" s="32"/>
      <c r="U35" s="32"/>
      <c r="V35" s="37"/>
      <c r="W35" s="32"/>
      <c r="X35" s="34"/>
      <c r="Y35" s="34"/>
      <c r="Z35" s="36"/>
      <c r="AA35" s="32" t="s">
        <v>381</v>
      </c>
      <c r="AB35" s="32" t="s">
        <v>382</v>
      </c>
      <c r="AC35" s="38" t="str">
        <f aca="false">HYPERLINK("https://biocodex6--c.vf.force.com/0014L00000KFMQBQA5", "ICHOU ALEXANDRE")</f>
        <v>ICHOU ALEXANDRE</v>
      </c>
      <c r="AD35" s="38" t="str">
        <f aca="false">HYPERLINK("https://annuairesante.ameli.fr/professionnels-de-sante/recherche/fiche-detaillee-CbA1lTMwMjK0.html", "ICHOU ALEXANDRE")</f>
        <v>ICHOU ALEXANDRE</v>
      </c>
      <c r="AE35" s="39"/>
      <c r="AF35" s="40"/>
      <c r="AG35" s="41"/>
      <c r="AH35" s="32" t="s">
        <v>179</v>
      </c>
      <c r="AI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XEY35" s="27"/>
      <c r="XEZ35" s="27"/>
      <c r="XFA35" s="27"/>
      <c r="XFB35" s="27"/>
      <c r="XFC35" s="27"/>
      <c r="XFD35" s="27"/>
    </row>
    <row r="36" s="42" customFormat="true" ht="14.15" hidden="false" customHeight="true" outlineLevel="0" collapsed="false">
      <c r="A36" s="28" t="s">
        <v>383</v>
      </c>
      <c r="B36" s="29" t="s">
        <v>384</v>
      </c>
      <c r="C36" s="29" t="s">
        <v>385</v>
      </c>
      <c r="D36" s="30" t="s">
        <v>50</v>
      </c>
      <c r="E36" s="30" t="s">
        <v>386</v>
      </c>
      <c r="F36" s="32" t="n">
        <v>67</v>
      </c>
      <c r="G36" s="31" t="s">
        <v>215</v>
      </c>
      <c r="H36" s="31" t="n">
        <v>1</v>
      </c>
      <c r="I36" s="46" t="s">
        <v>387</v>
      </c>
      <c r="J36" s="29"/>
      <c r="K36" s="29" t="s">
        <v>388</v>
      </c>
      <c r="L36" s="32" t="n">
        <v>44</v>
      </c>
      <c r="M36" s="33" t="s">
        <v>389</v>
      </c>
      <c r="N36" s="34" t="n">
        <v>75016</v>
      </c>
      <c r="O36" s="35" t="s">
        <v>55</v>
      </c>
      <c r="P36" s="36" t="s">
        <v>390</v>
      </c>
      <c r="Q36" s="36" t="n">
        <v>1</v>
      </c>
      <c r="R36" s="32" t="n">
        <v>331</v>
      </c>
      <c r="S36" s="32" t="n">
        <v>20</v>
      </c>
      <c r="T36" s="32"/>
      <c r="U36" s="32" t="n">
        <v>3</v>
      </c>
      <c r="V36" s="37" t="n">
        <v>3</v>
      </c>
      <c r="W36" s="32" t="n">
        <v>3</v>
      </c>
      <c r="X36" s="34" t="n">
        <v>1</v>
      </c>
      <c r="Y36" s="34" t="n">
        <v>2</v>
      </c>
      <c r="Z36" s="32"/>
      <c r="AA36" s="32" t="s">
        <v>391</v>
      </c>
      <c r="AB36" s="32" t="s">
        <v>392</v>
      </c>
      <c r="AC36" s="38" t="str">
        <f aca="false">HYPERLINK("https://biocodex6--c.vf.force.com/0014L00000KFjKJQA1", "HWANG CHYI")</f>
        <v>HWANG CHYI</v>
      </c>
      <c r="AD36" s="38" t="str">
        <f aca="false">HYPERLINK("https://annuairesante.ameli.fr/professionnels-de-sante/recherche/fiche-detaillee-B7c1ljc5MTKy.html", "HWANG CHYI")</f>
        <v>HWANG CHYI</v>
      </c>
      <c r="AE36" s="39" t="n">
        <v>45433.3541666667</v>
      </c>
      <c r="AF36" s="40" t="s">
        <v>393</v>
      </c>
      <c r="AG36" s="41"/>
      <c r="AH36" s="32" t="s">
        <v>70</v>
      </c>
      <c r="AI36" s="32" t="s">
        <v>71</v>
      </c>
      <c r="AL36" s="43" t="s">
        <v>394</v>
      </c>
      <c r="AM36" s="43" t="s">
        <v>395</v>
      </c>
      <c r="AN36" s="43" t="s">
        <v>396</v>
      </c>
      <c r="AO36" s="43" t="s">
        <v>395</v>
      </c>
      <c r="AP36" s="32"/>
      <c r="AQ36" s="43" t="s">
        <v>395</v>
      </c>
      <c r="AR36" s="43" t="s">
        <v>394</v>
      </c>
      <c r="AS36" s="43" t="s">
        <v>395</v>
      </c>
      <c r="AT36" s="43" t="s">
        <v>396</v>
      </c>
      <c r="AU36" s="43" t="s">
        <v>397</v>
      </c>
      <c r="XEY36" s="27"/>
      <c r="XEZ36" s="27"/>
      <c r="XFA36" s="27"/>
      <c r="XFB36" s="27"/>
      <c r="XFC36" s="27"/>
      <c r="XFD36" s="27"/>
    </row>
    <row r="37" s="42" customFormat="true" ht="14.15" hidden="false" customHeight="true" outlineLevel="0" collapsed="false">
      <c r="A37" s="28" t="s">
        <v>398</v>
      </c>
      <c r="B37" s="29" t="s">
        <v>399</v>
      </c>
      <c r="C37" s="29" t="s">
        <v>400</v>
      </c>
      <c r="D37" s="30" t="s">
        <v>50</v>
      </c>
      <c r="E37" s="30" t="s">
        <v>401</v>
      </c>
      <c r="F37" s="32" t="n">
        <v>78</v>
      </c>
      <c r="G37" s="31" t="s">
        <v>61</v>
      </c>
      <c r="H37" s="31" t="n">
        <v>1</v>
      </c>
      <c r="I37" s="46" t="s">
        <v>387</v>
      </c>
      <c r="J37" s="29"/>
      <c r="K37" s="29" t="s">
        <v>402</v>
      </c>
      <c r="L37" s="32" t="n">
        <v>8</v>
      </c>
      <c r="M37" s="33" t="s">
        <v>403</v>
      </c>
      <c r="N37" s="34" t="n">
        <v>75016</v>
      </c>
      <c r="O37" s="35" t="s">
        <v>55</v>
      </c>
      <c r="P37" s="36" t="s">
        <v>404</v>
      </c>
      <c r="Q37" s="36" t="n">
        <v>1</v>
      </c>
      <c r="R37" s="32" t="n">
        <v>320</v>
      </c>
      <c r="S37" s="32" t="n">
        <v>20</v>
      </c>
      <c r="T37" s="32"/>
      <c r="U37" s="32" t="n">
        <v>3</v>
      </c>
      <c r="V37" s="37" t="n">
        <v>3</v>
      </c>
      <c r="W37" s="32" t="n">
        <v>3</v>
      </c>
      <c r="X37" s="34"/>
      <c r="Y37" s="34" t="n">
        <v>3</v>
      </c>
      <c r="Z37" s="32"/>
      <c r="AA37" s="32" t="s">
        <v>405</v>
      </c>
      <c r="AB37" s="32" t="s">
        <v>406</v>
      </c>
      <c r="AC37" s="42" t="str">
        <f aca="false">HYPERLINK("https://biocodex6--c.vf.force.com/0014L00000KFdsJQAT", "FLORAND OLIVIER")</f>
        <v>FLORAND OLIVIER</v>
      </c>
      <c r="AD37" s="32" t="str">
        <f aca="false">HYPERLINK("https://annuairesante.ameli.fr/professionnels-de-sante/recherche/fiche-detaillee-B7c1kDsyNDGw.html", "FLORAND OLIVIER")</f>
        <v>FLORAND OLIVIER</v>
      </c>
      <c r="AE37" s="39" t="n">
        <v>45440.4166666667</v>
      </c>
      <c r="AF37" s="40" t="s">
        <v>407</v>
      </c>
      <c r="AG37" s="41"/>
      <c r="AH37" s="32" t="s">
        <v>70</v>
      </c>
      <c r="AI37" s="32" t="s">
        <v>71</v>
      </c>
      <c r="AL37" s="43" t="s">
        <v>408</v>
      </c>
      <c r="AM37" s="43" t="s">
        <v>409</v>
      </c>
      <c r="AN37" s="43" t="s">
        <v>408</v>
      </c>
      <c r="AO37" s="43" t="s">
        <v>409</v>
      </c>
      <c r="AP37" s="43" t="s">
        <v>408</v>
      </c>
      <c r="AQ37" s="43" t="s">
        <v>409</v>
      </c>
      <c r="AR37" s="43" t="s">
        <v>408</v>
      </c>
      <c r="AS37" s="43" t="s">
        <v>409</v>
      </c>
      <c r="AT37" s="43" t="s">
        <v>408</v>
      </c>
      <c r="AU37" s="43" t="s">
        <v>409</v>
      </c>
      <c r="XEY37" s="27"/>
      <c r="XEZ37" s="27"/>
      <c r="XFA37" s="27"/>
      <c r="XFB37" s="27"/>
      <c r="XFC37" s="27"/>
      <c r="XFD37" s="27"/>
    </row>
    <row r="38" s="42" customFormat="true" ht="14.15" hidden="false" customHeight="true" outlineLevel="0" collapsed="false">
      <c r="A38" s="28" t="s">
        <v>410</v>
      </c>
      <c r="B38" s="29" t="s">
        <v>411</v>
      </c>
      <c r="C38" s="29" t="s">
        <v>412</v>
      </c>
      <c r="D38" s="30" t="s">
        <v>50</v>
      </c>
      <c r="E38" s="30" t="s">
        <v>244</v>
      </c>
      <c r="F38" s="32" t="n">
        <v>59</v>
      </c>
      <c r="G38" s="31" t="s">
        <v>345</v>
      </c>
      <c r="H38" s="31" t="n">
        <v>1</v>
      </c>
      <c r="I38" s="31" t="s">
        <v>197</v>
      </c>
      <c r="J38" s="29"/>
      <c r="K38" s="29" t="s">
        <v>413</v>
      </c>
      <c r="L38" s="32" t="n">
        <v>254</v>
      </c>
      <c r="M38" s="33" t="s">
        <v>414</v>
      </c>
      <c r="N38" s="34" t="n">
        <v>75017</v>
      </c>
      <c r="O38" s="35" t="s">
        <v>55</v>
      </c>
      <c r="P38" s="36" t="s">
        <v>415</v>
      </c>
      <c r="Q38" s="36" t="n">
        <v>2</v>
      </c>
      <c r="R38" s="32" t="n">
        <v>242</v>
      </c>
      <c r="S38" s="32" t="n">
        <v>20</v>
      </c>
      <c r="T38" s="32"/>
      <c r="U38" s="32"/>
      <c r="V38" s="37" t="n">
        <v>3</v>
      </c>
      <c r="W38" s="32"/>
      <c r="X38" s="34"/>
      <c r="Y38" s="34"/>
      <c r="Z38" s="32"/>
      <c r="AA38" s="32" t="s">
        <v>416</v>
      </c>
      <c r="AB38" s="32" t="s">
        <v>417</v>
      </c>
      <c r="AC38" s="38" t="str">
        <f aca="false">HYPERLINK("https://biocodex6--c.vf.force.com/0014L00000KG5CrQAL", "VERITE SAVIGNY ANNE CHARLOTTE")</f>
        <v>VERITE SAVIGNY ANNE CHARLOTTE</v>
      </c>
      <c r="AD38" s="38" t="str">
        <f aca="false">HYPERLINK("https://annuairesante.ameli.fr/professionnels-de-sante/recherche/fiche-detaillee-B7c1kjI5NzS2.html", "VERITE SAVIGNY ANNE CHARLOTTE")</f>
        <v>VERITE SAVIGNY ANNE CHARLOTTE</v>
      </c>
      <c r="AE38" s="39" t="n">
        <v>45464.4375</v>
      </c>
      <c r="AF38" s="40"/>
      <c r="AG38" s="41"/>
      <c r="AH38" s="32"/>
      <c r="AI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XEY38" s="27"/>
      <c r="XEZ38" s="27"/>
      <c r="XFA38" s="27"/>
      <c r="XFB38" s="27"/>
      <c r="XFC38" s="27"/>
      <c r="XFD38" s="27"/>
    </row>
    <row r="39" s="42" customFormat="true" ht="14.15" hidden="false" customHeight="true" outlineLevel="0" collapsed="false">
      <c r="A39" s="28" t="s">
        <v>418</v>
      </c>
      <c r="B39" s="29" t="s">
        <v>419</v>
      </c>
      <c r="C39" s="29" t="s">
        <v>420</v>
      </c>
      <c r="D39" s="30" t="s">
        <v>50</v>
      </c>
      <c r="E39" s="30" t="s">
        <v>421</v>
      </c>
      <c r="F39" s="32" t="n">
        <v>49</v>
      </c>
      <c r="G39" s="31" t="s">
        <v>98</v>
      </c>
      <c r="H39" s="31" t="n">
        <v>1</v>
      </c>
      <c r="I39" s="46" t="s">
        <v>197</v>
      </c>
      <c r="J39" s="29"/>
      <c r="K39" s="29" t="s">
        <v>422</v>
      </c>
      <c r="L39" s="32" t="n">
        <v>62</v>
      </c>
      <c r="M39" s="33" t="s">
        <v>423</v>
      </c>
      <c r="N39" s="34" t="n">
        <v>75017</v>
      </c>
      <c r="O39" s="35" t="s">
        <v>55</v>
      </c>
      <c r="P39" s="36" t="s">
        <v>424</v>
      </c>
      <c r="Q39" s="36" t="n">
        <v>1</v>
      </c>
      <c r="R39" s="32" t="n">
        <v>237</v>
      </c>
      <c r="S39" s="32" t="n">
        <v>20</v>
      </c>
      <c r="T39" s="32"/>
      <c r="U39" s="32" t="n">
        <v>3</v>
      </c>
      <c r="V39" s="37" t="n">
        <v>3</v>
      </c>
      <c r="W39" s="32" t="n">
        <v>3</v>
      </c>
      <c r="X39" s="34" t="n">
        <v>1</v>
      </c>
      <c r="Y39" s="34" t="n">
        <v>2</v>
      </c>
      <c r="Z39" s="32"/>
      <c r="AA39" s="32" t="s">
        <v>425</v>
      </c>
      <c r="AB39" s="32" t="s">
        <v>426</v>
      </c>
      <c r="AC39" s="38" t="str">
        <f aca="false">HYPERLINK("https://biocodex6--c.vf.force.com/0014L00000KG2sJQAT", "OGRIN FLORENCE")</f>
        <v>OGRIN FLORENCE</v>
      </c>
      <c r="AD39" s="38" t="str">
        <f aca="false">HYPERLINK("https://annuairesante.ameli.fr/professionnels-de-sante/recherche/fiche-detaillee-B7c1lDs0MTO3.html", "OGRIN FLORENCE")</f>
        <v>OGRIN FLORENCE</v>
      </c>
      <c r="AE39" s="39" t="n">
        <v>45419.6458333333</v>
      </c>
      <c r="AF39" s="40" t="s">
        <v>427</v>
      </c>
      <c r="AG39" s="41"/>
      <c r="AH39" s="32"/>
      <c r="AI39" s="32" t="s">
        <v>71</v>
      </c>
      <c r="AL39" s="43" t="s">
        <v>263</v>
      </c>
      <c r="AM39" s="43" t="s">
        <v>126</v>
      </c>
      <c r="AN39" s="43" t="s">
        <v>263</v>
      </c>
      <c r="AO39" s="43" t="s">
        <v>126</v>
      </c>
      <c r="AP39" s="43" t="s">
        <v>263</v>
      </c>
      <c r="AQ39" s="43" t="s">
        <v>262</v>
      </c>
      <c r="AR39" s="43" t="s">
        <v>263</v>
      </c>
      <c r="AS39" s="43" t="s">
        <v>126</v>
      </c>
      <c r="AT39" s="43" t="s">
        <v>263</v>
      </c>
      <c r="AU39" s="43" t="s">
        <v>126</v>
      </c>
      <c r="XEY39" s="27"/>
      <c r="XEZ39" s="27"/>
      <c r="XFA39" s="27"/>
      <c r="XFB39" s="27"/>
      <c r="XFC39" s="27"/>
      <c r="XFD39" s="27"/>
    </row>
    <row r="40" s="42" customFormat="true" ht="14.15" hidden="false" customHeight="true" outlineLevel="0" collapsed="false">
      <c r="A40" s="28" t="s">
        <v>428</v>
      </c>
      <c r="B40" s="29" t="s">
        <v>429</v>
      </c>
      <c r="C40" s="29" t="s">
        <v>430</v>
      </c>
      <c r="D40" s="30" t="s">
        <v>112</v>
      </c>
      <c r="E40" s="31"/>
      <c r="F40" s="32" t="n">
        <v>44</v>
      </c>
      <c r="G40" s="31"/>
      <c r="H40" s="31" t="n">
        <v>1</v>
      </c>
      <c r="I40" s="31" t="s">
        <v>51</v>
      </c>
      <c r="J40" s="29" t="s">
        <v>52</v>
      </c>
      <c r="K40" s="29" t="s">
        <v>53</v>
      </c>
      <c r="L40" s="32" t="n">
        <v>149</v>
      </c>
      <c r="M40" s="33" t="s">
        <v>54</v>
      </c>
      <c r="N40" s="34" t="n">
        <v>75015</v>
      </c>
      <c r="O40" s="35" t="s">
        <v>55</v>
      </c>
      <c r="P40" s="36" t="s">
        <v>431</v>
      </c>
      <c r="Q40" s="36" t="n">
        <v>236</v>
      </c>
      <c r="R40" s="32" t="n">
        <v>133</v>
      </c>
      <c r="S40" s="32" t="n">
        <v>20</v>
      </c>
      <c r="T40" s="32"/>
      <c r="U40" s="32"/>
      <c r="V40" s="37"/>
      <c r="W40" s="32"/>
      <c r="X40" s="34"/>
      <c r="Y40" s="34"/>
      <c r="Z40" s="32"/>
      <c r="AA40" s="32" t="s">
        <v>432</v>
      </c>
      <c r="AB40" s="32"/>
      <c r="AC40" s="38" t="str">
        <f aca="false">HYPERLINK("https://biocodex6--c.vf.force.com/0014L00000KFnTVQA1", "LEZMI GUILLAUME")</f>
        <v>LEZMI GUILLAUME</v>
      </c>
      <c r="AD40" s="38"/>
      <c r="AE40" s="39"/>
      <c r="AF40" s="40"/>
      <c r="AG40" s="41"/>
      <c r="AH40" s="32"/>
      <c r="AI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XEY40" s="27"/>
      <c r="XEZ40" s="27"/>
      <c r="XFA40" s="27"/>
      <c r="XFB40" s="27"/>
      <c r="XFC40" s="27"/>
      <c r="XFD40" s="27"/>
    </row>
    <row r="41" s="42" customFormat="true" ht="14.15" hidden="false" customHeight="true" outlineLevel="0" collapsed="false">
      <c r="A41" s="28" t="s">
        <v>433</v>
      </c>
      <c r="B41" s="29" t="s">
        <v>242</v>
      </c>
      <c r="C41" s="29" t="s">
        <v>434</v>
      </c>
      <c r="D41" s="30" t="s">
        <v>112</v>
      </c>
      <c r="E41" s="31"/>
      <c r="F41" s="32" t="n">
        <v>74</v>
      </c>
      <c r="G41" s="31" t="s">
        <v>215</v>
      </c>
      <c r="H41" s="31" t="n">
        <v>1</v>
      </c>
      <c r="I41" s="46" t="s">
        <v>435</v>
      </c>
      <c r="J41" s="29"/>
      <c r="K41" s="29" t="s">
        <v>436</v>
      </c>
      <c r="L41" s="32" t="n">
        <v>60</v>
      </c>
      <c r="M41" s="33" t="s">
        <v>437</v>
      </c>
      <c r="N41" s="34" t="n">
        <v>75016</v>
      </c>
      <c r="O41" s="35" t="s">
        <v>55</v>
      </c>
      <c r="P41" s="36" t="s">
        <v>438</v>
      </c>
      <c r="Q41" s="36" t="n">
        <v>2</v>
      </c>
      <c r="R41" s="32" t="n">
        <v>228</v>
      </c>
      <c r="S41" s="32" t="n">
        <v>19</v>
      </c>
      <c r="T41" s="32"/>
      <c r="U41" s="32" t="n">
        <v>3</v>
      </c>
      <c r="V41" s="37" t="n">
        <v>3</v>
      </c>
      <c r="W41" s="32" t="n">
        <v>3</v>
      </c>
      <c r="X41" s="34"/>
      <c r="Y41" s="34" t="n">
        <v>2</v>
      </c>
      <c r="Z41" s="32" t="s">
        <v>439</v>
      </c>
      <c r="AA41" s="32" t="s">
        <v>440</v>
      </c>
      <c r="AB41" s="32" t="s">
        <v>441</v>
      </c>
      <c r="AC41" s="38" t="str">
        <f aca="false">HYPERLINK("https://biocodex6--c.vf.force.com/0014L00000KG4FdQAL", "VALLETEAU DE MOULLIAC JEROME")</f>
        <v>VALLETEAU DE MOULLIAC JEROME</v>
      </c>
      <c r="AD41" s="38" t="str">
        <f aca="false">HYPERLINK("https://annuairesante.ameli.fr/professionnels-de-sante/recherche/fiche-detaillee-B7c1lTIzODq1.html", "VALLETEAU DE MOULLIAC JEROME")</f>
        <v>VALLETEAU DE MOULLIAC JEROME</v>
      </c>
      <c r="AE41" s="39" t="n">
        <v>45252.4583333333</v>
      </c>
      <c r="AF41" s="40"/>
      <c r="AG41" s="41"/>
      <c r="AH41" s="32"/>
      <c r="AI41" s="32"/>
      <c r="AL41" s="43" t="s">
        <v>442</v>
      </c>
      <c r="AM41" s="43" t="s">
        <v>137</v>
      </c>
      <c r="AN41" s="43" t="s">
        <v>442</v>
      </c>
      <c r="AO41" s="43" t="s">
        <v>137</v>
      </c>
      <c r="AP41" s="32"/>
      <c r="AQ41" s="43" t="s">
        <v>137</v>
      </c>
      <c r="AR41" s="32"/>
      <c r="AS41" s="43" t="s">
        <v>443</v>
      </c>
      <c r="AT41" s="32"/>
      <c r="AU41" s="43" t="s">
        <v>137</v>
      </c>
      <c r="XEY41" s="27"/>
      <c r="XEZ41" s="27"/>
      <c r="XFA41" s="27"/>
      <c r="XFB41" s="27"/>
      <c r="XFC41" s="27"/>
      <c r="XFD41" s="27"/>
    </row>
    <row r="42" s="42" customFormat="true" ht="14.15" hidden="false" customHeight="true" outlineLevel="0" collapsed="false">
      <c r="A42" s="28" t="s">
        <v>444</v>
      </c>
      <c r="B42" s="29" t="s">
        <v>170</v>
      </c>
      <c r="C42" s="29" t="s">
        <v>445</v>
      </c>
      <c r="D42" s="30" t="s">
        <v>50</v>
      </c>
      <c r="E42" s="31"/>
      <c r="F42" s="32" t="n">
        <v>56</v>
      </c>
      <c r="G42" s="31" t="s">
        <v>345</v>
      </c>
      <c r="H42" s="31" t="n">
        <v>1</v>
      </c>
      <c r="I42" s="31" t="s">
        <v>197</v>
      </c>
      <c r="J42" s="29"/>
      <c r="K42" s="29" t="s">
        <v>413</v>
      </c>
      <c r="L42" s="32" t="n">
        <v>254</v>
      </c>
      <c r="M42" s="33" t="s">
        <v>414</v>
      </c>
      <c r="N42" s="34" t="n">
        <v>75017</v>
      </c>
      <c r="O42" s="35" t="s">
        <v>55</v>
      </c>
      <c r="P42" s="36" t="s">
        <v>446</v>
      </c>
      <c r="Q42" s="36" t="n">
        <v>2</v>
      </c>
      <c r="R42" s="32" t="n">
        <v>213</v>
      </c>
      <c r="S42" s="32" t="n">
        <v>19</v>
      </c>
      <c r="T42" s="32"/>
      <c r="U42" s="32"/>
      <c r="V42" s="37" t="n">
        <v>3</v>
      </c>
      <c r="W42" s="32"/>
      <c r="X42" s="34"/>
      <c r="Y42" s="34"/>
      <c r="Z42" s="32"/>
      <c r="AA42" s="32" t="s">
        <v>447</v>
      </c>
      <c r="AB42" s="32" t="s">
        <v>448</v>
      </c>
      <c r="AC42" s="38" t="str">
        <f aca="false">HYPERLINK("https://biocodex6--c.vf.force.com/0014L00000KFY4CQAX", "DARDANNE CAROLE")</f>
        <v>DARDANNE CAROLE</v>
      </c>
      <c r="AD42" s="38" t="str">
        <f aca="false">HYPERLINK("https://annuairesante.ameli.fr/professionnels-de-sante/recherche/fiche-detaillee-B7c1lTYyNzO1.html", "DARDANNE CAROLE")</f>
        <v>DARDANNE CAROLE</v>
      </c>
      <c r="AE42" s="39" t="n">
        <v>45464.5208333333</v>
      </c>
      <c r="AF42" s="40"/>
      <c r="AG42" s="41"/>
      <c r="AH42" s="32"/>
      <c r="AI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XEY42" s="27"/>
      <c r="XEZ42" s="27"/>
      <c r="XFA42" s="27"/>
      <c r="XFB42" s="27"/>
      <c r="XFC42" s="27"/>
      <c r="XFD42" s="27"/>
    </row>
    <row r="43" s="42" customFormat="true" ht="14.15" hidden="false" customHeight="true" outlineLevel="0" collapsed="false">
      <c r="A43" s="28" t="s">
        <v>449</v>
      </c>
      <c r="B43" s="29" t="s">
        <v>450</v>
      </c>
      <c r="C43" s="29" t="s">
        <v>451</v>
      </c>
      <c r="D43" s="30" t="s">
        <v>112</v>
      </c>
      <c r="E43" s="30" t="s">
        <v>452</v>
      </c>
      <c r="F43" s="32" t="n">
        <v>59</v>
      </c>
      <c r="G43" s="31"/>
      <c r="H43" s="31" t="n">
        <v>1</v>
      </c>
      <c r="I43" s="31" t="s">
        <v>51</v>
      </c>
      <c r="J43" s="29" t="s">
        <v>52</v>
      </c>
      <c r="K43" s="29" t="s">
        <v>53</v>
      </c>
      <c r="L43" s="32" t="n">
        <v>149</v>
      </c>
      <c r="M43" s="33" t="s">
        <v>54</v>
      </c>
      <c r="N43" s="34" t="n">
        <v>75015</v>
      </c>
      <c r="O43" s="35" t="s">
        <v>55</v>
      </c>
      <c r="P43" s="36" t="s">
        <v>431</v>
      </c>
      <c r="Q43" s="36" t="n">
        <v>236</v>
      </c>
      <c r="R43" s="32" t="n">
        <v>134</v>
      </c>
      <c r="S43" s="32" t="n">
        <v>19</v>
      </c>
      <c r="T43" s="32"/>
      <c r="U43" s="32"/>
      <c r="V43" s="37"/>
      <c r="W43" s="32"/>
      <c r="X43" s="34"/>
      <c r="Y43" s="34"/>
      <c r="Z43" s="32"/>
      <c r="AA43" s="32" t="s">
        <v>453</v>
      </c>
      <c r="AB43" s="32"/>
      <c r="AC43" s="38" t="str">
        <f aca="false">HYPERLINK("https://biocodex6--c.vf.force.com/0014L00000KFW7CQAX", "FAUCHER BOUTONNAT BENEDICTE")</f>
        <v>FAUCHER BOUTONNAT BENEDICTE</v>
      </c>
      <c r="AD43" s="38"/>
      <c r="AE43" s="39"/>
      <c r="AF43" s="40"/>
      <c r="AG43" s="41"/>
      <c r="AH43" s="32"/>
      <c r="AI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XEY43" s="27"/>
      <c r="XEZ43" s="27"/>
      <c r="XFA43" s="27"/>
      <c r="XFB43" s="27"/>
      <c r="XFC43" s="27"/>
      <c r="XFD43" s="27"/>
    </row>
    <row r="44" s="42" customFormat="true" ht="14.15" hidden="false" customHeight="true" outlineLevel="0" collapsed="false">
      <c r="A44" s="28" t="s">
        <v>454</v>
      </c>
      <c r="B44" s="29" t="s">
        <v>455</v>
      </c>
      <c r="C44" s="29" t="s">
        <v>456</v>
      </c>
      <c r="D44" s="30" t="s">
        <v>50</v>
      </c>
      <c r="E44" s="30" t="s">
        <v>255</v>
      </c>
      <c r="F44" s="32" t="n">
        <v>72</v>
      </c>
      <c r="G44" s="31" t="s">
        <v>61</v>
      </c>
      <c r="H44" s="31" t="n">
        <v>1</v>
      </c>
      <c r="I44" s="31" t="s">
        <v>77</v>
      </c>
      <c r="J44" s="29"/>
      <c r="K44" s="29" t="s">
        <v>457</v>
      </c>
      <c r="L44" s="32" t="n">
        <v>9</v>
      </c>
      <c r="M44" s="33" t="s">
        <v>458</v>
      </c>
      <c r="N44" s="34" t="n">
        <v>92200</v>
      </c>
      <c r="O44" s="35" t="s">
        <v>81</v>
      </c>
      <c r="P44" s="36" t="s">
        <v>459</v>
      </c>
      <c r="Q44" s="36" t="n">
        <v>2</v>
      </c>
      <c r="R44" s="32" t="n">
        <v>405</v>
      </c>
      <c r="S44" s="32" t="n">
        <v>18</v>
      </c>
      <c r="T44" s="32"/>
      <c r="U44" s="32" t="n">
        <v>3</v>
      </c>
      <c r="V44" s="37" t="n">
        <v>3</v>
      </c>
      <c r="W44" s="32" t="n">
        <v>3</v>
      </c>
      <c r="X44" s="34" t="n">
        <v>1</v>
      </c>
      <c r="Y44" s="34" t="n">
        <v>1</v>
      </c>
      <c r="Z44" s="32"/>
      <c r="AA44" s="32" t="s">
        <v>460</v>
      </c>
      <c r="AB44" s="42" t="s">
        <v>461</v>
      </c>
      <c r="AC44" s="38" t="str">
        <f aca="false">HYPERLINK("https://biocodex6--c.vf.force.com/0014L00000KFVDmQAP", "CAILLAUD BARANES GENEVIEVE")</f>
        <v>CAILLAUD BARANES GENEVIEVE</v>
      </c>
      <c r="AD44" s="38" t="str">
        <f aca="false">HYPERLINK("https://annuairesante.ameli.fr/professionnels-de-sante/recherche/fiche-detaillee-CbA1lTIwNzez.html", "CAILLAUD BARANES GENEVIEVE")</f>
        <v>CAILLAUD BARANES GENEVIEVE</v>
      </c>
      <c r="AE44" s="39" t="n">
        <v>45448.5416666667</v>
      </c>
      <c r="AF44" s="40" t="s">
        <v>462</v>
      </c>
      <c r="AG44" s="41" t="s">
        <v>69</v>
      </c>
      <c r="AH44" s="32" t="s">
        <v>70</v>
      </c>
      <c r="AI44" s="32" t="s">
        <v>71</v>
      </c>
      <c r="AJ44" s="42" t="s">
        <v>463</v>
      </c>
      <c r="AL44" s="43" t="s">
        <v>396</v>
      </c>
      <c r="AM44" s="43" t="s">
        <v>464</v>
      </c>
      <c r="AN44" s="43" t="s">
        <v>396</v>
      </c>
      <c r="AO44" s="43" t="s">
        <v>464</v>
      </c>
      <c r="AP44" s="43" t="s">
        <v>396</v>
      </c>
      <c r="AQ44" s="43" t="s">
        <v>464</v>
      </c>
      <c r="AR44" s="43" t="s">
        <v>396</v>
      </c>
      <c r="AS44" s="43" t="s">
        <v>464</v>
      </c>
      <c r="AT44" s="43" t="s">
        <v>396</v>
      </c>
      <c r="AU44" s="43" t="s">
        <v>464</v>
      </c>
      <c r="XEY44" s="27"/>
      <c r="XEZ44" s="27"/>
      <c r="XFA44" s="27"/>
      <c r="XFB44" s="27"/>
      <c r="XFC44" s="27"/>
      <c r="XFD44" s="27"/>
    </row>
    <row r="45" s="42" customFormat="true" ht="14.15" hidden="false" customHeight="true" outlineLevel="0" collapsed="false">
      <c r="A45" s="28" t="s">
        <v>465</v>
      </c>
      <c r="B45" s="29" t="s">
        <v>466</v>
      </c>
      <c r="C45" s="29" t="s">
        <v>467</v>
      </c>
      <c r="D45" s="30" t="s">
        <v>50</v>
      </c>
      <c r="E45" s="31"/>
      <c r="F45" s="32" t="n">
        <v>77</v>
      </c>
      <c r="G45" s="31" t="s">
        <v>61</v>
      </c>
      <c r="H45" s="31" t="n">
        <v>1</v>
      </c>
      <c r="I45" s="31" t="s">
        <v>99</v>
      </c>
      <c r="J45" s="29"/>
      <c r="K45" s="29" t="s">
        <v>468</v>
      </c>
      <c r="L45" s="32" t="n">
        <v>91</v>
      </c>
      <c r="M45" s="33" t="s">
        <v>469</v>
      </c>
      <c r="N45" s="34" t="n">
        <v>75015</v>
      </c>
      <c r="O45" s="35" t="s">
        <v>55</v>
      </c>
      <c r="P45" s="36" t="s">
        <v>470</v>
      </c>
      <c r="Q45" s="36" t="n">
        <v>1</v>
      </c>
      <c r="R45" s="32" t="n">
        <v>386</v>
      </c>
      <c r="S45" s="32" t="n">
        <v>18</v>
      </c>
      <c r="T45" s="32"/>
      <c r="U45" s="32" t="n">
        <v>3</v>
      </c>
      <c r="V45" s="37"/>
      <c r="W45" s="32" t="n">
        <v>3</v>
      </c>
      <c r="X45" s="34" t="n">
        <v>2</v>
      </c>
      <c r="Y45" s="34" t="n">
        <v>3</v>
      </c>
      <c r="Z45" s="32"/>
      <c r="AA45" s="32" t="s">
        <v>471</v>
      </c>
      <c r="AB45" s="32" t="s">
        <v>472</v>
      </c>
      <c r="AC45" s="42" t="str">
        <f aca="false">HYPERLINK("https://biocodex6--c.vf.force.com/0014L00000KFpTlQAL", "MAJSTER HENRI")</f>
        <v>MAJSTER HENRI</v>
      </c>
      <c r="AD45" s="32" t="str">
        <f aca="false">HYPERLINK("https://annuairesante.ameli.fr/professionnels-de-sante/recherche/fiche-detaillee-B7c1kDs3MjSy.html", "MAJSTER HENRI")</f>
        <v>MAJSTER HENRI</v>
      </c>
      <c r="AE45" s="39" t="n">
        <v>45180.5833333333</v>
      </c>
      <c r="AF45" s="40" t="s">
        <v>473</v>
      </c>
      <c r="AG45" s="41"/>
      <c r="AH45" s="32"/>
      <c r="AI45" s="47" t="s">
        <v>106</v>
      </c>
      <c r="AJ45" s="32"/>
      <c r="AK45" s="47"/>
      <c r="AL45" s="43" t="s">
        <v>474</v>
      </c>
      <c r="AM45" s="43" t="s">
        <v>475</v>
      </c>
      <c r="AN45" s="43" t="s">
        <v>474</v>
      </c>
      <c r="AO45" s="43" t="s">
        <v>475</v>
      </c>
      <c r="AP45" s="32"/>
      <c r="AQ45" s="32"/>
      <c r="AR45" s="43" t="s">
        <v>474</v>
      </c>
      <c r="AS45" s="43" t="s">
        <v>476</v>
      </c>
      <c r="AT45" s="43" t="s">
        <v>474</v>
      </c>
      <c r="AU45" s="43" t="s">
        <v>476</v>
      </c>
      <c r="XEY45" s="27"/>
      <c r="XEZ45" s="27"/>
      <c r="XFA45" s="27"/>
      <c r="XFB45" s="27"/>
      <c r="XFC45" s="27"/>
      <c r="XFD45" s="27"/>
    </row>
    <row r="46" s="42" customFormat="true" ht="14.15" hidden="false" customHeight="true" outlineLevel="0" collapsed="false">
      <c r="A46" s="28" t="s">
        <v>477</v>
      </c>
      <c r="B46" s="29" t="s">
        <v>478</v>
      </c>
      <c r="C46" s="29" t="s">
        <v>479</v>
      </c>
      <c r="D46" s="30" t="s">
        <v>50</v>
      </c>
      <c r="E46" s="31"/>
      <c r="F46" s="32" t="n">
        <v>81</v>
      </c>
      <c r="G46" s="31" t="s">
        <v>98</v>
      </c>
      <c r="H46" s="31" t="n">
        <v>1</v>
      </c>
      <c r="I46" s="31" t="s">
        <v>51</v>
      </c>
      <c r="J46" s="29"/>
      <c r="K46" s="29" t="s">
        <v>480</v>
      </c>
      <c r="L46" s="32" t="n">
        <v>62</v>
      </c>
      <c r="M46" s="33" t="s">
        <v>481</v>
      </c>
      <c r="N46" s="34" t="n">
        <v>75015</v>
      </c>
      <c r="O46" s="35" t="s">
        <v>55</v>
      </c>
      <c r="P46" s="36" t="s">
        <v>482</v>
      </c>
      <c r="Q46" s="36" t="n">
        <v>2</v>
      </c>
      <c r="R46" s="32" t="n">
        <v>323</v>
      </c>
      <c r="S46" s="32" t="n">
        <v>18</v>
      </c>
      <c r="T46" s="32"/>
      <c r="U46" s="32"/>
      <c r="V46" s="37" t="n">
        <v>3</v>
      </c>
      <c r="W46" s="32"/>
      <c r="X46" s="34" t="n">
        <v>1</v>
      </c>
      <c r="Y46" s="34"/>
      <c r="Z46" s="32"/>
      <c r="AA46" s="32" t="s">
        <v>483</v>
      </c>
      <c r="AB46" s="32" t="s">
        <v>484</v>
      </c>
      <c r="AC46" s="38" t="str">
        <f aca="false">HYPERLINK("https://biocodex6--c.vf.force.com/0014L00000KG6CxQAL", "ZITOUNI SALAH")</f>
        <v>ZITOUNI SALAH</v>
      </c>
      <c r="AD46" s="38" t="str">
        <f aca="false">HYPERLINK("https://annuairesante.ameli.fr/professionnels-de-sante/recherche/fiche-detaillee-B7c1kTM4Mju2.html", "ZITOUNI SALAH")</f>
        <v>ZITOUNI SALAH</v>
      </c>
      <c r="AE46" s="39" t="n">
        <v>45464.5833333333</v>
      </c>
      <c r="AF46" s="40" t="s">
        <v>485</v>
      </c>
      <c r="AG46" s="41"/>
      <c r="AH46" s="32"/>
      <c r="AI46" s="32" t="s">
        <v>71</v>
      </c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XEY46" s="27"/>
      <c r="XEZ46" s="27"/>
      <c r="XFA46" s="27"/>
      <c r="XFB46" s="27"/>
      <c r="XFC46" s="27"/>
      <c r="XFD46" s="27"/>
    </row>
    <row r="47" s="42" customFormat="true" ht="14.15" hidden="false" customHeight="true" outlineLevel="0" collapsed="false">
      <c r="A47" s="28" t="s">
        <v>486</v>
      </c>
      <c r="B47" s="29" t="s">
        <v>487</v>
      </c>
      <c r="C47" s="29" t="s">
        <v>488</v>
      </c>
      <c r="D47" s="30" t="s">
        <v>244</v>
      </c>
      <c r="E47" s="30" t="s">
        <v>245</v>
      </c>
      <c r="F47" s="32" t="n">
        <v>52</v>
      </c>
      <c r="G47" s="31"/>
      <c r="H47" s="31" t="n">
        <v>4</v>
      </c>
      <c r="I47" s="31" t="s">
        <v>295</v>
      </c>
      <c r="J47" s="29" t="s">
        <v>489</v>
      </c>
      <c r="K47" s="29" t="s">
        <v>490</v>
      </c>
      <c r="L47" s="32" t="n">
        <v>3</v>
      </c>
      <c r="M47" s="33" t="s">
        <v>491</v>
      </c>
      <c r="N47" s="34" t="n">
        <v>92300</v>
      </c>
      <c r="O47" s="35" t="s">
        <v>298</v>
      </c>
      <c r="P47" s="36" t="s">
        <v>492</v>
      </c>
      <c r="Q47" s="36" t="n">
        <v>26</v>
      </c>
      <c r="R47" s="32" t="n">
        <v>59</v>
      </c>
      <c r="S47" s="32" t="n">
        <v>18</v>
      </c>
      <c r="T47" s="32"/>
      <c r="U47" s="32"/>
      <c r="V47" s="37" t="n">
        <v>3</v>
      </c>
      <c r="W47" s="32"/>
      <c r="X47" s="34"/>
      <c r="Y47" s="34"/>
      <c r="Z47" s="32"/>
      <c r="AA47" s="32" t="s">
        <v>493</v>
      </c>
      <c r="AB47" s="32"/>
      <c r="AC47" s="38" t="str">
        <f aca="false">HYPERLINK("https://biocodex6--c.vf.force.com/0014L00000KFjYjQAL", "CLEMENT DENYS")</f>
        <v>CLEMENT DENYS</v>
      </c>
      <c r="AD47" s="38"/>
      <c r="AE47" s="39"/>
      <c r="AF47" s="40"/>
      <c r="AG47" s="41"/>
      <c r="AH47" s="32"/>
      <c r="AI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XEY47" s="27"/>
      <c r="XEZ47" s="27"/>
      <c r="XFA47" s="27"/>
      <c r="XFB47" s="27"/>
      <c r="XFC47" s="27"/>
      <c r="XFD47" s="27"/>
    </row>
    <row r="48" s="42" customFormat="true" ht="14.15" hidden="false" customHeight="true" outlineLevel="0" collapsed="false">
      <c r="A48" s="28" t="s">
        <v>494</v>
      </c>
      <c r="B48" s="29" t="s">
        <v>495</v>
      </c>
      <c r="C48" s="29" t="s">
        <v>496</v>
      </c>
      <c r="D48" s="30" t="s">
        <v>50</v>
      </c>
      <c r="E48" s="30" t="s">
        <v>255</v>
      </c>
      <c r="F48" s="32" t="n">
        <v>65</v>
      </c>
      <c r="G48" s="31" t="s">
        <v>98</v>
      </c>
      <c r="H48" s="31" t="n">
        <v>1</v>
      </c>
      <c r="I48" s="31" t="s">
        <v>77</v>
      </c>
      <c r="J48" s="29"/>
      <c r="K48" s="29" t="s">
        <v>497</v>
      </c>
      <c r="L48" s="32" t="n">
        <v>86</v>
      </c>
      <c r="M48" s="33" t="s">
        <v>498</v>
      </c>
      <c r="N48" s="34" t="n">
        <v>92200</v>
      </c>
      <c r="O48" s="35" t="s">
        <v>81</v>
      </c>
      <c r="P48" s="36" t="s">
        <v>499</v>
      </c>
      <c r="Q48" s="36" t="n">
        <v>1</v>
      </c>
      <c r="R48" s="32" t="n">
        <v>561</v>
      </c>
      <c r="S48" s="32" t="n">
        <v>17</v>
      </c>
      <c r="T48" s="32"/>
      <c r="U48" s="32" t="n">
        <v>3</v>
      </c>
      <c r="V48" s="37" t="n">
        <v>3</v>
      </c>
      <c r="W48" s="32" t="n">
        <v>3</v>
      </c>
      <c r="X48" s="34"/>
      <c r="Y48" s="34" t="n">
        <v>1</v>
      </c>
      <c r="Z48" s="32"/>
      <c r="AA48" s="32" t="s">
        <v>500</v>
      </c>
      <c r="AB48" s="32" t="s">
        <v>501</v>
      </c>
      <c r="AC48" s="38" t="str">
        <f aca="false">HYPERLINK("https://biocodex6--c.vf.force.com/0014L00000KFeiHQAT", "GABRIEL FRANCK")</f>
        <v>GABRIEL FRANCK</v>
      </c>
      <c r="AD48" s="38" t="str">
        <f aca="false">HYPERLINK("https://annuairesante.ameli.fr/professionnels-de-sante/recherche/fiche-detaillee-CbA1kzAxMzGx.html", "GABRIEL FRANCK")</f>
        <v>GABRIEL FRANCK</v>
      </c>
      <c r="AE48" s="39" t="n">
        <v>45202.5625</v>
      </c>
      <c r="AF48" s="40"/>
      <c r="AG48" s="41" t="n">
        <v>45363.5729166667</v>
      </c>
      <c r="AH48" s="32" t="s">
        <v>70</v>
      </c>
      <c r="AI48" s="32" t="s">
        <v>71</v>
      </c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XEY48" s="27"/>
      <c r="XEZ48" s="27"/>
      <c r="XFA48" s="27"/>
      <c r="XFB48" s="27"/>
      <c r="XFC48" s="27"/>
      <c r="XFD48" s="27"/>
    </row>
    <row r="49" s="42" customFormat="true" ht="14.15" hidden="false" customHeight="true" outlineLevel="0" collapsed="false">
      <c r="A49" s="28" t="s">
        <v>502</v>
      </c>
      <c r="B49" s="29" t="s">
        <v>503</v>
      </c>
      <c r="C49" s="29" t="s">
        <v>504</v>
      </c>
      <c r="D49" s="30" t="s">
        <v>50</v>
      </c>
      <c r="E49" s="30" t="s">
        <v>255</v>
      </c>
      <c r="F49" s="32" t="n">
        <v>70</v>
      </c>
      <c r="G49" s="31" t="s">
        <v>61</v>
      </c>
      <c r="H49" s="31" t="n">
        <v>1</v>
      </c>
      <c r="I49" s="31" t="s">
        <v>77</v>
      </c>
      <c r="J49" s="29"/>
      <c r="K49" s="29" t="s">
        <v>457</v>
      </c>
      <c r="L49" s="32" t="n">
        <v>9</v>
      </c>
      <c r="M49" s="33" t="s">
        <v>458</v>
      </c>
      <c r="N49" s="34" t="n">
        <v>92200</v>
      </c>
      <c r="O49" s="35" t="s">
        <v>81</v>
      </c>
      <c r="P49" s="36" t="s">
        <v>459</v>
      </c>
      <c r="Q49" s="36" t="n">
        <v>2</v>
      </c>
      <c r="R49" s="32" t="n">
        <v>512</v>
      </c>
      <c r="S49" s="32" t="n">
        <v>17</v>
      </c>
      <c r="T49" s="32"/>
      <c r="U49" s="32" t="n">
        <v>3</v>
      </c>
      <c r="V49" s="37" t="n">
        <v>3</v>
      </c>
      <c r="W49" s="32" t="n">
        <v>3</v>
      </c>
      <c r="X49" s="34" t="n">
        <v>1</v>
      </c>
      <c r="Y49" s="34" t="n">
        <v>2</v>
      </c>
      <c r="Z49" s="32"/>
      <c r="AA49" s="32" t="s">
        <v>505</v>
      </c>
      <c r="AB49" s="32" t="s">
        <v>506</v>
      </c>
      <c r="AC49" s="38" t="str">
        <f aca="false">HYPERLINK("https://biocodex6--c.vf.force.com/0014L00000KFRUsQAP", "BARANES ROBERT")</f>
        <v>BARANES ROBERT</v>
      </c>
      <c r="AD49" s="38" t="str">
        <f aca="false">HYPERLINK("https://annuairesante.ameli.fr/professionnels-de-sante/recherche/fiche-detaillee-CbA1lTIwNzS7.html", "BARANES ROBERT")</f>
        <v>BARANES ROBERT</v>
      </c>
      <c r="AE49" s="39" t="n">
        <v>45448.4166666667</v>
      </c>
      <c r="AF49" s="40" t="s">
        <v>507</v>
      </c>
      <c r="AG49" s="41" t="s">
        <v>125</v>
      </c>
      <c r="AH49" s="32" t="s">
        <v>70</v>
      </c>
      <c r="AI49" s="32" t="s">
        <v>71</v>
      </c>
      <c r="AL49" s="43" t="s">
        <v>508</v>
      </c>
      <c r="AM49" s="43" t="s">
        <v>443</v>
      </c>
      <c r="AN49" s="43" t="s">
        <v>508</v>
      </c>
      <c r="AO49" s="43" t="s">
        <v>443</v>
      </c>
      <c r="AP49" s="43" t="s">
        <v>508</v>
      </c>
      <c r="AQ49" s="43" t="s">
        <v>443</v>
      </c>
      <c r="AR49" s="43" t="s">
        <v>508</v>
      </c>
      <c r="AS49" s="43" t="s">
        <v>443</v>
      </c>
      <c r="AT49" s="43" t="s">
        <v>508</v>
      </c>
      <c r="AU49" s="43" t="s">
        <v>443</v>
      </c>
      <c r="XEY49" s="27"/>
      <c r="XEZ49" s="27"/>
      <c r="XFA49" s="27"/>
      <c r="XFB49" s="27"/>
      <c r="XFC49" s="27"/>
      <c r="XFD49" s="27"/>
    </row>
    <row r="50" s="42" customFormat="true" ht="14.15" hidden="false" customHeight="true" outlineLevel="0" collapsed="false">
      <c r="A50" s="28" t="s">
        <v>509</v>
      </c>
      <c r="B50" s="29" t="s">
        <v>320</v>
      </c>
      <c r="C50" s="29" t="s">
        <v>510</v>
      </c>
      <c r="D50" s="30" t="s">
        <v>50</v>
      </c>
      <c r="E50" s="31"/>
      <c r="F50" s="32" t="n">
        <v>55</v>
      </c>
      <c r="G50" s="31" t="s">
        <v>98</v>
      </c>
      <c r="H50" s="31" t="n">
        <v>1</v>
      </c>
      <c r="I50" s="31" t="s">
        <v>295</v>
      </c>
      <c r="J50" s="29"/>
      <c r="K50" s="29" t="s">
        <v>511</v>
      </c>
      <c r="L50" s="32" t="n">
        <v>39</v>
      </c>
      <c r="M50" s="33" t="s">
        <v>512</v>
      </c>
      <c r="N50" s="34" t="n">
        <v>92300</v>
      </c>
      <c r="O50" s="35" t="s">
        <v>298</v>
      </c>
      <c r="P50" s="36" t="s">
        <v>513</v>
      </c>
      <c r="Q50" s="36" t="n">
        <v>1</v>
      </c>
      <c r="R50" s="32" t="n">
        <v>316</v>
      </c>
      <c r="S50" s="32" t="n">
        <v>17</v>
      </c>
      <c r="T50" s="32"/>
      <c r="U50" s="32"/>
      <c r="V50" s="37" t="n">
        <v>3</v>
      </c>
      <c r="W50" s="32"/>
      <c r="X50" s="34"/>
      <c r="Y50" s="34"/>
      <c r="Z50" s="32"/>
      <c r="AA50" s="32" t="s">
        <v>514</v>
      </c>
      <c r="AB50" s="32" t="s">
        <v>515</v>
      </c>
      <c r="AC50" s="38" t="str">
        <f aca="false">HYPERLINK("https://biocodex6--c.vf.force.com/0014L00000KFUKxQAP", "BISMUTH SERGE")</f>
        <v>BISMUTH SERGE</v>
      </c>
      <c r="AD50" s="38" t="str">
        <f aca="false">HYPERLINK("https://annuairesante.ameli.fr/professionnels-de-sante/recherche/fiche-detaillee-CbA1kzcxMTe1.html", "BISMUTH SERGE")</f>
        <v>BISMUTH SERGE</v>
      </c>
      <c r="AE50" s="39" t="n">
        <v>45464.6875</v>
      </c>
      <c r="AF50" s="40" t="s">
        <v>516</v>
      </c>
      <c r="AG50" s="41"/>
      <c r="AH50" s="32"/>
      <c r="AI50" s="32"/>
      <c r="AL50" s="43" t="s">
        <v>517</v>
      </c>
      <c r="AM50" s="43" t="s">
        <v>126</v>
      </c>
      <c r="AN50" s="43" t="s">
        <v>517</v>
      </c>
      <c r="AO50" s="43" t="s">
        <v>126</v>
      </c>
      <c r="AP50" s="43" t="s">
        <v>517</v>
      </c>
      <c r="AQ50" s="43" t="s">
        <v>126</v>
      </c>
      <c r="AR50" s="43" t="s">
        <v>517</v>
      </c>
      <c r="AS50" s="43" t="s">
        <v>126</v>
      </c>
      <c r="AT50" s="43" t="s">
        <v>263</v>
      </c>
      <c r="AU50" s="43" t="s">
        <v>518</v>
      </c>
      <c r="XEY50" s="27"/>
      <c r="XEZ50" s="27"/>
      <c r="XFA50" s="27"/>
      <c r="XFB50" s="27"/>
      <c r="XFC50" s="27"/>
      <c r="XFD50" s="27"/>
    </row>
    <row r="51" s="42" customFormat="true" ht="14.15" hidden="false" customHeight="true" outlineLevel="0" collapsed="false">
      <c r="A51" s="28" t="s">
        <v>519</v>
      </c>
      <c r="B51" s="29" t="s">
        <v>195</v>
      </c>
      <c r="C51" s="29" t="s">
        <v>520</v>
      </c>
      <c r="D51" s="30" t="s">
        <v>50</v>
      </c>
      <c r="E51" s="31"/>
      <c r="F51" s="32" t="n">
        <v>66</v>
      </c>
      <c r="G51" s="31" t="s">
        <v>98</v>
      </c>
      <c r="H51" s="31" t="n">
        <v>1</v>
      </c>
      <c r="I51" s="31" t="s">
        <v>119</v>
      </c>
      <c r="J51" s="29"/>
      <c r="K51" s="29" t="s">
        <v>521</v>
      </c>
      <c r="L51" s="32" t="n">
        <v>39</v>
      </c>
      <c r="M51" s="33" t="s">
        <v>522</v>
      </c>
      <c r="N51" s="34" t="n">
        <v>75007</v>
      </c>
      <c r="O51" s="35" t="s">
        <v>55</v>
      </c>
      <c r="P51" s="36" t="s">
        <v>523</v>
      </c>
      <c r="Q51" s="36" t="n">
        <v>1</v>
      </c>
      <c r="R51" s="32" t="n">
        <v>837</v>
      </c>
      <c r="S51" s="32" t="n">
        <v>16</v>
      </c>
      <c r="T51" s="32"/>
      <c r="U51" s="32" t="n">
        <v>3</v>
      </c>
      <c r="V51" s="37" t="n">
        <v>3</v>
      </c>
      <c r="W51" s="32" t="n">
        <v>3</v>
      </c>
      <c r="X51" s="34" t="n">
        <v>1</v>
      </c>
      <c r="Y51" s="34" t="n">
        <v>3</v>
      </c>
      <c r="Z51" s="32"/>
      <c r="AA51" s="32" t="s">
        <v>524</v>
      </c>
      <c r="AB51" s="32" t="s">
        <v>525</v>
      </c>
      <c r="AC51" s="38" t="str">
        <f aca="false">HYPERLINK("https://biocodex6--c.vf.force.com/0014L00000KFqQ3QAL", "MARTINETTI PHILIPPE")</f>
        <v>MARTINETTI PHILIPPE</v>
      </c>
      <c r="AD51" s="38" t="str">
        <f aca="false">HYPERLINK("https://annuairesante.ameli.fr/professionnels-de-sante/recherche/fiche-detaillee-B7c1ljQ0NDG0.html", "MARTINETTI PHILIPPE")</f>
        <v>MARTINETTI PHILIPPE</v>
      </c>
      <c r="AE51" s="39" t="n">
        <v>45128.5416666667</v>
      </c>
      <c r="AF51" s="40"/>
      <c r="AG51" s="41" t="n">
        <v>45371.5</v>
      </c>
      <c r="AH51" s="32" t="s">
        <v>70</v>
      </c>
      <c r="AI51" s="32" t="s">
        <v>106</v>
      </c>
      <c r="AJ51" s="32" t="s">
        <v>526</v>
      </c>
      <c r="AK51" s="32"/>
      <c r="AL51" s="48" t="s">
        <v>85</v>
      </c>
      <c r="AM51" s="43" t="s">
        <v>262</v>
      </c>
      <c r="AN51" s="43" t="s">
        <v>85</v>
      </c>
      <c r="AO51" s="43" t="s">
        <v>262</v>
      </c>
      <c r="AP51" s="43" t="s">
        <v>527</v>
      </c>
      <c r="AQ51" s="43" t="s">
        <v>262</v>
      </c>
      <c r="AR51" s="43" t="s">
        <v>85</v>
      </c>
      <c r="AS51" s="43" t="s">
        <v>262</v>
      </c>
      <c r="AT51" s="43" t="s">
        <v>85</v>
      </c>
      <c r="AU51" s="43" t="s">
        <v>262</v>
      </c>
      <c r="XEY51" s="27"/>
      <c r="XEZ51" s="27"/>
      <c r="XFA51" s="27"/>
      <c r="XFB51" s="27"/>
      <c r="XFC51" s="27"/>
      <c r="XFD51" s="27"/>
    </row>
    <row r="52" s="42" customFormat="true" ht="14.15" hidden="false" customHeight="true" outlineLevel="0" collapsed="false">
      <c r="A52" s="28" t="s">
        <v>528</v>
      </c>
      <c r="B52" s="29" t="s">
        <v>195</v>
      </c>
      <c r="C52" s="29" t="s">
        <v>529</v>
      </c>
      <c r="D52" s="30" t="s">
        <v>50</v>
      </c>
      <c r="E52" s="31"/>
      <c r="F52" s="32" t="n">
        <v>58</v>
      </c>
      <c r="G52" s="31" t="s">
        <v>98</v>
      </c>
      <c r="H52" s="31" t="n">
        <v>3</v>
      </c>
      <c r="I52" s="31" t="s">
        <v>77</v>
      </c>
      <c r="J52" s="29"/>
      <c r="K52" s="29" t="s">
        <v>530</v>
      </c>
      <c r="L52" s="32" t="n">
        <v>155</v>
      </c>
      <c r="M52" s="33" t="s">
        <v>379</v>
      </c>
      <c r="N52" s="34" t="n">
        <v>92200</v>
      </c>
      <c r="O52" s="35" t="s">
        <v>81</v>
      </c>
      <c r="P52" s="36" t="s">
        <v>531</v>
      </c>
      <c r="Q52" s="36" t="n">
        <v>1</v>
      </c>
      <c r="R52" s="32" t="n">
        <v>457</v>
      </c>
      <c r="S52" s="32" t="n">
        <v>16</v>
      </c>
      <c r="T52" s="32"/>
      <c r="U52" s="32"/>
      <c r="V52" s="37" t="n">
        <v>3</v>
      </c>
      <c r="W52" s="32"/>
      <c r="X52" s="34"/>
      <c r="Y52" s="34"/>
      <c r="Z52" s="32"/>
      <c r="AA52" s="32" t="s">
        <v>532</v>
      </c>
      <c r="AB52" s="32" t="s">
        <v>533</v>
      </c>
      <c r="AC52" s="38" t="str">
        <f aca="false">HYPERLINK("https://biocodex6--c.vf.force.com/0014L00000KFUqMQAX", "BORDON PHILIPPE")</f>
        <v>BORDON PHILIPPE</v>
      </c>
      <c r="AD52" s="38" t="str">
        <f aca="false">HYPERLINK("https://annuairesante.ameli.fr/professionnels-de-sante/recherche/fiche-detaillee-CbA1kzY1MTey.html", "BORDON PHILIPPE")</f>
        <v>BORDON PHILIPPE</v>
      </c>
      <c r="AE52" s="39" t="n">
        <v>45464.7291666667</v>
      </c>
      <c r="AF52" s="40"/>
      <c r="AG52" s="41"/>
      <c r="AH52" s="32"/>
      <c r="AI52" s="32" t="s">
        <v>71</v>
      </c>
      <c r="AL52" s="43" t="s">
        <v>327</v>
      </c>
      <c r="AM52" s="43" t="s">
        <v>534</v>
      </c>
      <c r="AN52" s="43" t="s">
        <v>535</v>
      </c>
      <c r="AO52" s="43" t="s">
        <v>534</v>
      </c>
      <c r="AP52" s="43" t="s">
        <v>536</v>
      </c>
      <c r="AQ52" s="43" t="s">
        <v>534</v>
      </c>
      <c r="AR52" s="43" t="s">
        <v>535</v>
      </c>
      <c r="AS52" s="43" t="s">
        <v>534</v>
      </c>
      <c r="AT52" s="43" t="s">
        <v>327</v>
      </c>
      <c r="AU52" s="43" t="s">
        <v>534</v>
      </c>
      <c r="XEY52" s="27"/>
      <c r="XEZ52" s="27"/>
      <c r="XFA52" s="27"/>
      <c r="XFB52" s="27"/>
      <c r="XFC52" s="27"/>
      <c r="XFD52" s="27"/>
    </row>
    <row r="53" s="42" customFormat="true" ht="14.15" hidden="false" customHeight="true" outlineLevel="0" collapsed="false">
      <c r="A53" s="28" t="s">
        <v>537</v>
      </c>
      <c r="B53" s="29" t="s">
        <v>538</v>
      </c>
      <c r="C53" s="29" t="s">
        <v>539</v>
      </c>
      <c r="D53" s="30" t="s">
        <v>206</v>
      </c>
      <c r="E53" s="31"/>
      <c r="F53" s="32" t="n">
        <v>75</v>
      </c>
      <c r="G53" s="31"/>
      <c r="H53" s="31" t="n">
        <v>1</v>
      </c>
      <c r="I53" s="31" t="s">
        <v>51</v>
      </c>
      <c r="J53" s="29" t="s">
        <v>286</v>
      </c>
      <c r="K53" s="29" t="s">
        <v>287</v>
      </c>
      <c r="L53" s="32" t="n">
        <v>12</v>
      </c>
      <c r="M53" s="33" t="s">
        <v>288</v>
      </c>
      <c r="N53" s="34" t="n">
        <v>75015</v>
      </c>
      <c r="O53" s="35" t="s">
        <v>55</v>
      </c>
      <c r="P53" s="36" t="s">
        <v>289</v>
      </c>
      <c r="Q53" s="36" t="n">
        <v>14</v>
      </c>
      <c r="R53" s="32" t="n">
        <v>150</v>
      </c>
      <c r="S53" s="32" t="n">
        <v>16</v>
      </c>
      <c r="T53" s="32"/>
      <c r="U53" s="32" t="n">
        <v>3</v>
      </c>
      <c r="V53" s="37" t="n">
        <v>3</v>
      </c>
      <c r="W53" s="32" t="n">
        <v>4</v>
      </c>
      <c r="X53" s="34"/>
      <c r="Y53" s="34" t="n">
        <v>2</v>
      </c>
      <c r="Z53" s="32"/>
      <c r="AA53" s="32" t="s">
        <v>540</v>
      </c>
      <c r="AB53" s="32"/>
      <c r="AC53" s="38" t="str">
        <f aca="false">HYPERLINK("https://biocodex6--c.vf.force.com/0014L00000KFT9xQAH", "BERTHELOT LINE CHANTAL")</f>
        <v>BERTHELOT LINE CHANTAL</v>
      </c>
      <c r="AD53" s="38"/>
      <c r="AE53" s="39" t="n">
        <v>45342.5208333333</v>
      </c>
      <c r="AF53" s="40" t="s">
        <v>541</v>
      </c>
      <c r="AG53" s="41"/>
      <c r="AH53" s="32"/>
      <c r="AI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XEY53" s="27"/>
      <c r="XEZ53" s="27"/>
      <c r="XFA53" s="27"/>
      <c r="XFB53" s="27"/>
      <c r="XFC53" s="27"/>
      <c r="XFD53" s="27"/>
    </row>
    <row r="54" s="42" customFormat="true" ht="14.15" hidden="false" customHeight="true" outlineLevel="0" collapsed="false">
      <c r="A54" s="28" t="s">
        <v>542</v>
      </c>
      <c r="B54" s="29" t="s">
        <v>543</v>
      </c>
      <c r="C54" s="29" t="s">
        <v>544</v>
      </c>
      <c r="D54" s="30" t="s">
        <v>172</v>
      </c>
      <c r="E54" s="30" t="s">
        <v>545</v>
      </c>
      <c r="F54" s="32" t="n">
        <v>44</v>
      </c>
      <c r="G54" s="31"/>
      <c r="H54" s="31" t="n">
        <v>1</v>
      </c>
      <c r="I54" s="31" t="s">
        <v>197</v>
      </c>
      <c r="J54" s="29"/>
      <c r="K54" s="29" t="s">
        <v>546</v>
      </c>
      <c r="L54" s="32" t="n">
        <v>28</v>
      </c>
      <c r="M54" s="33" t="s">
        <v>547</v>
      </c>
      <c r="N54" s="34" t="n">
        <v>75017</v>
      </c>
      <c r="O54" s="35" t="s">
        <v>55</v>
      </c>
      <c r="P54" s="36" t="s">
        <v>548</v>
      </c>
      <c r="Q54" s="36" t="n">
        <v>1</v>
      </c>
      <c r="R54" s="32"/>
      <c r="S54" s="32" t="n">
        <v>16</v>
      </c>
      <c r="T54" s="32"/>
      <c r="U54" s="32"/>
      <c r="V54" s="37"/>
      <c r="W54" s="32"/>
      <c r="X54" s="34"/>
      <c r="Y54" s="34"/>
      <c r="Z54" s="36"/>
      <c r="AA54" s="36" t="s">
        <v>549</v>
      </c>
      <c r="AB54" s="44"/>
      <c r="AC54" s="38" t="str">
        <f aca="false">HYPERLINK("https://biocodex6--c.vf.force.com/0014L00000KFT6KQAX", "BERTHON CHRISTINE")</f>
        <v>BERTHON CHRISTINE</v>
      </c>
      <c r="AD54" s="38"/>
      <c r="AE54" s="39"/>
      <c r="AF54" s="40"/>
      <c r="AG54" s="41" t="n">
        <v>45366.625</v>
      </c>
      <c r="AH54" s="32" t="s">
        <v>70</v>
      </c>
      <c r="AI54" s="32" t="s">
        <v>71</v>
      </c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XEY54" s="27"/>
      <c r="XEZ54" s="27"/>
      <c r="XFA54" s="27"/>
      <c r="XFB54" s="27"/>
      <c r="XFC54" s="27"/>
      <c r="XFD54" s="27"/>
    </row>
    <row r="55" s="42" customFormat="true" ht="14.15" hidden="false" customHeight="true" outlineLevel="0" collapsed="false">
      <c r="A55" s="28" t="s">
        <v>550</v>
      </c>
      <c r="B55" s="29" t="s">
        <v>142</v>
      </c>
      <c r="C55" s="29" t="s">
        <v>551</v>
      </c>
      <c r="D55" s="30" t="s">
        <v>50</v>
      </c>
      <c r="E55" s="30" t="s">
        <v>552</v>
      </c>
      <c r="F55" s="32" t="n">
        <v>75</v>
      </c>
      <c r="G55" s="31" t="s">
        <v>215</v>
      </c>
      <c r="H55" s="31" t="n">
        <v>1</v>
      </c>
      <c r="I55" s="31" t="s">
        <v>119</v>
      </c>
      <c r="J55" s="29"/>
      <c r="K55" s="29" t="s">
        <v>553</v>
      </c>
      <c r="L55" s="32" t="n">
        <v>2</v>
      </c>
      <c r="M55" s="33" t="s">
        <v>554</v>
      </c>
      <c r="N55" s="34" t="n">
        <v>75007</v>
      </c>
      <c r="O55" s="35" t="s">
        <v>55</v>
      </c>
      <c r="P55" s="36" t="s">
        <v>555</v>
      </c>
      <c r="Q55" s="36" t="n">
        <v>5</v>
      </c>
      <c r="R55" s="32" t="n">
        <v>542</v>
      </c>
      <c r="S55" s="32" t="n">
        <v>15</v>
      </c>
      <c r="T55" s="32"/>
      <c r="U55" s="32" t="n">
        <v>3</v>
      </c>
      <c r="V55" s="37" t="n">
        <v>3</v>
      </c>
      <c r="W55" s="32" t="n">
        <v>3</v>
      </c>
      <c r="X55" s="34" t="n">
        <v>2</v>
      </c>
      <c r="Y55" s="34" t="n">
        <v>2</v>
      </c>
      <c r="Z55" s="32"/>
      <c r="AA55" s="32" t="s">
        <v>556</v>
      </c>
      <c r="AB55" s="32" t="s">
        <v>557</v>
      </c>
      <c r="AC55" s="38" t="str">
        <f aca="false">HYPERLINK("https://biocodex6--c.vf.force.com/0014L00000KG3DkQAL", "THUAIRE MICHEL")</f>
        <v>THUAIRE MICHEL</v>
      </c>
      <c r="AD55" s="38" t="str">
        <f aca="false">HYPERLINK("https://annuairesante.ameli.fr/professionnels-de-sante/recherche/fiche-detaillee-B7c1ljA3ODW3.html", "THUAIRE MICHEL")</f>
        <v>THUAIRE MICHEL</v>
      </c>
      <c r="AE55" s="39" t="n">
        <v>45180.6666666667</v>
      </c>
      <c r="AF55" s="40" t="s">
        <v>558</v>
      </c>
      <c r="AG55" s="41" t="n">
        <v>45362.5416666667</v>
      </c>
      <c r="AH55" s="32" t="s">
        <v>70</v>
      </c>
      <c r="AI55" s="47" t="s">
        <v>106</v>
      </c>
      <c r="AJ55" s="32"/>
      <c r="AK55" s="47"/>
      <c r="AL55" s="32"/>
      <c r="AM55" s="32" t="n">
        <v>0.541666666666667</v>
      </c>
      <c r="AN55" s="32"/>
      <c r="AO55" s="32" t="n">
        <v>0.541666666666667</v>
      </c>
      <c r="AP55" s="32"/>
      <c r="AQ55" s="32"/>
      <c r="AR55" s="32"/>
      <c r="AS55" s="32"/>
      <c r="AT55" s="32"/>
      <c r="AU55" s="32"/>
      <c r="XEY55" s="27"/>
      <c r="XEZ55" s="27"/>
      <c r="XFA55" s="27"/>
      <c r="XFB55" s="27"/>
      <c r="XFC55" s="27"/>
      <c r="XFD55" s="27"/>
    </row>
    <row r="56" s="42" customFormat="true" ht="14.15" hidden="false" customHeight="true" outlineLevel="0" collapsed="false">
      <c r="A56" s="28" t="s">
        <v>559</v>
      </c>
      <c r="B56" s="29" t="s">
        <v>560</v>
      </c>
      <c r="C56" s="29" t="s">
        <v>561</v>
      </c>
      <c r="D56" s="30" t="s">
        <v>50</v>
      </c>
      <c r="E56" s="31"/>
      <c r="F56" s="32" t="n">
        <v>69</v>
      </c>
      <c r="G56" s="31" t="s">
        <v>98</v>
      </c>
      <c r="H56" s="31" t="n">
        <v>1</v>
      </c>
      <c r="I56" s="31" t="s">
        <v>51</v>
      </c>
      <c r="J56" s="29"/>
      <c r="K56" s="29" t="s">
        <v>562</v>
      </c>
      <c r="L56" s="32" t="n">
        <v>112</v>
      </c>
      <c r="M56" s="33" t="s">
        <v>236</v>
      </c>
      <c r="N56" s="34" t="n">
        <v>75015</v>
      </c>
      <c r="O56" s="35" t="s">
        <v>55</v>
      </c>
      <c r="P56" s="36" t="s">
        <v>563</v>
      </c>
      <c r="Q56" s="36" t="n">
        <v>1</v>
      </c>
      <c r="R56" s="32" t="n">
        <v>246</v>
      </c>
      <c r="S56" s="32" t="n">
        <v>15</v>
      </c>
      <c r="T56" s="32"/>
      <c r="U56" s="32" t="n">
        <v>3</v>
      </c>
      <c r="V56" s="37" t="n">
        <v>3</v>
      </c>
      <c r="W56" s="32" t="n">
        <v>3</v>
      </c>
      <c r="X56" s="34" t="n">
        <v>2</v>
      </c>
      <c r="Y56" s="34" t="n">
        <v>1</v>
      </c>
      <c r="Z56" s="32"/>
      <c r="AA56" s="32" t="s">
        <v>564</v>
      </c>
      <c r="AB56" s="32" t="s">
        <v>565</v>
      </c>
      <c r="AC56" s="38" t="str">
        <f aca="false">HYPERLINK("https://biocodex6--c.vf.force.com/0014L00000KFUdcQAH", "BRAKHA ELISABETH")</f>
        <v>BRAKHA ELISABETH</v>
      </c>
      <c r="AD56" s="38" t="str">
        <f aca="false">HYPERLINK("https://annuairesante.ameli.fr/professionnels-de-sante/recherche/fiche-detaillee-B7c1ljQzMDG1.html", "BRAKHA ELISABETH")</f>
        <v>BRAKHA ELISABETH</v>
      </c>
      <c r="AE56" s="39" t="n">
        <v>45425.6875</v>
      </c>
      <c r="AF56" s="40" t="s">
        <v>566</v>
      </c>
      <c r="AG56" s="41" t="s">
        <v>69</v>
      </c>
      <c r="AH56" s="47" t="s">
        <v>70</v>
      </c>
      <c r="AI56" s="32" t="s">
        <v>106</v>
      </c>
      <c r="AJ56" s="47" t="s">
        <v>567</v>
      </c>
      <c r="AK56" s="32"/>
      <c r="AL56" s="47" t="n">
        <v>0.416666666666667</v>
      </c>
      <c r="AM56" s="32"/>
      <c r="AN56" s="47" t="n">
        <v>0.416666666666667</v>
      </c>
      <c r="AO56" s="32"/>
      <c r="AP56" s="32" t="n">
        <v>0.416666666666667</v>
      </c>
      <c r="AQ56" s="32"/>
      <c r="AR56" s="32" t="n">
        <v>0.416666666666667</v>
      </c>
      <c r="AS56" s="32"/>
      <c r="AT56" s="32"/>
      <c r="AU56" s="32"/>
      <c r="XEY56" s="27"/>
      <c r="XEZ56" s="27"/>
      <c r="XFA56" s="27"/>
      <c r="XFB56" s="27"/>
      <c r="XFC56" s="27"/>
      <c r="XFD56" s="27"/>
    </row>
    <row r="57" s="42" customFormat="true" ht="14.15" hidden="false" customHeight="true" outlineLevel="0" collapsed="false">
      <c r="A57" s="28" t="s">
        <v>568</v>
      </c>
      <c r="B57" s="29" t="s">
        <v>569</v>
      </c>
      <c r="C57" s="29" t="s">
        <v>570</v>
      </c>
      <c r="D57" s="30" t="s">
        <v>50</v>
      </c>
      <c r="E57" s="30" t="s">
        <v>571</v>
      </c>
      <c r="F57" s="32" t="n">
        <v>41</v>
      </c>
      <c r="G57" s="31"/>
      <c r="H57" s="31" t="n">
        <v>1</v>
      </c>
      <c r="I57" s="31" t="s">
        <v>572</v>
      </c>
      <c r="J57" s="29"/>
      <c r="K57" s="29" t="s">
        <v>573</v>
      </c>
      <c r="L57" s="32" t="n">
        <v>14</v>
      </c>
      <c r="M57" s="33" t="s">
        <v>574</v>
      </c>
      <c r="N57" s="34" t="n">
        <v>75008</v>
      </c>
      <c r="O57" s="35" t="s">
        <v>55</v>
      </c>
      <c r="P57" s="36" t="s">
        <v>575</v>
      </c>
      <c r="Q57" s="36" t="n">
        <v>1</v>
      </c>
      <c r="R57" s="32" t="n">
        <v>172</v>
      </c>
      <c r="S57" s="32" t="n">
        <v>15</v>
      </c>
      <c r="T57" s="32"/>
      <c r="U57" s="32"/>
      <c r="V57" s="37" t="n">
        <v>3</v>
      </c>
      <c r="W57" s="32"/>
      <c r="X57" s="34"/>
      <c r="Y57" s="34"/>
      <c r="Z57" s="32"/>
      <c r="AA57" s="32" t="s">
        <v>576</v>
      </c>
      <c r="AB57" s="32"/>
      <c r="AC57" s="38" t="str">
        <f aca="false">HYPERLINK("https://biocodex6--c.vf.force.com/0014L00000KFOJJQA5", "LOUAFI BEN YOUSSEF HEYFA")</f>
        <v>LOUAFI BEN YOUSSEF HEYFA</v>
      </c>
      <c r="AD57" s="38"/>
      <c r="AE57" s="39"/>
      <c r="AF57" s="40"/>
      <c r="AG57" s="41"/>
      <c r="AH57" s="32"/>
      <c r="AI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XEY57" s="27"/>
      <c r="XEZ57" s="27"/>
      <c r="XFA57" s="27"/>
      <c r="XFB57" s="27"/>
      <c r="XFC57" s="27"/>
      <c r="XFD57" s="27"/>
    </row>
    <row r="58" s="42" customFormat="true" ht="14.15" hidden="false" customHeight="true" outlineLevel="0" collapsed="false">
      <c r="A58" s="28" t="s">
        <v>577</v>
      </c>
      <c r="B58" s="29" t="s">
        <v>578</v>
      </c>
      <c r="C58" s="29" t="s">
        <v>579</v>
      </c>
      <c r="D58" s="30" t="s">
        <v>75</v>
      </c>
      <c r="E58" s="31"/>
      <c r="F58" s="32" t="n">
        <v>72</v>
      </c>
      <c r="G58" s="31" t="s">
        <v>215</v>
      </c>
      <c r="H58" s="31" t="n">
        <v>3</v>
      </c>
      <c r="I58" s="31" t="s">
        <v>77</v>
      </c>
      <c r="J58" s="29" t="s">
        <v>580</v>
      </c>
      <c r="K58" s="29" t="s">
        <v>581</v>
      </c>
      <c r="L58" s="32" t="n">
        <v>63</v>
      </c>
      <c r="M58" s="33" t="s">
        <v>80</v>
      </c>
      <c r="N58" s="34" t="n">
        <v>92200</v>
      </c>
      <c r="O58" s="35" t="s">
        <v>81</v>
      </c>
      <c r="P58" s="36" t="s">
        <v>582</v>
      </c>
      <c r="Q58" s="36" t="n">
        <v>39</v>
      </c>
      <c r="R58" s="32" t="n">
        <v>260</v>
      </c>
      <c r="S58" s="32" t="n">
        <v>14</v>
      </c>
      <c r="T58" s="32"/>
      <c r="U58" s="32"/>
      <c r="V58" s="37"/>
      <c r="W58" s="32" t="n">
        <v>3</v>
      </c>
      <c r="X58" s="34"/>
      <c r="Y58" s="34" t="n">
        <v>2</v>
      </c>
      <c r="Z58" s="32"/>
      <c r="AA58" s="32" t="s">
        <v>583</v>
      </c>
      <c r="AB58" s="32" t="s">
        <v>584</v>
      </c>
      <c r="AC58" s="38" t="str">
        <f aca="false">HYPERLINK("https://biocodex6--c.vf.force.com/0014L00000KFgUqQAL", "GOMPEL HERVE")</f>
        <v>GOMPEL HERVE</v>
      </c>
      <c r="AD58" s="38" t="str">
        <f aca="false">HYPERLINK("https://annuairesante.ameli.fr/professionnels-de-sante/recherche/fiche-detaillee-CbA1kzAyOTWw.html", "GOMPEL HERVE")</f>
        <v>GOMPEL HERVE</v>
      </c>
      <c r="AE58" s="39"/>
      <c r="AF58" s="40"/>
      <c r="AG58" s="41"/>
      <c r="AH58" s="32"/>
      <c r="AI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XEY58" s="27"/>
      <c r="XEZ58" s="27"/>
      <c r="XFA58" s="27"/>
      <c r="XFB58" s="27"/>
      <c r="XFC58" s="27"/>
      <c r="XFD58" s="27"/>
    </row>
    <row r="59" s="42" customFormat="true" ht="14.15" hidden="false" customHeight="true" outlineLevel="0" collapsed="false">
      <c r="A59" s="28" t="s">
        <v>585</v>
      </c>
      <c r="B59" s="29" t="s">
        <v>332</v>
      </c>
      <c r="C59" s="29" t="s">
        <v>586</v>
      </c>
      <c r="D59" s="30" t="s">
        <v>50</v>
      </c>
      <c r="E59" s="31"/>
      <c r="F59" s="32" t="n">
        <v>64</v>
      </c>
      <c r="G59" s="31" t="s">
        <v>98</v>
      </c>
      <c r="H59" s="31" t="n">
        <v>1</v>
      </c>
      <c r="I59" s="31" t="s">
        <v>51</v>
      </c>
      <c r="J59" s="29"/>
      <c r="K59" s="29" t="s">
        <v>587</v>
      </c>
      <c r="L59" s="32" t="n">
        <v>89</v>
      </c>
      <c r="M59" s="33" t="s">
        <v>588</v>
      </c>
      <c r="N59" s="34" t="n">
        <v>75015</v>
      </c>
      <c r="O59" s="35" t="s">
        <v>55</v>
      </c>
      <c r="P59" s="36" t="s">
        <v>589</v>
      </c>
      <c r="Q59" s="36" t="n">
        <v>2</v>
      </c>
      <c r="R59" s="32" t="n">
        <v>233</v>
      </c>
      <c r="S59" s="32" t="n">
        <v>14</v>
      </c>
      <c r="T59" s="32"/>
      <c r="U59" s="32"/>
      <c r="V59" s="37" t="n">
        <v>3</v>
      </c>
      <c r="W59" s="32"/>
      <c r="X59" s="34"/>
      <c r="Y59" s="34"/>
      <c r="Z59" s="32"/>
      <c r="AA59" s="32" t="s">
        <v>590</v>
      </c>
      <c r="AB59" s="32" t="s">
        <v>591</v>
      </c>
      <c r="AC59" s="38" t="str">
        <f aca="false">HYPERLINK("https://biocodex6--c.vf.force.com/0014L00000KG2bsQAD", "STEHELIN GAUDILLAT CATHERINE")</f>
        <v>STEHELIN GAUDILLAT CATHERINE</v>
      </c>
      <c r="AD59" s="38" t="str">
        <f aca="false">HYPERLINK("https://annuairesante.ameli.fr/professionnels-de-sante/recherche/fiche-detaillee-B7c1lzUxNjGz.html", "STEHELIN GAUDILLAT CATHERINE")</f>
        <v>STEHELIN GAUDILLAT CATHERINE</v>
      </c>
      <c r="AE59" s="39" t="n">
        <v>45267.6458333333</v>
      </c>
      <c r="AF59" s="40"/>
      <c r="AG59" s="41"/>
      <c r="AH59" s="32"/>
      <c r="AI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XEY59" s="27"/>
      <c r="XEZ59" s="27"/>
      <c r="XFA59" s="27"/>
      <c r="XFB59" s="27"/>
      <c r="XFC59" s="27"/>
      <c r="XFD59" s="27"/>
    </row>
    <row r="60" s="42" customFormat="true" ht="14.15" hidden="false" customHeight="true" outlineLevel="0" collapsed="false">
      <c r="A60" s="28" t="s">
        <v>592</v>
      </c>
      <c r="B60" s="29" t="s">
        <v>593</v>
      </c>
      <c r="C60" s="29" t="s">
        <v>594</v>
      </c>
      <c r="D60" s="30" t="s">
        <v>50</v>
      </c>
      <c r="E60" s="30" t="s">
        <v>76</v>
      </c>
      <c r="F60" s="32" t="n">
        <v>38</v>
      </c>
      <c r="G60" s="31"/>
      <c r="H60" s="31" t="n">
        <v>2</v>
      </c>
      <c r="I60" s="31" t="s">
        <v>99</v>
      </c>
      <c r="J60" s="29" t="s">
        <v>595</v>
      </c>
      <c r="K60" s="29" t="s">
        <v>596</v>
      </c>
      <c r="L60" s="32" t="n">
        <v>20</v>
      </c>
      <c r="M60" s="33" t="s">
        <v>597</v>
      </c>
      <c r="N60" s="34" t="n">
        <v>75015</v>
      </c>
      <c r="O60" s="35" t="s">
        <v>55</v>
      </c>
      <c r="P60" s="36" t="s">
        <v>598</v>
      </c>
      <c r="Q60" s="36" t="n">
        <v>90</v>
      </c>
      <c r="R60" s="32" t="n">
        <v>159</v>
      </c>
      <c r="S60" s="32" t="n">
        <v>14</v>
      </c>
      <c r="T60" s="32"/>
      <c r="U60" s="32"/>
      <c r="V60" s="37" t="n">
        <v>3</v>
      </c>
      <c r="W60" s="32"/>
      <c r="X60" s="34"/>
      <c r="Y60" s="34"/>
      <c r="Z60" s="32"/>
      <c r="AA60" s="32" t="s">
        <v>599</v>
      </c>
      <c r="AB60" s="32"/>
      <c r="AC60" s="38" t="str">
        <f aca="false">HYPERLINK("https://biocodex6--c.vf.force.com/0014L00000KFNyLQAX", "SMULEVICI ANTOINE")</f>
        <v>SMULEVICI ANTOINE</v>
      </c>
      <c r="AD60" s="38"/>
      <c r="AE60" s="39"/>
      <c r="AF60" s="40"/>
      <c r="AG60" s="41"/>
      <c r="AH60" s="32"/>
      <c r="AI60" s="32" t="s">
        <v>168</v>
      </c>
      <c r="AJ60" s="42" t="s">
        <v>600</v>
      </c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XEY60" s="27"/>
      <c r="XEZ60" s="27"/>
      <c r="XFA60" s="27"/>
      <c r="XFB60" s="27"/>
      <c r="XFC60" s="27"/>
      <c r="XFD60" s="27"/>
    </row>
    <row r="61" s="42" customFormat="true" ht="14.15" hidden="false" customHeight="true" outlineLevel="0" collapsed="false">
      <c r="A61" s="28" t="s">
        <v>601</v>
      </c>
      <c r="B61" s="29" t="s">
        <v>602</v>
      </c>
      <c r="C61" s="29" t="s">
        <v>603</v>
      </c>
      <c r="D61" s="30" t="s">
        <v>50</v>
      </c>
      <c r="E61" s="31"/>
      <c r="F61" s="32" t="n">
        <v>51</v>
      </c>
      <c r="G61" s="31" t="s">
        <v>98</v>
      </c>
      <c r="H61" s="31" t="n">
        <v>1</v>
      </c>
      <c r="I61" s="31" t="s">
        <v>197</v>
      </c>
      <c r="J61" s="29"/>
      <c r="K61" s="29" t="s">
        <v>604</v>
      </c>
      <c r="L61" s="32" t="n">
        <v>36</v>
      </c>
      <c r="M61" s="33" t="s">
        <v>605</v>
      </c>
      <c r="N61" s="34" t="n">
        <v>75017</v>
      </c>
      <c r="O61" s="35" t="s">
        <v>55</v>
      </c>
      <c r="P61" s="36" t="s">
        <v>606</v>
      </c>
      <c r="Q61" s="36" t="n">
        <v>2</v>
      </c>
      <c r="R61" s="32" t="n">
        <v>150</v>
      </c>
      <c r="S61" s="32" t="n">
        <v>14</v>
      </c>
      <c r="T61" s="32"/>
      <c r="U61" s="32"/>
      <c r="V61" s="37" t="n">
        <v>3</v>
      </c>
      <c r="W61" s="32"/>
      <c r="X61" s="34"/>
      <c r="Y61" s="34" t="n">
        <v>2</v>
      </c>
      <c r="Z61" s="32"/>
      <c r="AA61" s="32" t="s">
        <v>607</v>
      </c>
      <c r="AB61" s="32" t="s">
        <v>608</v>
      </c>
      <c r="AC61" s="38" t="str">
        <f aca="false">HYPERLINK("https://biocodex6--c.vf.force.com/0014L00000KG76hQAD", "YOKA HUGUETTE")</f>
        <v>YOKA HUGUETTE</v>
      </c>
      <c r="AD61" s="38" t="str">
        <f aca="false">HYPERLINK("https://annuairesante.ameli.fr/professionnels-de-sante/recherche/fiche-detaillee-B7c1kjQyMDaz.html", "YOKA HUGUETTE")</f>
        <v>YOKA HUGUETTE</v>
      </c>
      <c r="AE61" s="39"/>
      <c r="AF61" s="40"/>
      <c r="AG61" s="41"/>
      <c r="AH61" s="32"/>
      <c r="AI61" s="32"/>
      <c r="AL61" s="43" t="s">
        <v>609</v>
      </c>
      <c r="AM61" s="43" t="s">
        <v>126</v>
      </c>
      <c r="AN61" s="43" t="s">
        <v>609</v>
      </c>
      <c r="AO61" s="43" t="s">
        <v>126</v>
      </c>
      <c r="AP61" s="43" t="s">
        <v>610</v>
      </c>
      <c r="AQ61" s="43" t="s">
        <v>262</v>
      </c>
      <c r="AR61" s="43" t="s">
        <v>609</v>
      </c>
      <c r="AS61" s="43" t="s">
        <v>126</v>
      </c>
      <c r="AT61" s="43" t="s">
        <v>609</v>
      </c>
      <c r="AU61" s="43" t="s">
        <v>126</v>
      </c>
      <c r="XEY61" s="27"/>
      <c r="XEZ61" s="27"/>
      <c r="XFA61" s="27"/>
      <c r="XFB61" s="27"/>
      <c r="XFC61" s="27"/>
      <c r="XFD61" s="27"/>
    </row>
    <row r="62" s="42" customFormat="true" ht="14.15" hidden="false" customHeight="true" outlineLevel="0" collapsed="false">
      <c r="A62" s="28" t="s">
        <v>611</v>
      </c>
      <c r="B62" s="29" t="s">
        <v>612</v>
      </c>
      <c r="C62" s="29" t="s">
        <v>613</v>
      </c>
      <c r="D62" s="30" t="s">
        <v>244</v>
      </c>
      <c r="E62" s="30" t="s">
        <v>245</v>
      </c>
      <c r="F62" s="32" t="n">
        <v>62</v>
      </c>
      <c r="G62" s="31" t="s">
        <v>215</v>
      </c>
      <c r="H62" s="31" t="n">
        <v>3</v>
      </c>
      <c r="I62" s="31" t="s">
        <v>77</v>
      </c>
      <c r="J62" s="29" t="s">
        <v>246</v>
      </c>
      <c r="K62" s="29" t="s">
        <v>247</v>
      </c>
      <c r="L62" s="32" t="n">
        <v>36</v>
      </c>
      <c r="M62" s="33" t="s">
        <v>248</v>
      </c>
      <c r="N62" s="34" t="n">
        <v>92200</v>
      </c>
      <c r="O62" s="35" t="s">
        <v>81</v>
      </c>
      <c r="P62" s="36" t="s">
        <v>614</v>
      </c>
      <c r="Q62" s="36" t="n">
        <v>49</v>
      </c>
      <c r="R62" s="32" t="n">
        <v>118</v>
      </c>
      <c r="S62" s="32" t="n">
        <v>14</v>
      </c>
      <c r="T62" s="32"/>
      <c r="U62" s="32"/>
      <c r="V62" s="37"/>
      <c r="W62" s="32" t="n">
        <v>3</v>
      </c>
      <c r="X62" s="34" t="n">
        <v>1</v>
      </c>
      <c r="Y62" s="34" t="n">
        <v>1</v>
      </c>
      <c r="Z62" s="32" t="s">
        <v>615</v>
      </c>
      <c r="AA62" s="32" t="s">
        <v>616</v>
      </c>
      <c r="AB62" s="32" t="s">
        <v>617</v>
      </c>
      <c r="AC62" s="38" t="str">
        <f aca="false">HYPERLINK("https://biocodex6--c.vf.force.com/0014L00000KFt4mQAD", "MOSER CORINNE")</f>
        <v>MOSER CORINNE</v>
      </c>
      <c r="AD62" s="38" t="str">
        <f aca="false">HYPERLINK("https://annuairesante.ameli.fr/professionnels-de-sante/recherche/fiche-detaillee-CbA1mjYzMDKz.html", "MOSER CORINNE")</f>
        <v>MOSER CORINNE</v>
      </c>
      <c r="AE62" s="39" t="n">
        <v>45184.6666666667</v>
      </c>
      <c r="AF62" s="40"/>
      <c r="AG62" s="41"/>
      <c r="AH62" s="32"/>
      <c r="AI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XEY62" s="27"/>
      <c r="XEZ62" s="27"/>
      <c r="XFA62" s="27"/>
      <c r="XFB62" s="27"/>
      <c r="XFC62" s="27"/>
      <c r="XFD62" s="27"/>
    </row>
    <row r="63" s="42" customFormat="true" ht="14.15" hidden="false" customHeight="true" outlineLevel="0" collapsed="false">
      <c r="A63" s="28" t="s">
        <v>618</v>
      </c>
      <c r="B63" s="29" t="s">
        <v>619</v>
      </c>
      <c r="C63" s="29" t="s">
        <v>620</v>
      </c>
      <c r="D63" s="30" t="s">
        <v>244</v>
      </c>
      <c r="E63" s="30" t="s">
        <v>245</v>
      </c>
      <c r="F63" s="32" t="n">
        <v>70</v>
      </c>
      <c r="G63" s="31" t="s">
        <v>215</v>
      </c>
      <c r="H63" s="31" t="n">
        <v>3</v>
      </c>
      <c r="I63" s="31" t="s">
        <v>77</v>
      </c>
      <c r="J63" s="29" t="s">
        <v>580</v>
      </c>
      <c r="K63" s="29" t="s">
        <v>581</v>
      </c>
      <c r="L63" s="32" t="n">
        <v>63</v>
      </c>
      <c r="M63" s="33" t="s">
        <v>80</v>
      </c>
      <c r="N63" s="34" t="n">
        <v>92200</v>
      </c>
      <c r="O63" s="35" t="s">
        <v>81</v>
      </c>
      <c r="P63" s="36" t="s">
        <v>621</v>
      </c>
      <c r="Q63" s="36" t="n">
        <v>39</v>
      </c>
      <c r="R63" s="32" t="n">
        <v>118</v>
      </c>
      <c r="S63" s="32" t="n">
        <v>14</v>
      </c>
      <c r="T63" s="32"/>
      <c r="U63" s="32"/>
      <c r="V63" s="37"/>
      <c r="W63" s="32" t="n">
        <v>3</v>
      </c>
      <c r="X63" s="34"/>
      <c r="Y63" s="34"/>
      <c r="Z63" s="32"/>
      <c r="AA63" s="32" t="s">
        <v>622</v>
      </c>
      <c r="AB63" s="32" t="s">
        <v>623</v>
      </c>
      <c r="AC63" s="38" t="str">
        <f aca="false">HYPERLINK("https://biocodex6--c.vf.force.com/0014L00000KFUdeQAH", "BRAMI CHARLES")</f>
        <v>BRAMI CHARLES</v>
      </c>
      <c r="AD63" s="38" t="str">
        <f aca="false">HYPERLINK("https://annuairesante.ameli.fr/professionnels-de-sante/recherche/fiche-detaillee-B7c1ljU3NjCx.html", "BRAMI CHARLES")</f>
        <v>BRAMI CHARLES</v>
      </c>
      <c r="AE63" s="39"/>
      <c r="AF63" s="40"/>
      <c r="AG63" s="41"/>
      <c r="AH63" s="32"/>
      <c r="AI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XEY63" s="27"/>
      <c r="XEZ63" s="27"/>
      <c r="XFA63" s="27"/>
      <c r="XFB63" s="27"/>
      <c r="XFC63" s="27"/>
      <c r="XFD63" s="27"/>
    </row>
    <row r="64" s="42" customFormat="true" ht="14.15" hidden="false" customHeight="true" outlineLevel="0" collapsed="false">
      <c r="A64" s="28" t="s">
        <v>624</v>
      </c>
      <c r="B64" s="29" t="s">
        <v>376</v>
      </c>
      <c r="C64" s="29" t="s">
        <v>625</v>
      </c>
      <c r="D64" s="30" t="s">
        <v>50</v>
      </c>
      <c r="E64" s="31"/>
      <c r="F64" s="32" t="n">
        <v>46</v>
      </c>
      <c r="G64" s="31" t="s">
        <v>215</v>
      </c>
      <c r="H64" s="31" t="n">
        <v>3</v>
      </c>
      <c r="I64" s="31" t="s">
        <v>77</v>
      </c>
      <c r="J64" s="29"/>
      <c r="K64" s="29" t="s">
        <v>626</v>
      </c>
      <c r="L64" s="32" t="n">
        <v>10</v>
      </c>
      <c r="M64" s="33" t="s">
        <v>627</v>
      </c>
      <c r="N64" s="34" t="n">
        <v>92200</v>
      </c>
      <c r="O64" s="35" t="s">
        <v>81</v>
      </c>
      <c r="P64" s="36" t="s">
        <v>628</v>
      </c>
      <c r="Q64" s="36" t="n">
        <v>1</v>
      </c>
      <c r="R64" s="32" t="n">
        <v>443</v>
      </c>
      <c r="S64" s="32" t="n">
        <v>13</v>
      </c>
      <c r="T64" s="32"/>
      <c r="U64" s="32"/>
      <c r="V64" s="37" t="n">
        <v>3</v>
      </c>
      <c r="W64" s="32"/>
      <c r="X64" s="34"/>
      <c r="Y64" s="34"/>
      <c r="Z64" s="32"/>
      <c r="AA64" s="32" t="s">
        <v>629</v>
      </c>
      <c r="AB64" s="32" t="s">
        <v>630</v>
      </c>
      <c r="AC64" s="38" t="str">
        <f aca="false">HYPERLINK("https://biocodex6--c.vf.force.com/0014L00000KFXRsQAP", "FOUQUIER D HEROUEL ALEXANDRE")</f>
        <v>FOUQUIER D HEROUEL ALEXANDRE</v>
      </c>
      <c r="AD64" s="38" t="str">
        <f aca="false">HYPERLINK("https://annuairesante.ameli.fr/professionnels-de-sante/recherche/fiche-detaillee-CbA1mjEzMjO6.html", "FOUQUIER D HEROUEL ALEXANDRE")</f>
        <v>FOUQUIER D HEROUEL ALEXANDRE</v>
      </c>
      <c r="AE64" s="39" t="n">
        <v>45463.7291666667</v>
      </c>
      <c r="AF64" s="40"/>
      <c r="AG64" s="41"/>
      <c r="AH64" s="32"/>
      <c r="AI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XEY64" s="27"/>
      <c r="XEZ64" s="27"/>
      <c r="XFA64" s="27"/>
      <c r="XFB64" s="27"/>
      <c r="XFC64" s="27"/>
      <c r="XFD64" s="27"/>
    </row>
    <row r="65" s="42" customFormat="true" ht="14.15" hidden="false" customHeight="true" outlineLevel="0" collapsed="false">
      <c r="A65" s="28" t="s">
        <v>631</v>
      </c>
      <c r="B65" s="29" t="s">
        <v>632</v>
      </c>
      <c r="C65" s="29" t="s">
        <v>633</v>
      </c>
      <c r="D65" s="30" t="s">
        <v>50</v>
      </c>
      <c r="E65" s="31"/>
      <c r="F65" s="32" t="n">
        <v>60</v>
      </c>
      <c r="G65" s="31" t="s">
        <v>98</v>
      </c>
      <c r="H65" s="31" t="n">
        <v>1</v>
      </c>
      <c r="I65" s="31" t="s">
        <v>295</v>
      </c>
      <c r="J65" s="29"/>
      <c r="K65" s="29" t="s">
        <v>634</v>
      </c>
      <c r="L65" s="32" t="n">
        <v>89</v>
      </c>
      <c r="M65" s="33" t="s">
        <v>635</v>
      </c>
      <c r="N65" s="34" t="n">
        <v>92300</v>
      </c>
      <c r="O65" s="35" t="s">
        <v>298</v>
      </c>
      <c r="P65" s="36" t="s">
        <v>636</v>
      </c>
      <c r="Q65" s="36" t="n">
        <v>3</v>
      </c>
      <c r="R65" s="32" t="n">
        <v>308</v>
      </c>
      <c r="S65" s="32" t="n">
        <v>13</v>
      </c>
      <c r="T65" s="32"/>
      <c r="U65" s="32"/>
      <c r="V65" s="37" t="n">
        <v>3</v>
      </c>
      <c r="W65" s="32"/>
      <c r="X65" s="34"/>
      <c r="Y65" s="34"/>
      <c r="Z65" s="32"/>
      <c r="AA65" s="32" t="s">
        <v>637</v>
      </c>
      <c r="AB65" s="32" t="s">
        <v>638</v>
      </c>
      <c r="AC65" s="38" t="str">
        <f aca="false">HYPERLINK("https://biocodex6--c.vf.force.com/0014L00000KFyFuQAL", "REBETEZ MARIE CHRISTINE")</f>
        <v>REBETEZ MARIE CHRISTINE</v>
      </c>
      <c r="AD65" s="38" t="str">
        <f aca="false">HYPERLINK("https://annuairesante.ameli.fr/professionnels-de-sante/recherche/fiche-detaillee-CbA1kzQ2NTay.html", "REBETEZ MARIE CHRISTINE")</f>
        <v>REBETEZ MARIE CHRISTINE</v>
      </c>
      <c r="AE65" s="39"/>
      <c r="AF65" s="40"/>
      <c r="AG65" s="41"/>
      <c r="AH65" s="32"/>
      <c r="AI65" s="32"/>
      <c r="AL65" s="43" t="s">
        <v>639</v>
      </c>
      <c r="AM65" s="43" t="s">
        <v>262</v>
      </c>
      <c r="AN65" s="43" t="s">
        <v>640</v>
      </c>
      <c r="AO65" s="43" t="s">
        <v>518</v>
      </c>
      <c r="AP65" s="43" t="s">
        <v>640</v>
      </c>
      <c r="AQ65" s="43" t="s">
        <v>137</v>
      </c>
      <c r="AR65" s="43" t="s">
        <v>641</v>
      </c>
      <c r="AS65" s="32"/>
      <c r="AT65" s="43" t="s">
        <v>639</v>
      </c>
      <c r="AU65" s="43" t="s">
        <v>476</v>
      </c>
      <c r="XEY65" s="27"/>
      <c r="XEZ65" s="27"/>
      <c r="XFA65" s="27"/>
      <c r="XFB65" s="27"/>
      <c r="XFC65" s="27"/>
      <c r="XFD65" s="27"/>
    </row>
    <row r="66" s="42" customFormat="true" ht="14.15" hidden="false" customHeight="true" outlineLevel="0" collapsed="false">
      <c r="A66" s="28" t="s">
        <v>642</v>
      </c>
      <c r="B66" s="29" t="s">
        <v>643</v>
      </c>
      <c r="C66" s="29" t="s">
        <v>644</v>
      </c>
      <c r="D66" s="30" t="s">
        <v>50</v>
      </c>
      <c r="E66" s="31"/>
      <c r="F66" s="32" t="n">
        <v>71</v>
      </c>
      <c r="G66" s="31" t="s">
        <v>215</v>
      </c>
      <c r="H66" s="31" t="n">
        <v>1</v>
      </c>
      <c r="I66" s="31" t="s">
        <v>62</v>
      </c>
      <c r="J66" s="29"/>
      <c r="K66" s="29" t="s">
        <v>645</v>
      </c>
      <c r="L66" s="32" t="n">
        <v>157</v>
      </c>
      <c r="M66" s="33" t="s">
        <v>646</v>
      </c>
      <c r="N66" s="34" t="n">
        <v>75017</v>
      </c>
      <c r="O66" s="35" t="s">
        <v>55</v>
      </c>
      <c r="P66" s="36" t="s">
        <v>647</v>
      </c>
      <c r="Q66" s="36" t="n">
        <v>1</v>
      </c>
      <c r="R66" s="32" t="n">
        <v>290</v>
      </c>
      <c r="S66" s="32" t="n">
        <v>13</v>
      </c>
      <c r="T66" s="32"/>
      <c r="U66" s="32" t="n">
        <v>3</v>
      </c>
      <c r="V66" s="37" t="n">
        <v>3</v>
      </c>
      <c r="W66" s="32" t="n">
        <v>2</v>
      </c>
      <c r="X66" s="34" t="n">
        <v>1</v>
      </c>
      <c r="Y66" s="34" t="n">
        <v>2</v>
      </c>
      <c r="Z66" s="32"/>
      <c r="AA66" s="32" t="s">
        <v>648</v>
      </c>
      <c r="AB66" s="32" t="s">
        <v>649</v>
      </c>
      <c r="AC66" s="38" t="str">
        <f aca="false">HYPERLINK("https://biocodex6--c.vf.force.com/0014L00000KFWRpQAP", "CHEVALIER PIERRE")</f>
        <v>CHEVALIER PIERRE</v>
      </c>
      <c r="AD66" s="38" t="str">
        <f aca="false">HYPERLINK("https://annuairesante.ameli.fr/professionnels-de-sante/recherche/fiche-detaillee-B7c1ljI3Mze0.html", "CHEVALIER PIERRE")</f>
        <v>CHEVALIER PIERRE</v>
      </c>
      <c r="AE66" s="39" t="n">
        <v>45329.5833333333</v>
      </c>
      <c r="AF66" s="40" t="s">
        <v>650</v>
      </c>
      <c r="AG66" s="41"/>
      <c r="AH66" s="32"/>
      <c r="AI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XEY66" s="27"/>
      <c r="XEZ66" s="27"/>
      <c r="XFA66" s="27"/>
      <c r="XFB66" s="27"/>
      <c r="XFC66" s="27"/>
      <c r="XFD66" s="27"/>
    </row>
    <row r="67" s="42" customFormat="true" ht="14.15" hidden="false" customHeight="true" outlineLevel="0" collapsed="false">
      <c r="A67" s="28" t="s">
        <v>651</v>
      </c>
      <c r="B67" s="29" t="s">
        <v>652</v>
      </c>
      <c r="C67" s="29" t="s">
        <v>653</v>
      </c>
      <c r="D67" s="30" t="s">
        <v>50</v>
      </c>
      <c r="E67" s="31"/>
      <c r="F67" s="32" t="n">
        <v>64</v>
      </c>
      <c r="G67" s="31" t="s">
        <v>98</v>
      </c>
      <c r="H67" s="31" t="n">
        <v>1</v>
      </c>
      <c r="I67" s="31" t="s">
        <v>51</v>
      </c>
      <c r="J67" s="29"/>
      <c r="K67" s="29" t="s">
        <v>587</v>
      </c>
      <c r="L67" s="32" t="n">
        <v>89</v>
      </c>
      <c r="M67" s="33" t="s">
        <v>588</v>
      </c>
      <c r="N67" s="34" t="n">
        <v>75015</v>
      </c>
      <c r="O67" s="35" t="s">
        <v>55</v>
      </c>
      <c r="P67" s="36" t="s">
        <v>654</v>
      </c>
      <c r="Q67" s="36" t="n">
        <v>2</v>
      </c>
      <c r="R67" s="32" t="n">
        <v>250</v>
      </c>
      <c r="S67" s="32" t="n">
        <v>13</v>
      </c>
      <c r="T67" s="32"/>
      <c r="U67" s="32"/>
      <c r="V67" s="37" t="n">
        <v>3</v>
      </c>
      <c r="W67" s="32"/>
      <c r="X67" s="34"/>
      <c r="Y67" s="34"/>
      <c r="Z67" s="32"/>
      <c r="AA67" s="32" t="s">
        <v>655</v>
      </c>
      <c r="AB67" s="32" t="s">
        <v>656</v>
      </c>
      <c r="AC67" s="38" t="str">
        <f aca="false">HYPERLINK("https://biocodex6--c.vf.force.com/0014L00000KG3IgQAL", "TINGRY SOPHIE")</f>
        <v>TINGRY SOPHIE</v>
      </c>
      <c r="AD67" s="38" t="str">
        <f aca="false">HYPERLINK("https://annuairesante.ameli.fr/professionnels-de-sante/recherche/fiche-detaillee-B7c1lzc3Mzuy.html", "TINGRY SOPHIE")</f>
        <v>TINGRY SOPHIE</v>
      </c>
      <c r="AE67" s="39" t="n">
        <v>45266.6458333333</v>
      </c>
      <c r="AF67" s="40"/>
      <c r="AG67" s="41"/>
      <c r="AH67" s="32"/>
      <c r="AI67" s="32"/>
      <c r="AL67" s="43" t="s">
        <v>657</v>
      </c>
      <c r="AM67" s="43" t="s">
        <v>658</v>
      </c>
      <c r="AN67" s="43" t="s">
        <v>659</v>
      </c>
      <c r="AO67" s="43" t="s">
        <v>660</v>
      </c>
      <c r="AP67" s="43" t="s">
        <v>659</v>
      </c>
      <c r="AQ67" s="43" t="s">
        <v>660</v>
      </c>
      <c r="AR67" s="43" t="s">
        <v>657</v>
      </c>
      <c r="AS67" s="43" t="s">
        <v>658</v>
      </c>
      <c r="AT67" s="43" t="s">
        <v>657</v>
      </c>
      <c r="AU67" s="43" t="s">
        <v>661</v>
      </c>
      <c r="XEY67" s="27"/>
      <c r="XEZ67" s="27"/>
      <c r="XFA67" s="27"/>
      <c r="XFB67" s="27"/>
      <c r="XFC67" s="27"/>
      <c r="XFD67" s="27"/>
    </row>
    <row r="68" s="42" customFormat="true" ht="14.15" hidden="false" customHeight="true" outlineLevel="0" collapsed="false">
      <c r="A68" s="28" t="s">
        <v>662</v>
      </c>
      <c r="B68" s="29" t="s">
        <v>663</v>
      </c>
      <c r="C68" s="29" t="s">
        <v>664</v>
      </c>
      <c r="D68" s="30" t="s">
        <v>50</v>
      </c>
      <c r="E68" s="30" t="s">
        <v>344</v>
      </c>
      <c r="F68" s="32" t="n">
        <v>44</v>
      </c>
      <c r="G68" s="31" t="s">
        <v>98</v>
      </c>
      <c r="H68" s="31" t="n">
        <v>1</v>
      </c>
      <c r="I68" s="46" t="s">
        <v>387</v>
      </c>
      <c r="J68" s="29"/>
      <c r="K68" s="29" t="s">
        <v>665</v>
      </c>
      <c r="L68" s="32" t="n">
        <v>16</v>
      </c>
      <c r="M68" s="33" t="s">
        <v>666</v>
      </c>
      <c r="N68" s="34" t="n">
        <v>75016</v>
      </c>
      <c r="O68" s="35" t="s">
        <v>55</v>
      </c>
      <c r="P68" s="36" t="s">
        <v>667</v>
      </c>
      <c r="Q68" s="36" t="n">
        <v>1</v>
      </c>
      <c r="R68" s="32" t="n">
        <v>209</v>
      </c>
      <c r="S68" s="32" t="n">
        <v>13</v>
      </c>
      <c r="T68" s="32"/>
      <c r="U68" s="32"/>
      <c r="V68" s="37" t="n">
        <v>3</v>
      </c>
      <c r="W68" s="32"/>
      <c r="X68" s="34"/>
      <c r="Y68" s="34"/>
      <c r="Z68" s="32"/>
      <c r="AA68" s="32" t="s">
        <v>668</v>
      </c>
      <c r="AB68" s="32" t="s">
        <v>669</v>
      </c>
      <c r="AC68" s="38" t="str">
        <f aca="false">HYPERLINK("https://biocodex6--c.vf.force.com/0014L00000KFSF5QAP", "ASSOULINE MOSHE")</f>
        <v>ASSOULINE MOSHE</v>
      </c>
      <c r="AD68" s="38" t="str">
        <f aca="false">HYPERLINK("https://annuairesante.ameli.fr/professionnels-de-sante/recherche/fiche-detaillee-B7c1lTA0NTS3.html", "ASSOULINE MOSHE")</f>
        <v>ASSOULINE MOSHE</v>
      </c>
      <c r="AE68" s="39" t="n">
        <v>45441.3958333333</v>
      </c>
      <c r="AF68" s="40"/>
      <c r="AG68" s="41"/>
      <c r="AH68" s="32"/>
      <c r="AI68" s="32" t="s">
        <v>168</v>
      </c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XEY68" s="27"/>
      <c r="XEZ68" s="27"/>
      <c r="XFA68" s="27"/>
      <c r="XFB68" s="27"/>
      <c r="XFC68" s="27"/>
      <c r="XFD68" s="27"/>
    </row>
    <row r="69" s="42" customFormat="true" ht="14.15" hidden="false" customHeight="true" outlineLevel="0" collapsed="false">
      <c r="A69" s="28" t="s">
        <v>670</v>
      </c>
      <c r="B69" s="29" t="s">
        <v>671</v>
      </c>
      <c r="C69" s="29" t="s">
        <v>672</v>
      </c>
      <c r="D69" s="30" t="s">
        <v>75</v>
      </c>
      <c r="E69" s="31"/>
      <c r="F69" s="32" t="n">
        <v>0</v>
      </c>
      <c r="G69" s="31"/>
      <c r="H69" s="31" t="n">
        <v>1</v>
      </c>
      <c r="I69" s="31" t="s">
        <v>99</v>
      </c>
      <c r="J69" s="29" t="s">
        <v>595</v>
      </c>
      <c r="K69" s="29" t="s">
        <v>596</v>
      </c>
      <c r="L69" s="32" t="n">
        <v>20</v>
      </c>
      <c r="M69" s="33" t="s">
        <v>597</v>
      </c>
      <c r="N69" s="34" t="n">
        <v>75015</v>
      </c>
      <c r="O69" s="35" t="s">
        <v>55</v>
      </c>
      <c r="P69" s="36" t="s">
        <v>673</v>
      </c>
      <c r="Q69" s="36" t="n">
        <v>90</v>
      </c>
      <c r="R69" s="32" t="n">
        <v>185</v>
      </c>
      <c r="S69" s="32" t="n">
        <v>13</v>
      </c>
      <c r="T69" s="32"/>
      <c r="U69" s="32"/>
      <c r="V69" s="37"/>
      <c r="W69" s="32"/>
      <c r="X69" s="34"/>
      <c r="Y69" s="34"/>
      <c r="Z69" s="32"/>
      <c r="AA69" s="32" t="s">
        <v>674</v>
      </c>
      <c r="AB69" s="32"/>
      <c r="AC69" s="38" t="str">
        <f aca="false">HYPERLINK("https://biocodex6--c.vf.force.com/0014L00000KG98oQAD", "KHATER SHERINE")</f>
        <v>KHATER SHERINE</v>
      </c>
      <c r="AD69" s="38"/>
      <c r="AE69" s="39"/>
      <c r="AF69" s="40"/>
      <c r="AG69" s="41"/>
      <c r="AH69" s="32"/>
      <c r="AI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XEY69" s="27"/>
      <c r="XEZ69" s="27"/>
      <c r="XFA69" s="27"/>
      <c r="XFB69" s="27"/>
      <c r="XFC69" s="27"/>
      <c r="XFD69" s="27"/>
    </row>
    <row r="70" s="42" customFormat="true" ht="14.15" hidden="false" customHeight="true" outlineLevel="0" collapsed="false">
      <c r="A70" s="28" t="s">
        <v>675</v>
      </c>
      <c r="B70" s="29" t="s">
        <v>676</v>
      </c>
      <c r="C70" s="29" t="s">
        <v>677</v>
      </c>
      <c r="D70" s="30" t="s">
        <v>50</v>
      </c>
      <c r="E70" s="30" t="s">
        <v>386</v>
      </c>
      <c r="F70" s="32" t="n">
        <v>67</v>
      </c>
      <c r="G70" s="31"/>
      <c r="H70" s="31" t="n">
        <v>2</v>
      </c>
      <c r="I70" s="31" t="s">
        <v>572</v>
      </c>
      <c r="J70" s="29" t="s">
        <v>678</v>
      </c>
      <c r="K70" s="29" t="s">
        <v>679</v>
      </c>
      <c r="L70" s="32" t="n">
        <v>6</v>
      </c>
      <c r="M70" s="33" t="s">
        <v>680</v>
      </c>
      <c r="N70" s="34" t="n">
        <v>75008</v>
      </c>
      <c r="O70" s="35" t="s">
        <v>55</v>
      </c>
      <c r="P70" s="36" t="s">
        <v>681</v>
      </c>
      <c r="Q70" s="36" t="n">
        <v>43</v>
      </c>
      <c r="R70" s="32" t="n">
        <v>150</v>
      </c>
      <c r="S70" s="32" t="n">
        <v>13</v>
      </c>
      <c r="T70" s="32"/>
      <c r="U70" s="32"/>
      <c r="V70" s="37" t="n">
        <v>3</v>
      </c>
      <c r="W70" s="32"/>
      <c r="X70" s="34"/>
      <c r="Y70" s="34"/>
      <c r="Z70" s="32"/>
      <c r="AA70" s="32" t="s">
        <v>682</v>
      </c>
      <c r="AB70" s="32"/>
      <c r="AC70" s="38" t="str">
        <f aca="false">HYPERLINK("https://biocodex6--c.vf.force.com/0014L00000KFbzXQAT", "THONG GUIEP")</f>
        <v>THONG GUIEP</v>
      </c>
      <c r="AD70" s="38"/>
      <c r="AE70" s="39" t="n">
        <v>45462.7291666667</v>
      </c>
      <c r="AF70" s="40" t="s">
        <v>683</v>
      </c>
      <c r="AG70" s="41"/>
      <c r="AH70" s="32"/>
      <c r="AI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XEY70" s="27"/>
      <c r="XEZ70" s="27"/>
      <c r="XFA70" s="27"/>
      <c r="XFB70" s="27"/>
      <c r="XFC70" s="27"/>
      <c r="XFD70" s="27"/>
    </row>
    <row r="71" s="42" customFormat="true" ht="14.15" hidden="false" customHeight="true" outlineLevel="0" collapsed="false">
      <c r="A71" s="28" t="s">
        <v>684</v>
      </c>
      <c r="B71" s="29" t="s">
        <v>685</v>
      </c>
      <c r="C71" s="29" t="s">
        <v>686</v>
      </c>
      <c r="D71" s="30" t="s">
        <v>112</v>
      </c>
      <c r="E71" s="30" t="s">
        <v>245</v>
      </c>
      <c r="F71" s="32" t="n">
        <v>70</v>
      </c>
      <c r="G71" s="31"/>
      <c r="H71" s="31" t="n">
        <v>3</v>
      </c>
      <c r="I71" s="31" t="s">
        <v>51</v>
      </c>
      <c r="J71" s="29" t="s">
        <v>52</v>
      </c>
      <c r="K71" s="29" t="s">
        <v>53</v>
      </c>
      <c r="L71" s="32" t="n">
        <v>149</v>
      </c>
      <c r="M71" s="33" t="s">
        <v>54</v>
      </c>
      <c r="N71" s="34" t="n">
        <v>75015</v>
      </c>
      <c r="O71" s="35" t="s">
        <v>55</v>
      </c>
      <c r="P71" s="36" t="s">
        <v>687</v>
      </c>
      <c r="Q71" s="36" t="n">
        <v>236</v>
      </c>
      <c r="R71" s="32" t="n">
        <v>134</v>
      </c>
      <c r="S71" s="32" t="n">
        <v>13</v>
      </c>
      <c r="T71" s="32"/>
      <c r="U71" s="32"/>
      <c r="V71" s="37"/>
      <c r="W71" s="32"/>
      <c r="X71" s="34"/>
      <c r="Y71" s="34"/>
      <c r="Z71" s="32"/>
      <c r="AA71" s="32" t="s">
        <v>688</v>
      </c>
      <c r="AB71" s="32"/>
      <c r="AC71" s="38" t="str">
        <f aca="false">HYPERLINK("https://biocodex6--c.vf.force.com/0014L00000KFmfpQAD", "LE BOURGEOIS MURIEL")</f>
        <v>LE BOURGEOIS MURIEL</v>
      </c>
      <c r="AD71" s="38"/>
      <c r="AE71" s="39"/>
      <c r="AF71" s="40"/>
      <c r="AG71" s="41"/>
      <c r="AH71" s="32"/>
      <c r="AI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XEY71" s="27"/>
      <c r="XEZ71" s="27"/>
      <c r="XFA71" s="27"/>
      <c r="XFB71" s="27"/>
      <c r="XFC71" s="27"/>
      <c r="XFD71" s="27"/>
    </row>
    <row r="72" s="42" customFormat="true" ht="14.15" hidden="false" customHeight="true" outlineLevel="0" collapsed="false">
      <c r="A72" s="28" t="s">
        <v>689</v>
      </c>
      <c r="B72" s="29" t="s">
        <v>690</v>
      </c>
      <c r="C72" s="29" t="s">
        <v>691</v>
      </c>
      <c r="D72" s="30" t="s">
        <v>244</v>
      </c>
      <c r="E72" s="30" t="s">
        <v>245</v>
      </c>
      <c r="F72" s="32" t="n">
        <v>74</v>
      </c>
      <c r="G72" s="31" t="s">
        <v>215</v>
      </c>
      <c r="H72" s="31" t="n">
        <v>3</v>
      </c>
      <c r="I72" s="31" t="s">
        <v>77</v>
      </c>
      <c r="J72" s="29" t="s">
        <v>580</v>
      </c>
      <c r="K72" s="29" t="s">
        <v>581</v>
      </c>
      <c r="L72" s="32" t="n">
        <v>63</v>
      </c>
      <c r="M72" s="33" t="s">
        <v>80</v>
      </c>
      <c r="N72" s="34" t="n">
        <v>92200</v>
      </c>
      <c r="O72" s="35" t="s">
        <v>81</v>
      </c>
      <c r="P72" s="36" t="s">
        <v>692</v>
      </c>
      <c r="Q72" s="36" t="n">
        <v>39</v>
      </c>
      <c r="R72" s="32" t="n">
        <v>117</v>
      </c>
      <c r="S72" s="32" t="n">
        <v>13</v>
      </c>
      <c r="T72" s="32"/>
      <c r="U72" s="32"/>
      <c r="V72" s="37"/>
      <c r="W72" s="32" t="n">
        <v>3</v>
      </c>
      <c r="X72" s="34"/>
      <c r="Y72" s="34" t="n">
        <v>2</v>
      </c>
      <c r="Z72" s="32"/>
      <c r="AA72" s="32" t="s">
        <v>693</v>
      </c>
      <c r="AB72" s="32" t="s">
        <v>694</v>
      </c>
      <c r="AC72" s="38" t="str">
        <f aca="false">HYPERLINK("https://biocodex6--c.vf.force.com/0014L00000KG15JQAT", "SEDBON ERIC")</f>
        <v>SEDBON ERIC</v>
      </c>
      <c r="AD72" s="38" t="str">
        <f aca="false">HYPERLINK("https://annuairesante.ameli.fr/professionnels-de-sante/recherche/fiche-detaillee-B7c1mjM4NDO6.html", "SEDBON ERIC")</f>
        <v>SEDBON ERIC</v>
      </c>
      <c r="AE72" s="39"/>
      <c r="AF72" s="40"/>
      <c r="AG72" s="41"/>
      <c r="AH72" s="32"/>
      <c r="AI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XEY72" s="27"/>
      <c r="XEZ72" s="27"/>
      <c r="XFA72" s="27"/>
      <c r="XFB72" s="27"/>
      <c r="XFC72" s="27"/>
      <c r="XFD72" s="27"/>
    </row>
    <row r="73" s="42" customFormat="true" ht="14.15" hidden="false" customHeight="true" outlineLevel="0" collapsed="false">
      <c r="A73" s="28" t="s">
        <v>695</v>
      </c>
      <c r="B73" s="29" t="s">
        <v>696</v>
      </c>
      <c r="C73" s="29" t="s">
        <v>697</v>
      </c>
      <c r="D73" s="30" t="s">
        <v>75</v>
      </c>
      <c r="E73" s="31"/>
      <c r="F73" s="32" t="n">
        <v>32</v>
      </c>
      <c r="G73" s="31"/>
      <c r="H73" s="31" t="n">
        <v>1</v>
      </c>
      <c r="I73" s="31" t="s">
        <v>99</v>
      </c>
      <c r="J73" s="29" t="s">
        <v>595</v>
      </c>
      <c r="K73" s="29" t="s">
        <v>596</v>
      </c>
      <c r="L73" s="32" t="n">
        <v>20</v>
      </c>
      <c r="M73" s="33" t="s">
        <v>597</v>
      </c>
      <c r="N73" s="34" t="n">
        <v>75015</v>
      </c>
      <c r="O73" s="35" t="s">
        <v>55</v>
      </c>
      <c r="P73" s="36" t="s">
        <v>673</v>
      </c>
      <c r="Q73" s="36" t="n">
        <v>90</v>
      </c>
      <c r="R73" s="32"/>
      <c r="S73" s="32" t="n">
        <v>13</v>
      </c>
      <c r="T73" s="32"/>
      <c r="U73" s="32"/>
      <c r="V73" s="37"/>
      <c r="W73" s="32"/>
      <c r="X73" s="34"/>
      <c r="Y73" s="34"/>
      <c r="Z73" s="32"/>
      <c r="AA73" s="32" t="s">
        <v>698</v>
      </c>
      <c r="AB73" s="32"/>
      <c r="AC73" s="38" t="str">
        <f aca="false">HYPERLINK("https://biocodex6--c.vf.force.com/0014L00000KH2qfQAD", "ROSENBAUM BORIS")</f>
        <v>ROSENBAUM BORIS</v>
      </c>
      <c r="AD73" s="38"/>
      <c r="AE73" s="39"/>
      <c r="AF73" s="40"/>
      <c r="AG73" s="41"/>
      <c r="AH73" s="32"/>
      <c r="AI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XEY73" s="27"/>
      <c r="XEZ73" s="27"/>
      <c r="XFA73" s="27"/>
      <c r="XFB73" s="27"/>
      <c r="XFC73" s="27"/>
      <c r="XFD73" s="27"/>
    </row>
    <row r="74" s="42" customFormat="true" ht="14.15" hidden="false" customHeight="true" outlineLevel="0" collapsed="false">
      <c r="A74" s="28" t="s">
        <v>699</v>
      </c>
      <c r="B74" s="29" t="s">
        <v>700</v>
      </c>
      <c r="C74" s="29" t="s">
        <v>701</v>
      </c>
      <c r="D74" s="30" t="s">
        <v>50</v>
      </c>
      <c r="E74" s="30" t="s">
        <v>702</v>
      </c>
      <c r="F74" s="32" t="n">
        <v>66</v>
      </c>
      <c r="G74" s="31" t="s">
        <v>61</v>
      </c>
      <c r="H74" s="31" t="n">
        <v>1</v>
      </c>
      <c r="I74" s="31" t="s">
        <v>119</v>
      </c>
      <c r="J74" s="29"/>
      <c r="K74" s="29" t="s">
        <v>703</v>
      </c>
      <c r="L74" s="32" t="n">
        <v>10</v>
      </c>
      <c r="M74" s="33" t="s">
        <v>704</v>
      </c>
      <c r="N74" s="34" t="n">
        <v>75007</v>
      </c>
      <c r="O74" s="35" t="s">
        <v>55</v>
      </c>
      <c r="P74" s="36" t="s">
        <v>705</v>
      </c>
      <c r="Q74" s="36" t="n">
        <v>1</v>
      </c>
      <c r="R74" s="32" t="n">
        <v>946</v>
      </c>
      <c r="S74" s="32" t="n">
        <v>12</v>
      </c>
      <c r="T74" s="32"/>
      <c r="U74" s="32"/>
      <c r="V74" s="37" t="n">
        <v>3</v>
      </c>
      <c r="W74" s="32"/>
      <c r="X74" s="34"/>
      <c r="Y74" s="34"/>
      <c r="Z74" s="32"/>
      <c r="AA74" s="32" t="s">
        <v>706</v>
      </c>
      <c r="AB74" s="32" t="s">
        <v>707</v>
      </c>
      <c r="AC74" s="38" t="str">
        <f aca="false">HYPERLINK("https://biocodex6--c.vf.force.com/0014L00000KG5WaQAL", "VU THIEN TAM")</f>
        <v>VU THIEN TAM</v>
      </c>
      <c r="AD74" s="38" t="str">
        <f aca="false">HYPERLINK("https://annuairesante.ameli.fr/professionnels-de-sante/recherche/fiche-detaillee-B7c1ljQ0NDS7.html", "VU THIEN TAM")</f>
        <v>VU THIEN TAM</v>
      </c>
      <c r="AE74" s="39" t="n">
        <v>45216.5625</v>
      </c>
      <c r="AF74" s="40"/>
      <c r="AG74" s="41"/>
      <c r="AH74" s="32"/>
      <c r="AI74" s="32" t="s">
        <v>168</v>
      </c>
      <c r="AJ74" s="42" t="s">
        <v>708</v>
      </c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XEY74" s="27"/>
      <c r="XEZ74" s="27"/>
      <c r="XFA74" s="27"/>
      <c r="XFB74" s="27"/>
      <c r="XFC74" s="27"/>
      <c r="XFD74" s="27"/>
    </row>
    <row r="75" s="42" customFormat="true" ht="14.15" hidden="false" customHeight="true" outlineLevel="0" collapsed="false">
      <c r="A75" s="28" t="s">
        <v>709</v>
      </c>
      <c r="B75" s="29" t="s">
        <v>710</v>
      </c>
      <c r="C75" s="29" t="s">
        <v>711</v>
      </c>
      <c r="D75" s="30" t="s">
        <v>112</v>
      </c>
      <c r="E75" s="31"/>
      <c r="F75" s="32" t="n">
        <v>71</v>
      </c>
      <c r="G75" s="31" t="s">
        <v>98</v>
      </c>
      <c r="H75" s="31" t="n">
        <v>1</v>
      </c>
      <c r="I75" s="31" t="s">
        <v>295</v>
      </c>
      <c r="J75" s="29"/>
      <c r="K75" s="29" t="s">
        <v>712</v>
      </c>
      <c r="L75" s="32" t="n">
        <v>88</v>
      </c>
      <c r="M75" s="33" t="s">
        <v>713</v>
      </c>
      <c r="N75" s="34" t="n">
        <v>92300</v>
      </c>
      <c r="O75" s="35" t="s">
        <v>298</v>
      </c>
      <c r="P75" s="36" t="s">
        <v>714</v>
      </c>
      <c r="Q75" s="36" t="n">
        <v>1</v>
      </c>
      <c r="R75" s="32" t="n">
        <v>431</v>
      </c>
      <c r="S75" s="32" t="n">
        <v>12</v>
      </c>
      <c r="T75" s="32"/>
      <c r="U75" s="32" t="n">
        <v>3</v>
      </c>
      <c r="V75" s="37" t="n">
        <v>3</v>
      </c>
      <c r="W75" s="32" t="n">
        <v>3</v>
      </c>
      <c r="X75" s="34"/>
      <c r="Y75" s="34" t="n">
        <v>1</v>
      </c>
      <c r="Z75" s="32" t="s">
        <v>715</v>
      </c>
      <c r="AA75" s="32" t="s">
        <v>716</v>
      </c>
      <c r="AB75" s="32" t="s">
        <v>717</v>
      </c>
      <c r="AC75" s="38" t="str">
        <f aca="false">HYPERLINK("https://biocodex6--c.vf.force.com/0014L00000KFq5BQAT", "MARION ALEXIS")</f>
        <v>MARION ALEXIS</v>
      </c>
      <c r="AD75" s="38" t="str">
        <f aca="false">HYPERLINK("https://annuairesante.ameli.fr/professionnels-de-sante/recherche/fiche-detaillee-CbA1kzMyNjey.html", "MARION ALEXIS")</f>
        <v>MARION ALEXIS</v>
      </c>
      <c r="AE75" s="39" t="n">
        <v>45448.625</v>
      </c>
      <c r="AF75" s="40" t="s">
        <v>718</v>
      </c>
      <c r="AG75" s="41" t="s">
        <v>69</v>
      </c>
      <c r="AH75" s="32" t="s">
        <v>70</v>
      </c>
      <c r="AI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XEY75" s="27"/>
      <c r="XEZ75" s="27"/>
      <c r="XFA75" s="27"/>
      <c r="XFB75" s="27"/>
      <c r="XFC75" s="27"/>
      <c r="XFD75" s="27"/>
    </row>
    <row r="76" s="42" customFormat="true" ht="14.15" hidden="false" customHeight="true" outlineLevel="0" collapsed="false">
      <c r="A76" s="28" t="s">
        <v>719</v>
      </c>
      <c r="B76" s="29" t="s">
        <v>59</v>
      </c>
      <c r="C76" s="29" t="s">
        <v>720</v>
      </c>
      <c r="D76" s="30" t="s">
        <v>50</v>
      </c>
      <c r="E76" s="31"/>
      <c r="F76" s="32" t="n">
        <v>68</v>
      </c>
      <c r="G76" s="31" t="s">
        <v>98</v>
      </c>
      <c r="H76" s="31" t="n">
        <v>1</v>
      </c>
      <c r="I76" s="31" t="s">
        <v>295</v>
      </c>
      <c r="J76" s="29"/>
      <c r="K76" s="29" t="s">
        <v>721</v>
      </c>
      <c r="L76" s="32" t="n">
        <v>18</v>
      </c>
      <c r="M76" s="33" t="s">
        <v>722</v>
      </c>
      <c r="N76" s="34" t="n">
        <v>92300</v>
      </c>
      <c r="O76" s="35" t="s">
        <v>298</v>
      </c>
      <c r="P76" s="36" t="s">
        <v>723</v>
      </c>
      <c r="Q76" s="36" t="n">
        <v>1</v>
      </c>
      <c r="R76" s="32" t="n">
        <v>258</v>
      </c>
      <c r="S76" s="32" t="n">
        <v>12</v>
      </c>
      <c r="T76" s="32"/>
      <c r="U76" s="32"/>
      <c r="V76" s="37" t="n">
        <v>3</v>
      </c>
      <c r="W76" s="32"/>
      <c r="X76" s="34"/>
      <c r="Y76" s="34"/>
      <c r="Z76" s="32"/>
      <c r="AA76" s="32" t="s">
        <v>724</v>
      </c>
      <c r="AB76" s="32" t="s">
        <v>725</v>
      </c>
      <c r="AC76" s="38" t="str">
        <f aca="false">HYPERLINK("https://biocodex6--c.vf.force.com/0014L00000KFSiDQAX", "BENSIMON RICHARD")</f>
        <v>BENSIMON RICHARD</v>
      </c>
      <c r="AD76" s="38" t="str">
        <f aca="false">HYPERLINK("https://annuairesante.ameli.fr/professionnels-de-sante/recherche/fiche-detaillee-CbA1kjQzNzGx.html", "BENSIMON RICHARD")</f>
        <v>BENSIMON RICHARD</v>
      </c>
      <c r="AE76" s="39" t="n">
        <v>45219.3958333333</v>
      </c>
      <c r="AF76" s="40"/>
      <c r="AG76" s="41"/>
      <c r="AH76" s="32"/>
      <c r="AI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XEY76" s="27"/>
      <c r="XEZ76" s="27"/>
      <c r="XFA76" s="27"/>
      <c r="XFB76" s="27"/>
      <c r="XFC76" s="27"/>
      <c r="XFD76" s="27"/>
    </row>
    <row r="77" s="42" customFormat="true" ht="14.15" hidden="false" customHeight="true" outlineLevel="0" collapsed="false">
      <c r="A77" s="28" t="s">
        <v>726</v>
      </c>
      <c r="B77" s="29" t="s">
        <v>727</v>
      </c>
      <c r="C77" s="29" t="s">
        <v>728</v>
      </c>
      <c r="D77" s="30" t="s">
        <v>50</v>
      </c>
      <c r="E77" s="31"/>
      <c r="F77" s="32" t="n">
        <v>40</v>
      </c>
      <c r="G77" s="31" t="s">
        <v>98</v>
      </c>
      <c r="H77" s="31" t="n">
        <v>1</v>
      </c>
      <c r="I77" s="31" t="s">
        <v>62</v>
      </c>
      <c r="J77" s="29"/>
      <c r="K77" s="29" t="s">
        <v>729</v>
      </c>
      <c r="L77" s="32" t="n">
        <v>36</v>
      </c>
      <c r="M77" s="33" t="s">
        <v>730</v>
      </c>
      <c r="N77" s="34" t="n">
        <v>75017</v>
      </c>
      <c r="O77" s="35" t="s">
        <v>55</v>
      </c>
      <c r="P77" s="36" t="s">
        <v>731</v>
      </c>
      <c r="Q77" s="36" t="n">
        <v>1</v>
      </c>
      <c r="R77" s="32" t="n">
        <v>221</v>
      </c>
      <c r="S77" s="32" t="n">
        <v>12</v>
      </c>
      <c r="T77" s="32"/>
      <c r="U77" s="32"/>
      <c r="V77" s="37" t="n">
        <v>3</v>
      </c>
      <c r="W77" s="32"/>
      <c r="X77" s="34"/>
      <c r="Y77" s="34"/>
      <c r="Z77" s="32" t="s">
        <v>732</v>
      </c>
      <c r="AA77" s="32" t="s">
        <v>733</v>
      </c>
      <c r="AB77" s="32" t="s">
        <v>734</v>
      </c>
      <c r="AC77" s="38" t="str">
        <f aca="false">HYPERLINK("https://biocodex6--c.vf.force.com/0014L00000KFV4TQAX", "BRAKA HASSAN DEBORAH")</f>
        <v>BRAKA HASSAN DEBORAH</v>
      </c>
      <c r="AD77" s="38" t="str">
        <f aca="false">HYPERLINK("https://annuairesante.ameli.fr/professionnels-de-sante/recherche/fiche-detaillee-B7c1mzYwMDSx.html", "BRAKA HASSAN DEBORAH")</f>
        <v>BRAKA HASSAN DEBORAH</v>
      </c>
      <c r="AE77" s="39"/>
      <c r="AF77" s="40"/>
      <c r="AG77" s="41"/>
      <c r="AH77" s="32"/>
      <c r="AI77" s="32"/>
      <c r="AL77" s="43" t="s">
        <v>263</v>
      </c>
      <c r="AM77" s="43" t="s">
        <v>108</v>
      </c>
      <c r="AN77" s="43" t="s">
        <v>263</v>
      </c>
      <c r="AO77" s="43" t="s">
        <v>108</v>
      </c>
      <c r="AP77" s="43" t="s">
        <v>735</v>
      </c>
      <c r="AQ77" s="32"/>
      <c r="AR77" s="43" t="s">
        <v>736</v>
      </c>
      <c r="AS77" s="43" t="s">
        <v>737</v>
      </c>
      <c r="AT77" s="43" t="s">
        <v>263</v>
      </c>
      <c r="AU77" s="43" t="s">
        <v>108</v>
      </c>
      <c r="XEY77" s="27"/>
      <c r="XEZ77" s="27"/>
      <c r="XFA77" s="27"/>
      <c r="XFB77" s="27"/>
      <c r="XFC77" s="27"/>
      <c r="XFD77" s="27"/>
    </row>
    <row r="78" s="42" customFormat="true" ht="14.15" hidden="false" customHeight="true" outlineLevel="0" collapsed="false">
      <c r="A78" s="28" t="s">
        <v>738</v>
      </c>
      <c r="B78" s="29" t="s">
        <v>739</v>
      </c>
      <c r="C78" s="29" t="s">
        <v>740</v>
      </c>
      <c r="D78" s="30" t="s">
        <v>244</v>
      </c>
      <c r="E78" s="30" t="s">
        <v>741</v>
      </c>
      <c r="F78" s="32" t="n">
        <v>72</v>
      </c>
      <c r="G78" s="31" t="s">
        <v>215</v>
      </c>
      <c r="H78" s="31" t="n">
        <v>1</v>
      </c>
      <c r="I78" s="31" t="s">
        <v>173</v>
      </c>
      <c r="J78" s="29"/>
      <c r="K78" s="29" t="s">
        <v>742</v>
      </c>
      <c r="L78" s="32" t="n">
        <v>60</v>
      </c>
      <c r="M78" s="33" t="s">
        <v>743</v>
      </c>
      <c r="N78" s="34" t="n">
        <v>75016</v>
      </c>
      <c r="O78" s="35" t="s">
        <v>55</v>
      </c>
      <c r="P78" s="36" t="s">
        <v>744</v>
      </c>
      <c r="Q78" s="36" t="n">
        <v>3</v>
      </c>
      <c r="R78" s="32" t="n">
        <v>220</v>
      </c>
      <c r="S78" s="32" t="n">
        <v>12</v>
      </c>
      <c r="T78" s="32"/>
      <c r="U78" s="32" t="n">
        <v>3</v>
      </c>
      <c r="V78" s="37"/>
      <c r="W78" s="32" t="n">
        <v>3</v>
      </c>
      <c r="X78" s="34"/>
      <c r="Y78" s="34" t="n">
        <v>1</v>
      </c>
      <c r="Z78" s="32" t="s">
        <v>745</v>
      </c>
      <c r="AA78" s="32" t="s">
        <v>746</v>
      </c>
      <c r="AB78" s="44" t="s">
        <v>747</v>
      </c>
      <c r="AC78" s="38" t="str">
        <f aca="false">HYPERLINK("https://biocodex6--c.vf.force.com/0014L00000KFL5NQAX", "ABBOU FAJERMAN JOSEE")</f>
        <v>ABBOU FAJERMAN JOSEE</v>
      </c>
      <c r="AD78" s="38" t="str">
        <f aca="false">HYPERLINK("https://annuairesante.ameli.fr/professionnels-de-sante/recherche/fiche-detaillee-B7c1ljIyNzKy.html", "ABBOU FAJERMAN JOSEE")</f>
        <v>ABBOU FAJERMAN JOSEE</v>
      </c>
      <c r="AE78" s="39" t="n">
        <v>45443.375</v>
      </c>
      <c r="AF78" s="40" t="s">
        <v>748</v>
      </c>
      <c r="AG78" s="41" t="s">
        <v>69</v>
      </c>
      <c r="AH78" s="32" t="s">
        <v>70</v>
      </c>
      <c r="AI78" s="32"/>
      <c r="AL78" s="32"/>
      <c r="AM78" s="43" t="s">
        <v>137</v>
      </c>
      <c r="AN78" s="32"/>
      <c r="AO78" s="43" t="s">
        <v>137</v>
      </c>
      <c r="AP78" s="32"/>
      <c r="AQ78" s="43" t="s">
        <v>137</v>
      </c>
      <c r="AR78" s="32"/>
      <c r="AS78" s="43" t="s">
        <v>137</v>
      </c>
      <c r="AT78" s="32"/>
      <c r="AU78" s="32"/>
      <c r="XEY78" s="27"/>
      <c r="XEZ78" s="27"/>
      <c r="XFA78" s="27"/>
      <c r="XFB78" s="27"/>
      <c r="XFC78" s="27"/>
      <c r="XFD78" s="27"/>
    </row>
    <row r="79" s="42" customFormat="true" ht="14.15" hidden="false" customHeight="true" outlineLevel="0" collapsed="false">
      <c r="A79" s="28" t="s">
        <v>749</v>
      </c>
      <c r="B79" s="29" t="s">
        <v>128</v>
      </c>
      <c r="C79" s="29" t="s">
        <v>750</v>
      </c>
      <c r="D79" s="30" t="s">
        <v>206</v>
      </c>
      <c r="E79" s="31"/>
      <c r="F79" s="32" t="n">
        <v>55</v>
      </c>
      <c r="G79" s="31" t="s">
        <v>98</v>
      </c>
      <c r="H79" s="31" t="n">
        <v>1</v>
      </c>
      <c r="I79" s="31" t="s">
        <v>197</v>
      </c>
      <c r="J79" s="29"/>
      <c r="K79" s="29" t="s">
        <v>604</v>
      </c>
      <c r="L79" s="32" t="n">
        <v>36</v>
      </c>
      <c r="M79" s="33" t="s">
        <v>605</v>
      </c>
      <c r="N79" s="34" t="n">
        <v>75017</v>
      </c>
      <c r="O79" s="35" t="s">
        <v>55</v>
      </c>
      <c r="P79" s="36" t="s">
        <v>751</v>
      </c>
      <c r="Q79" s="36" t="n">
        <v>2</v>
      </c>
      <c r="R79" s="32" t="n">
        <v>197</v>
      </c>
      <c r="S79" s="32" t="n">
        <v>12</v>
      </c>
      <c r="T79" s="32"/>
      <c r="U79" s="32" t="n">
        <v>3</v>
      </c>
      <c r="V79" s="37" t="n">
        <v>3</v>
      </c>
      <c r="W79" s="32" t="n">
        <v>3</v>
      </c>
      <c r="X79" s="34"/>
      <c r="Y79" s="34" t="n">
        <v>1</v>
      </c>
      <c r="Z79" s="32"/>
      <c r="AA79" s="32" t="s">
        <v>752</v>
      </c>
      <c r="AB79" s="32" t="s">
        <v>753</v>
      </c>
      <c r="AC79" s="38" t="str">
        <f aca="false">HYPERLINK("https://biocodex6--c.vf.force.com/0014L00000KFl29QAD", "PONROY FRANCOISE")</f>
        <v>PONROY FRANCOISE</v>
      </c>
      <c r="AD79" s="38" t="str">
        <f aca="false">HYPERLINK("https://annuairesante.ameli.fr/professionnels-de-sante/recherche/fiche-detaillee-B7c1lDY1MDe3.html", "PONROY FRANCOISE")</f>
        <v>PONROY FRANCOISE</v>
      </c>
      <c r="AE79" s="39"/>
      <c r="AF79" s="40"/>
      <c r="AG79" s="41"/>
      <c r="AH79" s="32"/>
      <c r="AI79" s="32"/>
      <c r="AL79" s="43" t="s">
        <v>85</v>
      </c>
      <c r="AM79" s="43" t="s">
        <v>534</v>
      </c>
      <c r="AN79" s="43" t="s">
        <v>85</v>
      </c>
      <c r="AO79" s="43" t="s">
        <v>534</v>
      </c>
      <c r="AP79" s="43" t="s">
        <v>85</v>
      </c>
      <c r="AQ79" s="43" t="s">
        <v>534</v>
      </c>
      <c r="AR79" s="43" t="s">
        <v>85</v>
      </c>
      <c r="AS79" s="43" t="s">
        <v>534</v>
      </c>
      <c r="AT79" s="43" t="s">
        <v>85</v>
      </c>
      <c r="AU79" s="43" t="s">
        <v>534</v>
      </c>
      <c r="XEY79" s="27"/>
      <c r="XEZ79" s="27"/>
      <c r="XFA79" s="27"/>
      <c r="XFB79" s="27"/>
      <c r="XFC79" s="27"/>
      <c r="XFD79" s="27"/>
    </row>
    <row r="80" s="42" customFormat="true" ht="14.15" hidden="false" customHeight="true" outlineLevel="0" collapsed="false">
      <c r="A80" s="28" t="s">
        <v>754</v>
      </c>
      <c r="B80" s="29" t="s">
        <v>353</v>
      </c>
      <c r="C80" s="29" t="s">
        <v>755</v>
      </c>
      <c r="D80" s="30" t="s">
        <v>112</v>
      </c>
      <c r="E80" s="31"/>
      <c r="F80" s="32" t="n">
        <v>70</v>
      </c>
      <c r="G80" s="31" t="s">
        <v>215</v>
      </c>
      <c r="H80" s="31" t="n">
        <v>2</v>
      </c>
      <c r="I80" s="31" t="s">
        <v>62</v>
      </c>
      <c r="J80" s="29"/>
      <c r="K80" s="29" t="s">
        <v>756</v>
      </c>
      <c r="L80" s="32" t="n">
        <v>14</v>
      </c>
      <c r="M80" s="33" t="s">
        <v>757</v>
      </c>
      <c r="N80" s="34" t="n">
        <v>75017</v>
      </c>
      <c r="O80" s="35" t="s">
        <v>55</v>
      </c>
      <c r="P80" s="36" t="s">
        <v>758</v>
      </c>
      <c r="Q80" s="36" t="n">
        <v>4</v>
      </c>
      <c r="R80" s="32" t="n">
        <v>188</v>
      </c>
      <c r="S80" s="32" t="n">
        <v>12</v>
      </c>
      <c r="T80" s="32"/>
      <c r="U80" s="32" t="n">
        <v>3</v>
      </c>
      <c r="V80" s="37" t="n">
        <v>3</v>
      </c>
      <c r="W80" s="32" t="n">
        <v>3</v>
      </c>
      <c r="X80" s="34"/>
      <c r="Y80" s="34" t="n">
        <v>2</v>
      </c>
      <c r="Z80" s="32"/>
      <c r="AA80" s="32" t="s">
        <v>759</v>
      </c>
      <c r="AB80" s="32" t="s">
        <v>760</v>
      </c>
      <c r="AC80" s="38" t="str">
        <f aca="false">HYPERLINK("https://biocodex6--c.vf.force.com/0014L00000KFjSwQAL", "ITTAH ALAIN")</f>
        <v>ITTAH ALAIN</v>
      </c>
      <c r="AD80" s="38" t="str">
        <f aca="false">HYPERLINK("https://annuairesante.ameli.fr/professionnels-de-sante/recherche/fiche-detaillee-B7c1lTI0NzC2.html", "ITTAH ALAIN")</f>
        <v>ITTAH ALAIN</v>
      </c>
      <c r="AE80" s="39"/>
      <c r="AF80" s="40"/>
      <c r="AG80" s="41"/>
      <c r="AH80" s="32"/>
      <c r="AI80" s="32"/>
      <c r="AL80" s="43" t="s">
        <v>657</v>
      </c>
      <c r="AM80" s="43" t="s">
        <v>137</v>
      </c>
      <c r="AN80" s="43" t="s">
        <v>657</v>
      </c>
      <c r="AO80" s="43" t="s">
        <v>137</v>
      </c>
      <c r="AP80" s="43" t="s">
        <v>657</v>
      </c>
      <c r="AQ80" s="43" t="s">
        <v>137</v>
      </c>
      <c r="AR80" s="43" t="s">
        <v>657</v>
      </c>
      <c r="AS80" s="43" t="s">
        <v>137</v>
      </c>
      <c r="AT80" s="43" t="s">
        <v>657</v>
      </c>
      <c r="AU80" s="43" t="s">
        <v>518</v>
      </c>
      <c r="XEY80" s="27"/>
      <c r="XEZ80" s="27"/>
      <c r="XFA80" s="27"/>
      <c r="XFB80" s="27"/>
      <c r="XFC80" s="27"/>
      <c r="XFD80" s="27"/>
    </row>
    <row r="81" s="42" customFormat="true" ht="14.15" hidden="false" customHeight="true" outlineLevel="0" collapsed="false">
      <c r="A81" s="28" t="s">
        <v>761</v>
      </c>
      <c r="B81" s="29" t="s">
        <v>762</v>
      </c>
      <c r="C81" s="29" t="s">
        <v>763</v>
      </c>
      <c r="D81" s="30" t="s">
        <v>75</v>
      </c>
      <c r="E81" s="31"/>
      <c r="F81" s="32" t="n">
        <v>42</v>
      </c>
      <c r="G81" s="31" t="s">
        <v>215</v>
      </c>
      <c r="H81" s="31" t="n">
        <v>5</v>
      </c>
      <c r="I81" s="31" t="s">
        <v>99</v>
      </c>
      <c r="J81" s="29" t="s">
        <v>595</v>
      </c>
      <c r="K81" s="29" t="s">
        <v>596</v>
      </c>
      <c r="L81" s="32" t="n">
        <v>20</v>
      </c>
      <c r="M81" s="33" t="s">
        <v>597</v>
      </c>
      <c r="N81" s="34" t="n">
        <v>75015</v>
      </c>
      <c r="O81" s="35" t="s">
        <v>55</v>
      </c>
      <c r="P81" s="36" t="s">
        <v>764</v>
      </c>
      <c r="Q81" s="36" t="n">
        <v>90</v>
      </c>
      <c r="R81" s="32" t="n">
        <v>187</v>
      </c>
      <c r="S81" s="32" t="n">
        <v>12</v>
      </c>
      <c r="T81" s="32"/>
      <c r="U81" s="32"/>
      <c r="V81" s="37"/>
      <c r="W81" s="32"/>
      <c r="X81" s="34"/>
      <c r="Y81" s="34"/>
      <c r="Z81" s="32"/>
      <c r="AA81" s="32" t="s">
        <v>765</v>
      </c>
      <c r="AB81" s="32" t="s">
        <v>766</v>
      </c>
      <c r="AC81" s="38" t="str">
        <f aca="false">HYPERLINK("https://biocodex6--c.vf.force.com/0014L00000KFLBbQAP", "ABBES LEILA")</f>
        <v>ABBES LEILA</v>
      </c>
      <c r="AD81" s="38" t="str">
        <f aca="false">HYPERLINK("https://annuairesante.ameli.fr/professionnels-de-sante/recherche/fiche-detaillee-B7c1kjE3OTa6.html", "ABBES LEILA")</f>
        <v>ABBES LEILA</v>
      </c>
      <c r="AE81" s="39"/>
      <c r="AF81" s="40"/>
      <c r="AG81" s="41"/>
      <c r="AH81" s="32"/>
      <c r="AI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XEY81" s="27"/>
      <c r="XEZ81" s="27"/>
      <c r="XFA81" s="27"/>
      <c r="XFB81" s="27"/>
      <c r="XFC81" s="27"/>
      <c r="XFD81" s="27"/>
    </row>
    <row r="82" s="42" customFormat="true" ht="14.15" hidden="false" customHeight="true" outlineLevel="0" collapsed="false">
      <c r="A82" s="28" t="s">
        <v>767</v>
      </c>
      <c r="B82" s="29" t="s">
        <v>768</v>
      </c>
      <c r="C82" s="29" t="s">
        <v>769</v>
      </c>
      <c r="D82" s="30" t="s">
        <v>50</v>
      </c>
      <c r="E82" s="31"/>
      <c r="F82" s="32" t="n">
        <v>0</v>
      </c>
      <c r="G82" s="31"/>
      <c r="H82" s="31" t="n">
        <v>1</v>
      </c>
      <c r="I82" s="31" t="s">
        <v>99</v>
      </c>
      <c r="J82" s="29"/>
      <c r="K82" s="29" t="s">
        <v>770</v>
      </c>
      <c r="L82" s="32" t="n">
        <v>31</v>
      </c>
      <c r="M82" s="33" t="s">
        <v>469</v>
      </c>
      <c r="N82" s="34" t="n">
        <v>75015</v>
      </c>
      <c r="O82" s="35" t="s">
        <v>55</v>
      </c>
      <c r="P82" s="36" t="s">
        <v>771</v>
      </c>
      <c r="Q82" s="36" t="n">
        <v>2</v>
      </c>
      <c r="R82" s="32" t="n">
        <v>81</v>
      </c>
      <c r="S82" s="32" t="n">
        <v>12</v>
      </c>
      <c r="T82" s="32"/>
      <c r="U82" s="32"/>
      <c r="V82" s="37"/>
      <c r="W82" s="32"/>
      <c r="X82" s="34"/>
      <c r="Y82" s="34"/>
      <c r="Z82" s="36"/>
      <c r="AA82" s="32" t="s">
        <v>772</v>
      </c>
      <c r="AB82" s="32"/>
      <c r="AC82" s="38" t="str">
        <f aca="false">HYPERLINK("https://biocodex6--c.vf.force.com/0014L00000KFV4FQAX", "BRAKA KATHY")</f>
        <v>BRAKA KATHY</v>
      </c>
      <c r="AD82" s="38"/>
      <c r="AE82" s="39"/>
      <c r="AF82" s="40"/>
      <c r="AG82" s="41"/>
      <c r="AH82" s="32" t="s">
        <v>179</v>
      </c>
      <c r="AI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XEY82" s="27"/>
      <c r="XEZ82" s="27"/>
      <c r="XFA82" s="27"/>
      <c r="XFB82" s="27"/>
      <c r="XFC82" s="27"/>
      <c r="XFD82" s="27"/>
    </row>
    <row r="83" s="42" customFormat="true" ht="14.15" hidden="false" customHeight="true" outlineLevel="0" collapsed="false">
      <c r="A83" s="28" t="s">
        <v>773</v>
      </c>
      <c r="B83" s="29" t="s">
        <v>774</v>
      </c>
      <c r="C83" s="29" t="s">
        <v>775</v>
      </c>
      <c r="D83" s="30" t="s">
        <v>50</v>
      </c>
      <c r="E83" s="30" t="s">
        <v>776</v>
      </c>
      <c r="F83" s="32" t="n">
        <v>71</v>
      </c>
      <c r="G83" s="31" t="s">
        <v>215</v>
      </c>
      <c r="H83" s="31" t="n">
        <v>1</v>
      </c>
      <c r="I83" s="31" t="s">
        <v>77</v>
      </c>
      <c r="J83" s="29" t="s">
        <v>777</v>
      </c>
      <c r="K83" s="29" t="s">
        <v>778</v>
      </c>
      <c r="L83" s="32" t="n">
        <v>143</v>
      </c>
      <c r="M83" s="33" t="s">
        <v>498</v>
      </c>
      <c r="N83" s="34" t="n">
        <v>92200</v>
      </c>
      <c r="O83" s="35" t="s">
        <v>81</v>
      </c>
      <c r="P83" s="36" t="s">
        <v>779</v>
      </c>
      <c r="Q83" s="36" t="n">
        <v>1</v>
      </c>
      <c r="R83" s="32" t="n">
        <v>460</v>
      </c>
      <c r="S83" s="32" t="n">
        <v>11</v>
      </c>
      <c r="T83" s="32"/>
      <c r="U83" s="32"/>
      <c r="V83" s="37"/>
      <c r="W83" s="32"/>
      <c r="X83" s="34"/>
      <c r="Y83" s="34"/>
      <c r="Z83" s="32"/>
      <c r="AA83" s="32" t="s">
        <v>780</v>
      </c>
      <c r="AB83" s="32" t="s">
        <v>781</v>
      </c>
      <c r="AC83" s="38" t="str">
        <f aca="false">HYPERLINK("https://biocodex6--c.vf.force.com/0014L00000KG3B8QAL", "THOMAS JEAN ERIC")</f>
        <v>THOMAS JEAN ERIC</v>
      </c>
      <c r="AD83" s="38" t="str">
        <f aca="false">HYPERLINK("https://annuairesante.ameli.fr/professionnels-de-sante/recherche/fiche-detaillee-CbA1kjo5ODew.html", "THOMAS JEAN ERIC")</f>
        <v>THOMAS JEAN ERIC</v>
      </c>
      <c r="AE83" s="39"/>
      <c r="AF83" s="40"/>
      <c r="AG83" s="41"/>
      <c r="AH83" s="32"/>
      <c r="AI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XEY83" s="27"/>
      <c r="XEZ83" s="27"/>
      <c r="XFA83" s="27"/>
      <c r="XFB83" s="27"/>
      <c r="XFC83" s="27"/>
      <c r="XFD83" s="27"/>
    </row>
    <row r="84" s="42" customFormat="true" ht="14.15" hidden="false" customHeight="true" outlineLevel="0" collapsed="false">
      <c r="A84" s="28" t="s">
        <v>782</v>
      </c>
      <c r="B84" s="29" t="s">
        <v>783</v>
      </c>
      <c r="C84" s="29" t="s">
        <v>784</v>
      </c>
      <c r="D84" s="30" t="s">
        <v>50</v>
      </c>
      <c r="E84" s="31"/>
      <c r="F84" s="32" t="n">
        <v>64</v>
      </c>
      <c r="G84" s="31" t="s">
        <v>98</v>
      </c>
      <c r="H84" s="31" t="n">
        <v>1</v>
      </c>
      <c r="I84" s="31" t="s">
        <v>99</v>
      </c>
      <c r="J84" s="29"/>
      <c r="K84" s="29" t="s">
        <v>785</v>
      </c>
      <c r="L84" s="32" t="n">
        <v>86</v>
      </c>
      <c r="M84" s="33" t="s">
        <v>786</v>
      </c>
      <c r="N84" s="34" t="n">
        <v>75015</v>
      </c>
      <c r="O84" s="35" t="s">
        <v>55</v>
      </c>
      <c r="P84" s="36" t="s">
        <v>787</v>
      </c>
      <c r="Q84" s="36" t="n">
        <v>1</v>
      </c>
      <c r="R84" s="32" t="n">
        <v>388</v>
      </c>
      <c r="S84" s="32" t="n">
        <v>11</v>
      </c>
      <c r="T84" s="32"/>
      <c r="U84" s="32"/>
      <c r="V84" s="37"/>
      <c r="W84" s="32"/>
      <c r="X84" s="34"/>
      <c r="Y84" s="34"/>
      <c r="Z84" s="32"/>
      <c r="AA84" s="32" t="s">
        <v>788</v>
      </c>
      <c r="AB84" s="32" t="s">
        <v>789</v>
      </c>
      <c r="AC84" s="38" t="str">
        <f aca="false">HYPERLINK("https://biocodex6--c.vf.force.com/0014L00000KFWjGQAX", "CHOUAID MANIATIS BEL")</f>
        <v>CHOUAID MANIATIS BEL</v>
      </c>
      <c r="AD84" s="38" t="str">
        <f aca="false">HYPERLINK("https://annuairesante.ameli.fr/professionnels-de-sante/recherche/fiche-detaillee-B7c1lzcxNzqz.html", "CHOUAID MANIATIS BEL")</f>
        <v>CHOUAID MANIATIS BEL</v>
      </c>
      <c r="AE84" s="39"/>
      <c r="AF84" s="40"/>
      <c r="AG84" s="41"/>
      <c r="AH84" s="32"/>
      <c r="AI84" s="32"/>
      <c r="AL84" s="43" t="s">
        <v>790</v>
      </c>
      <c r="AM84" s="43" t="s">
        <v>137</v>
      </c>
      <c r="AN84" s="43" t="s">
        <v>791</v>
      </c>
      <c r="AO84" s="43" t="s">
        <v>137</v>
      </c>
      <c r="AP84" s="43" t="s">
        <v>791</v>
      </c>
      <c r="AQ84" s="43" t="s">
        <v>137</v>
      </c>
      <c r="AR84" s="43" t="s">
        <v>791</v>
      </c>
      <c r="AS84" s="43" t="s">
        <v>137</v>
      </c>
      <c r="AT84" s="43" t="s">
        <v>790</v>
      </c>
      <c r="AU84" s="43" t="s">
        <v>792</v>
      </c>
      <c r="XEY84" s="27"/>
      <c r="XEZ84" s="27"/>
      <c r="XFA84" s="27"/>
      <c r="XFB84" s="27"/>
      <c r="XFC84" s="27"/>
      <c r="XFD84" s="27"/>
    </row>
    <row r="85" s="42" customFormat="true" ht="14.15" hidden="false" customHeight="true" outlineLevel="0" collapsed="false">
      <c r="A85" s="28" t="s">
        <v>793</v>
      </c>
      <c r="B85" s="29" t="s">
        <v>794</v>
      </c>
      <c r="C85" s="29" t="s">
        <v>795</v>
      </c>
      <c r="D85" s="30" t="s">
        <v>50</v>
      </c>
      <c r="E85" s="30" t="s">
        <v>796</v>
      </c>
      <c r="F85" s="32" t="n">
        <v>68</v>
      </c>
      <c r="G85" s="31" t="s">
        <v>61</v>
      </c>
      <c r="H85" s="31" t="n">
        <v>1</v>
      </c>
      <c r="I85" s="31" t="s">
        <v>572</v>
      </c>
      <c r="J85" s="29"/>
      <c r="K85" s="29" t="s">
        <v>797</v>
      </c>
      <c r="L85" s="32" t="n">
        <v>86</v>
      </c>
      <c r="M85" s="33" t="s">
        <v>798</v>
      </c>
      <c r="N85" s="34" t="n">
        <v>75008</v>
      </c>
      <c r="O85" s="35" t="s">
        <v>55</v>
      </c>
      <c r="P85" s="36" t="s">
        <v>799</v>
      </c>
      <c r="Q85" s="36" t="n">
        <v>3</v>
      </c>
      <c r="R85" s="32" t="n">
        <v>319</v>
      </c>
      <c r="S85" s="32" t="n">
        <v>11</v>
      </c>
      <c r="T85" s="32"/>
      <c r="U85" s="32"/>
      <c r="V85" s="37"/>
      <c r="W85" s="32"/>
      <c r="X85" s="34"/>
      <c r="Y85" s="34"/>
      <c r="Z85" s="32"/>
      <c r="AA85" s="32" t="s">
        <v>800</v>
      </c>
      <c r="AB85" s="32" t="s">
        <v>801</v>
      </c>
      <c r="AC85" s="38" t="str">
        <f aca="false">HYPERLINK("https://biocodex6--c.vf.force.com/0014L00000KFhxNQAT", "HABABOU DANIELLE")</f>
        <v>HABABOU DANIELLE</v>
      </c>
      <c r="AD85" s="38" t="str">
        <f aca="false">HYPERLINK("https://annuairesante.ameli.fr/professionnels-de-sante/recherche/fiche-detaillee-B7c1ljQxMTGy.html", "HABABOU DANIELLE")</f>
        <v>HABABOU DANIELLE</v>
      </c>
      <c r="AE85" s="39"/>
      <c r="AF85" s="40"/>
      <c r="AG85" s="41"/>
      <c r="AH85" s="32"/>
      <c r="AI85" s="32"/>
      <c r="AL85" s="43" t="s">
        <v>657</v>
      </c>
      <c r="AM85" s="43" t="s">
        <v>126</v>
      </c>
      <c r="AN85" s="43" t="s">
        <v>657</v>
      </c>
      <c r="AO85" s="43" t="s">
        <v>126</v>
      </c>
      <c r="AP85" s="43" t="s">
        <v>657</v>
      </c>
      <c r="AQ85" s="43" t="s">
        <v>126</v>
      </c>
      <c r="AR85" s="43" t="s">
        <v>657</v>
      </c>
      <c r="AS85" s="43" t="s">
        <v>126</v>
      </c>
      <c r="AT85" s="43" t="s">
        <v>657</v>
      </c>
      <c r="AU85" s="43" t="s">
        <v>126</v>
      </c>
      <c r="XEY85" s="27"/>
      <c r="XEZ85" s="27"/>
      <c r="XFA85" s="27"/>
      <c r="XFB85" s="27"/>
      <c r="XFC85" s="27"/>
      <c r="XFD85" s="27"/>
    </row>
    <row r="86" s="42" customFormat="true" ht="14.15" hidden="false" customHeight="true" outlineLevel="0" collapsed="false">
      <c r="A86" s="28" t="s">
        <v>802</v>
      </c>
      <c r="B86" s="29" t="s">
        <v>803</v>
      </c>
      <c r="C86" s="29" t="s">
        <v>804</v>
      </c>
      <c r="D86" s="30" t="s">
        <v>112</v>
      </c>
      <c r="E86" s="31"/>
      <c r="F86" s="32" t="n">
        <v>59</v>
      </c>
      <c r="G86" s="31" t="s">
        <v>215</v>
      </c>
      <c r="H86" s="31" t="n">
        <v>1</v>
      </c>
      <c r="I86" s="31" t="s">
        <v>77</v>
      </c>
      <c r="J86" s="29"/>
      <c r="K86" s="29" t="s">
        <v>805</v>
      </c>
      <c r="L86" s="32" t="n">
        <v>190</v>
      </c>
      <c r="M86" s="33" t="s">
        <v>806</v>
      </c>
      <c r="N86" s="34" t="n">
        <v>92200</v>
      </c>
      <c r="O86" s="35" t="s">
        <v>81</v>
      </c>
      <c r="P86" s="36" t="s">
        <v>807</v>
      </c>
      <c r="Q86" s="36" t="n">
        <v>2</v>
      </c>
      <c r="R86" s="32" t="n">
        <v>306</v>
      </c>
      <c r="S86" s="32" t="n">
        <v>11</v>
      </c>
      <c r="T86" s="32"/>
      <c r="U86" s="32" t="n">
        <v>3</v>
      </c>
      <c r="V86" s="37" t="n">
        <v>3</v>
      </c>
      <c r="W86" s="32" t="n">
        <v>3</v>
      </c>
      <c r="X86" s="34" t="n">
        <v>1</v>
      </c>
      <c r="Y86" s="34" t="n">
        <v>4</v>
      </c>
      <c r="Z86" s="32"/>
      <c r="AA86" s="32" t="s">
        <v>808</v>
      </c>
      <c r="AB86" s="32" t="s">
        <v>809</v>
      </c>
      <c r="AC86" s="42" t="str">
        <f aca="false">HYPERLINK("https://biocodex6--c.vf.force.com/0014L00000KFs7sQAD", "MGHAIETH KHALED")</f>
        <v>MGHAIETH KHALED</v>
      </c>
      <c r="AD86" s="32" t="str">
        <f aca="false">HYPERLINK("https://annuairesante.ameli.fr/professionnels-de-sante/recherche/fiche-detaillee-CbA1kzoxNDa2.html", "MGHAIETH KHALED")</f>
        <v>MGHAIETH KHALED</v>
      </c>
      <c r="AE86" s="39" t="n">
        <v>45112.4375</v>
      </c>
      <c r="AF86" s="40"/>
      <c r="AG86" s="41"/>
      <c r="AH86" s="32"/>
      <c r="AI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XEY86" s="27"/>
      <c r="XEZ86" s="27"/>
      <c r="XFA86" s="27"/>
      <c r="XFB86" s="27"/>
      <c r="XFC86" s="27"/>
      <c r="XFD86" s="27"/>
    </row>
    <row r="87" s="42" customFormat="true" ht="14.15" hidden="false" customHeight="true" outlineLevel="0" collapsed="false">
      <c r="A87" s="28" t="s">
        <v>810</v>
      </c>
      <c r="B87" s="29" t="s">
        <v>811</v>
      </c>
      <c r="C87" s="29" t="s">
        <v>812</v>
      </c>
      <c r="D87" s="30" t="s">
        <v>206</v>
      </c>
      <c r="E87" s="31"/>
      <c r="F87" s="32" t="n">
        <v>47</v>
      </c>
      <c r="G87" s="31"/>
      <c r="H87" s="31" t="n">
        <v>1</v>
      </c>
      <c r="I87" s="31" t="s">
        <v>295</v>
      </c>
      <c r="J87" s="29"/>
      <c r="K87" s="29" t="s">
        <v>813</v>
      </c>
      <c r="L87" s="32" t="n">
        <v>23</v>
      </c>
      <c r="M87" s="33" t="s">
        <v>722</v>
      </c>
      <c r="N87" s="34" t="n">
        <v>92300</v>
      </c>
      <c r="O87" s="35" t="s">
        <v>298</v>
      </c>
      <c r="P87" s="36" t="s">
        <v>814</v>
      </c>
      <c r="Q87" s="36" t="n">
        <v>2</v>
      </c>
      <c r="R87" s="32" t="n">
        <v>266</v>
      </c>
      <c r="S87" s="32" t="n">
        <v>11</v>
      </c>
      <c r="T87" s="32"/>
      <c r="U87" s="32" t="n">
        <v>3</v>
      </c>
      <c r="V87" s="37" t="n">
        <v>3</v>
      </c>
      <c r="W87" s="32" t="n">
        <v>4</v>
      </c>
      <c r="X87" s="34"/>
      <c r="Y87" s="34" t="n">
        <v>3</v>
      </c>
      <c r="Z87" s="32"/>
      <c r="AA87" s="32" t="s">
        <v>815</v>
      </c>
      <c r="AB87" s="32"/>
      <c r="AC87" s="38" t="str">
        <f aca="false">HYPERLINK("https://biocodex6--c.vf.force.com/0014L00000KFlkgQAD", "FOGIEL LOEB VERONIQUE")</f>
        <v>FOGIEL LOEB VERONIQUE</v>
      </c>
      <c r="AD87" s="38"/>
      <c r="AE87" s="39" t="n">
        <v>45196.4166666667</v>
      </c>
      <c r="AF87" s="40"/>
      <c r="AG87" s="41"/>
      <c r="AH87" s="32"/>
      <c r="AI87" s="32" t="s">
        <v>71</v>
      </c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XEY87" s="27"/>
      <c r="XEZ87" s="27"/>
      <c r="XFA87" s="27"/>
      <c r="XFB87" s="27"/>
      <c r="XFC87" s="27"/>
      <c r="XFD87" s="27"/>
    </row>
    <row r="88" s="42" customFormat="true" ht="14.15" hidden="false" customHeight="true" outlineLevel="0" collapsed="false">
      <c r="A88" s="28" t="s">
        <v>816</v>
      </c>
      <c r="B88" s="29" t="s">
        <v>231</v>
      </c>
      <c r="C88" s="29" t="s">
        <v>817</v>
      </c>
      <c r="D88" s="30" t="s">
        <v>206</v>
      </c>
      <c r="E88" s="30" t="s">
        <v>818</v>
      </c>
      <c r="F88" s="32" t="n">
        <v>56</v>
      </c>
      <c r="G88" s="31" t="s">
        <v>98</v>
      </c>
      <c r="H88" s="31" t="n">
        <v>1</v>
      </c>
      <c r="I88" s="31" t="s">
        <v>295</v>
      </c>
      <c r="J88" s="29"/>
      <c r="K88" s="29" t="s">
        <v>813</v>
      </c>
      <c r="L88" s="32" t="n">
        <v>23</v>
      </c>
      <c r="M88" s="33" t="s">
        <v>722</v>
      </c>
      <c r="N88" s="34" t="n">
        <v>92300</v>
      </c>
      <c r="O88" s="35" t="s">
        <v>298</v>
      </c>
      <c r="P88" s="36" t="s">
        <v>819</v>
      </c>
      <c r="Q88" s="36" t="n">
        <v>2</v>
      </c>
      <c r="R88" s="32" t="n">
        <v>247</v>
      </c>
      <c r="S88" s="32" t="n">
        <v>11</v>
      </c>
      <c r="T88" s="32"/>
      <c r="U88" s="32" t="n">
        <v>3</v>
      </c>
      <c r="V88" s="37" t="n">
        <v>3</v>
      </c>
      <c r="W88" s="32" t="n">
        <v>3</v>
      </c>
      <c r="X88" s="34"/>
      <c r="Y88" s="34" t="n">
        <v>3</v>
      </c>
      <c r="Z88" s="32"/>
      <c r="AA88" s="32" t="s">
        <v>820</v>
      </c>
      <c r="AB88" s="32" t="s">
        <v>821</v>
      </c>
      <c r="AC88" s="38" t="str">
        <f aca="false">HYPERLINK("https://biocodex6--c.vf.force.com/0014L00000KFd03QAD", "GHAZI ANNE")</f>
        <v>GHAZI ANNE</v>
      </c>
      <c r="AD88" s="38" t="str">
        <f aca="false">HYPERLINK("https://annuairesante.ameli.fr/professionnels-de-sante/recherche/fiche-detaillee-CbA1kzszMDS6.html", "GHAZI ANNE")</f>
        <v>GHAZI ANNE</v>
      </c>
      <c r="AE88" s="39" t="n">
        <v>45219.5416666667</v>
      </c>
      <c r="AF88" s="40"/>
      <c r="AG88" s="41"/>
      <c r="AH88" s="32"/>
      <c r="AI88" s="32"/>
      <c r="AL88" s="43" t="s">
        <v>822</v>
      </c>
      <c r="AM88" s="43" t="s">
        <v>126</v>
      </c>
      <c r="AN88" s="43" t="s">
        <v>822</v>
      </c>
      <c r="AO88" s="43" t="s">
        <v>126</v>
      </c>
      <c r="AP88" s="43" t="s">
        <v>822</v>
      </c>
      <c r="AQ88" s="43" t="s">
        <v>126</v>
      </c>
      <c r="AR88" s="43" t="s">
        <v>822</v>
      </c>
      <c r="AS88" s="43" t="s">
        <v>126</v>
      </c>
      <c r="AT88" s="43" t="s">
        <v>822</v>
      </c>
      <c r="AU88" s="43" t="s">
        <v>126</v>
      </c>
      <c r="XEY88" s="27"/>
      <c r="XEZ88" s="27"/>
      <c r="XFA88" s="27"/>
      <c r="XFB88" s="27"/>
      <c r="XFC88" s="27"/>
      <c r="XFD88" s="27"/>
    </row>
    <row r="89" s="42" customFormat="true" ht="14.15" hidden="false" customHeight="true" outlineLevel="0" collapsed="false">
      <c r="A89" s="28" t="s">
        <v>823</v>
      </c>
      <c r="B89" s="29" t="s">
        <v>284</v>
      </c>
      <c r="C89" s="29" t="s">
        <v>824</v>
      </c>
      <c r="D89" s="30" t="s">
        <v>268</v>
      </c>
      <c r="E89" s="31"/>
      <c r="F89" s="32" t="n">
        <v>38</v>
      </c>
      <c r="G89" s="31"/>
      <c r="H89" s="31" t="n">
        <v>3</v>
      </c>
      <c r="I89" s="31" t="s">
        <v>197</v>
      </c>
      <c r="J89" s="29"/>
      <c r="K89" s="29" t="s">
        <v>825</v>
      </c>
      <c r="L89" s="32" t="n">
        <v>4</v>
      </c>
      <c r="M89" s="33" t="s">
        <v>826</v>
      </c>
      <c r="N89" s="34" t="n">
        <v>75017</v>
      </c>
      <c r="O89" s="35" t="s">
        <v>55</v>
      </c>
      <c r="P89" s="36"/>
      <c r="Q89" s="36" t="n">
        <v>1</v>
      </c>
      <c r="R89" s="32" t="n">
        <v>247</v>
      </c>
      <c r="S89" s="32" t="n">
        <v>11</v>
      </c>
      <c r="T89" s="32"/>
      <c r="U89" s="32"/>
      <c r="V89" s="37"/>
      <c r="W89" s="32"/>
      <c r="X89" s="34"/>
      <c r="Y89" s="34"/>
      <c r="Z89" s="36"/>
      <c r="AA89" s="32" t="s">
        <v>827</v>
      </c>
      <c r="AB89" s="32"/>
      <c r="AC89" s="38" t="str">
        <f aca="false">HYPERLINK("https://biocodex6--c.vf.force.com/0014L00000KFOXDQA5", "LECOUTURIER KAREN")</f>
        <v>LECOUTURIER KAREN</v>
      </c>
      <c r="AD89" s="38"/>
      <c r="AE89" s="39"/>
      <c r="AF89" s="40"/>
      <c r="AG89" s="41"/>
      <c r="AH89" s="32" t="s">
        <v>179</v>
      </c>
      <c r="AI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XEY89" s="27"/>
      <c r="XEZ89" s="27"/>
      <c r="XFA89" s="27"/>
      <c r="XFB89" s="27"/>
      <c r="XFC89" s="27"/>
      <c r="XFD89" s="27"/>
    </row>
    <row r="90" s="42" customFormat="true" ht="14.15" hidden="false" customHeight="true" outlineLevel="0" collapsed="false">
      <c r="A90" s="28" t="s">
        <v>828</v>
      </c>
      <c r="B90" s="29" t="s">
        <v>829</v>
      </c>
      <c r="C90" s="29" t="s">
        <v>830</v>
      </c>
      <c r="D90" s="30" t="s">
        <v>50</v>
      </c>
      <c r="E90" s="30" t="s">
        <v>831</v>
      </c>
      <c r="F90" s="32" t="n">
        <v>63</v>
      </c>
      <c r="G90" s="31" t="s">
        <v>345</v>
      </c>
      <c r="H90" s="31" t="n">
        <v>1</v>
      </c>
      <c r="I90" s="31" t="s">
        <v>62</v>
      </c>
      <c r="J90" s="29"/>
      <c r="K90" s="29" t="s">
        <v>832</v>
      </c>
      <c r="L90" s="32" t="n">
        <v>49</v>
      </c>
      <c r="M90" s="33" t="s">
        <v>833</v>
      </c>
      <c r="N90" s="34" t="n">
        <v>75017</v>
      </c>
      <c r="O90" s="35" t="s">
        <v>55</v>
      </c>
      <c r="P90" s="36" t="s">
        <v>834</v>
      </c>
      <c r="Q90" s="36" t="n">
        <v>1</v>
      </c>
      <c r="R90" s="32" t="n">
        <v>237</v>
      </c>
      <c r="S90" s="32" t="n">
        <v>11</v>
      </c>
      <c r="T90" s="32"/>
      <c r="U90" s="32" t="n">
        <v>3</v>
      </c>
      <c r="V90" s="37"/>
      <c r="W90" s="32" t="n">
        <v>3</v>
      </c>
      <c r="X90" s="34" t="n">
        <v>1</v>
      </c>
      <c r="Y90" s="34" t="n">
        <v>2</v>
      </c>
      <c r="Z90" s="32"/>
      <c r="AA90" s="32" t="s">
        <v>835</v>
      </c>
      <c r="AB90" s="32" t="s">
        <v>836</v>
      </c>
      <c r="AC90" s="38" t="str">
        <f aca="false">HYPERLINK("https://biocodex6--c.vf.force.com/0014L00000KFnHFQA1", "LECOLLIER DIDIER")</f>
        <v>LECOLLIER DIDIER</v>
      </c>
      <c r="AD90" s="38" t="str">
        <f aca="false">HYPERLINK("https://annuairesante.ameli.fr/professionnels-de-sante/recherche/fiche-detaillee-B7c1lDM4NTu2.html", "LECOLLIER DIDIER")</f>
        <v>LECOLLIER DIDIER</v>
      </c>
      <c r="AE90" s="39" t="n">
        <v>45357.6041666667</v>
      </c>
      <c r="AF90" s="40" t="s">
        <v>837</v>
      </c>
      <c r="AG90" s="41"/>
      <c r="AH90" s="32"/>
      <c r="AI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XEY90" s="27"/>
      <c r="XEZ90" s="27"/>
      <c r="XFA90" s="27"/>
      <c r="XFB90" s="27"/>
      <c r="XFC90" s="27"/>
      <c r="XFD90" s="27"/>
    </row>
    <row r="91" s="42" customFormat="true" ht="14.15" hidden="false" customHeight="true" outlineLevel="0" collapsed="false">
      <c r="A91" s="28" t="s">
        <v>838</v>
      </c>
      <c r="B91" s="29" t="s">
        <v>839</v>
      </c>
      <c r="C91" s="29" t="s">
        <v>840</v>
      </c>
      <c r="D91" s="30" t="s">
        <v>112</v>
      </c>
      <c r="E91" s="31"/>
      <c r="F91" s="32" t="n">
        <v>76</v>
      </c>
      <c r="G91" s="31" t="s">
        <v>215</v>
      </c>
      <c r="H91" s="31" t="n">
        <v>1</v>
      </c>
      <c r="I91" s="46" t="s">
        <v>435</v>
      </c>
      <c r="J91" s="29"/>
      <c r="K91" s="29" t="s">
        <v>841</v>
      </c>
      <c r="L91" s="32" t="n">
        <v>4</v>
      </c>
      <c r="M91" s="33" t="s">
        <v>842</v>
      </c>
      <c r="N91" s="34" t="n">
        <v>75016</v>
      </c>
      <c r="O91" s="35" t="s">
        <v>55</v>
      </c>
      <c r="P91" s="36" t="s">
        <v>843</v>
      </c>
      <c r="Q91" s="36" t="n">
        <v>1</v>
      </c>
      <c r="R91" s="32" t="n">
        <v>224</v>
      </c>
      <c r="S91" s="32" t="n">
        <v>11</v>
      </c>
      <c r="T91" s="32"/>
      <c r="U91" s="32" t="n">
        <v>3</v>
      </c>
      <c r="V91" s="37" t="n">
        <v>3</v>
      </c>
      <c r="W91" s="32" t="n">
        <v>3</v>
      </c>
      <c r="X91" s="34" t="n">
        <v>1</v>
      </c>
      <c r="Y91" s="34" t="n">
        <v>3</v>
      </c>
      <c r="Z91" s="32"/>
      <c r="AA91" s="32" t="s">
        <v>844</v>
      </c>
      <c r="AB91" s="32" t="s">
        <v>845</v>
      </c>
      <c r="AC91" s="38" t="str">
        <f aca="false">HYPERLINK("https://biocodex6--c.vf.force.com/0014L00000KFrXwQAL", "MESNARD DELOCHE GILLES")</f>
        <v>MESNARD DELOCHE GILLES</v>
      </c>
      <c r="AD91" s="38" t="str">
        <f aca="false">HYPERLINK("https://annuairesante.ameli.fr/professionnels-de-sante/recherche/fiche-detaillee-B7c1lTIyMDC0.html", "MESNARD DELOCHE GILLES")</f>
        <v>MESNARD DELOCHE GILLES</v>
      </c>
      <c r="AE91" s="39" t="n">
        <v>45440.3333333333</v>
      </c>
      <c r="AF91" s="40" t="s">
        <v>846</v>
      </c>
      <c r="AG91" s="41"/>
      <c r="AH91" s="32"/>
      <c r="AI91" s="32"/>
      <c r="AL91" s="43" t="s">
        <v>657</v>
      </c>
      <c r="AM91" s="43" t="s">
        <v>661</v>
      </c>
      <c r="AN91" s="43" t="s">
        <v>657</v>
      </c>
      <c r="AO91" s="43" t="s">
        <v>661</v>
      </c>
      <c r="AP91" s="43" t="s">
        <v>657</v>
      </c>
      <c r="AQ91" s="43" t="s">
        <v>661</v>
      </c>
      <c r="AR91" s="43" t="s">
        <v>657</v>
      </c>
      <c r="AS91" s="43" t="s">
        <v>661</v>
      </c>
      <c r="AT91" s="43" t="s">
        <v>657</v>
      </c>
      <c r="AU91" s="43" t="s">
        <v>137</v>
      </c>
      <c r="XEY91" s="27"/>
      <c r="XEZ91" s="27"/>
      <c r="XFA91" s="27"/>
      <c r="XFB91" s="27"/>
      <c r="XFC91" s="27"/>
      <c r="XFD91" s="27"/>
    </row>
    <row r="92" s="42" customFormat="true" ht="14.15" hidden="false" customHeight="true" outlineLevel="0" collapsed="false">
      <c r="A92" s="28" t="s">
        <v>847</v>
      </c>
      <c r="B92" s="29" t="s">
        <v>848</v>
      </c>
      <c r="C92" s="29" t="s">
        <v>849</v>
      </c>
      <c r="D92" s="30" t="s">
        <v>244</v>
      </c>
      <c r="E92" s="30" t="s">
        <v>245</v>
      </c>
      <c r="F92" s="32" t="n">
        <v>65</v>
      </c>
      <c r="G92" s="31"/>
      <c r="H92" s="31" t="n">
        <v>1</v>
      </c>
      <c r="I92" s="31" t="s">
        <v>51</v>
      </c>
      <c r="J92" s="29" t="s">
        <v>850</v>
      </c>
      <c r="K92" s="29" t="s">
        <v>851</v>
      </c>
      <c r="L92" s="32" t="n">
        <v>178</v>
      </c>
      <c r="M92" s="33" t="s">
        <v>852</v>
      </c>
      <c r="N92" s="34" t="n">
        <v>75015</v>
      </c>
      <c r="O92" s="35" t="s">
        <v>55</v>
      </c>
      <c r="P92" s="36" t="s">
        <v>853</v>
      </c>
      <c r="Q92" s="36" t="n">
        <v>24</v>
      </c>
      <c r="R92" s="32" t="n">
        <v>215</v>
      </c>
      <c r="S92" s="32" t="n">
        <v>11</v>
      </c>
      <c r="T92" s="32"/>
      <c r="U92" s="32" t="n">
        <v>3</v>
      </c>
      <c r="V92" s="37" t="n">
        <v>3</v>
      </c>
      <c r="W92" s="32" t="n">
        <v>3</v>
      </c>
      <c r="X92" s="34" t="n">
        <v>1</v>
      </c>
      <c r="Y92" s="34" t="n">
        <v>2</v>
      </c>
      <c r="Z92" s="32" t="s">
        <v>854</v>
      </c>
      <c r="AA92" s="32" t="s">
        <v>855</v>
      </c>
      <c r="AB92" s="32"/>
      <c r="AC92" s="38" t="str">
        <f aca="false">HYPERLINK("https://biocodex6--c.vf.force.com/0014L00000KFkbLQAT", "KHEBICHAT COSTA NADIA")</f>
        <v>KHEBICHAT COSTA NADIA</v>
      </c>
      <c r="AD92" s="38"/>
      <c r="AE92" s="39" t="n">
        <v>45309.4791666667</v>
      </c>
      <c r="AF92" s="40" t="s">
        <v>856</v>
      </c>
      <c r="AG92" s="41" t="s">
        <v>69</v>
      </c>
      <c r="AH92" s="32" t="s">
        <v>70</v>
      </c>
      <c r="AI92" s="32" t="s">
        <v>106</v>
      </c>
      <c r="AJ92" s="32"/>
      <c r="AK92" s="32"/>
      <c r="AL92" s="43" t="s">
        <v>857</v>
      </c>
      <c r="AM92" s="43" t="s">
        <v>858</v>
      </c>
      <c r="AN92" s="43" t="s">
        <v>857</v>
      </c>
      <c r="AO92" s="43" t="s">
        <v>858</v>
      </c>
      <c r="AP92" s="43" t="s">
        <v>857</v>
      </c>
      <c r="AQ92" s="43" t="s">
        <v>858</v>
      </c>
      <c r="AR92" s="43" t="s">
        <v>859</v>
      </c>
      <c r="AS92" s="43" t="s">
        <v>858</v>
      </c>
      <c r="AT92" s="43" t="s">
        <v>857</v>
      </c>
      <c r="AU92" s="43" t="s">
        <v>858</v>
      </c>
      <c r="XEY92" s="27"/>
      <c r="XEZ92" s="27"/>
      <c r="XFA92" s="27"/>
      <c r="XFB92" s="27"/>
      <c r="XFC92" s="27"/>
      <c r="XFD92" s="27"/>
    </row>
    <row r="93" s="42" customFormat="true" ht="14.15" hidden="false" customHeight="true" outlineLevel="0" collapsed="false">
      <c r="A93" s="28" t="s">
        <v>860</v>
      </c>
      <c r="B93" s="29" t="s">
        <v>861</v>
      </c>
      <c r="C93" s="29" t="s">
        <v>862</v>
      </c>
      <c r="D93" s="30" t="s">
        <v>75</v>
      </c>
      <c r="E93" s="31"/>
      <c r="F93" s="32" t="n">
        <v>62</v>
      </c>
      <c r="G93" s="31" t="s">
        <v>215</v>
      </c>
      <c r="H93" s="31" t="n">
        <v>1</v>
      </c>
      <c r="I93" s="31" t="s">
        <v>99</v>
      </c>
      <c r="J93" s="29" t="s">
        <v>595</v>
      </c>
      <c r="K93" s="29" t="s">
        <v>596</v>
      </c>
      <c r="L93" s="32" t="n">
        <v>20</v>
      </c>
      <c r="M93" s="33" t="s">
        <v>597</v>
      </c>
      <c r="N93" s="34" t="n">
        <v>75015</v>
      </c>
      <c r="O93" s="35" t="s">
        <v>55</v>
      </c>
      <c r="P93" s="36" t="s">
        <v>863</v>
      </c>
      <c r="Q93" s="36" t="n">
        <v>90</v>
      </c>
      <c r="R93" s="32" t="n">
        <v>185</v>
      </c>
      <c r="S93" s="32" t="n">
        <v>11</v>
      </c>
      <c r="T93" s="32"/>
      <c r="U93" s="32"/>
      <c r="V93" s="37"/>
      <c r="W93" s="32"/>
      <c r="X93" s="34"/>
      <c r="Y93" s="34"/>
      <c r="Z93" s="32"/>
      <c r="AA93" s="32" t="s">
        <v>864</v>
      </c>
      <c r="AB93" s="32" t="s">
        <v>865</v>
      </c>
      <c r="AC93" s="38" t="str">
        <f aca="false">HYPERLINK("https://biocodex6--c.vf.force.com/0014L00000KFVq3QAH", "CELLIER CHRISTOPHE")</f>
        <v>CELLIER CHRISTOPHE</v>
      </c>
      <c r="AD93" s="38" t="str">
        <f aca="false">HYPERLINK("https://annuairesante.ameli.fr/professionnels-de-sante/recherche/fiche-detaillee-B7c1lzc4NDS7.html", "CELLIER CHRISTOPHE")</f>
        <v>CELLIER CHRISTOPHE</v>
      </c>
      <c r="AE93" s="39"/>
      <c r="AF93" s="40"/>
      <c r="AG93" s="41"/>
      <c r="AH93" s="32"/>
      <c r="AI93" s="32"/>
      <c r="AL93" s="32"/>
      <c r="AM93" s="32"/>
      <c r="AN93" s="32"/>
      <c r="AO93" s="32"/>
      <c r="AP93" s="32"/>
      <c r="AQ93" s="32"/>
      <c r="AR93" s="32"/>
      <c r="AS93" s="32"/>
      <c r="AT93" s="32"/>
      <c r="AU93" s="43" t="s">
        <v>866</v>
      </c>
      <c r="XEY93" s="27"/>
      <c r="XEZ93" s="27"/>
      <c r="XFA93" s="27"/>
      <c r="XFB93" s="27"/>
      <c r="XFC93" s="27"/>
      <c r="XFD93" s="27"/>
    </row>
    <row r="94" s="42" customFormat="true" ht="14.15" hidden="false" customHeight="true" outlineLevel="0" collapsed="false">
      <c r="A94" s="28" t="s">
        <v>867</v>
      </c>
      <c r="B94" s="29" t="s">
        <v>868</v>
      </c>
      <c r="C94" s="29" t="s">
        <v>869</v>
      </c>
      <c r="D94" s="30" t="s">
        <v>244</v>
      </c>
      <c r="E94" s="30" t="s">
        <v>245</v>
      </c>
      <c r="F94" s="32" t="n">
        <v>75</v>
      </c>
      <c r="G94" s="31"/>
      <c r="H94" s="31" t="n">
        <v>1</v>
      </c>
      <c r="I94" s="31" t="s">
        <v>572</v>
      </c>
      <c r="J94" s="29" t="s">
        <v>678</v>
      </c>
      <c r="K94" s="29" t="s">
        <v>679</v>
      </c>
      <c r="L94" s="32" t="n">
        <v>6</v>
      </c>
      <c r="M94" s="33" t="s">
        <v>680</v>
      </c>
      <c r="N94" s="34" t="n">
        <v>75008</v>
      </c>
      <c r="O94" s="35" t="s">
        <v>55</v>
      </c>
      <c r="P94" s="36" t="s">
        <v>870</v>
      </c>
      <c r="Q94" s="36" t="n">
        <v>43</v>
      </c>
      <c r="R94" s="32" t="n">
        <v>166</v>
      </c>
      <c r="S94" s="32" t="n">
        <v>11</v>
      </c>
      <c r="T94" s="32"/>
      <c r="U94" s="32"/>
      <c r="V94" s="37" t="n">
        <v>3</v>
      </c>
      <c r="W94" s="32"/>
      <c r="X94" s="34" t="n">
        <v>1</v>
      </c>
      <c r="Y94" s="34"/>
      <c r="Z94" s="32" t="s">
        <v>871</v>
      </c>
      <c r="AA94" s="32" t="s">
        <v>872</v>
      </c>
      <c r="AB94" s="32"/>
      <c r="AC94" s="38" t="str">
        <f aca="false">HYPERLINK("https://biocodex6--c.vf.force.com/0014L00000KFbqUQAT", "DULAURANS GEORGES")</f>
        <v>DULAURANS GEORGES</v>
      </c>
      <c r="AD94" s="38"/>
      <c r="AE94" s="39" t="n">
        <v>45428.4791666667</v>
      </c>
      <c r="AF94" s="40" t="s">
        <v>873</v>
      </c>
      <c r="AG94" s="41"/>
      <c r="AH94" s="32"/>
      <c r="AI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XEY94" s="27"/>
      <c r="XEZ94" s="27"/>
      <c r="XFA94" s="27"/>
      <c r="XFB94" s="27"/>
      <c r="XFC94" s="27"/>
      <c r="XFD94" s="27"/>
    </row>
    <row r="95" s="42" customFormat="true" ht="14.15" hidden="false" customHeight="true" outlineLevel="0" collapsed="false">
      <c r="A95" s="28" t="s">
        <v>874</v>
      </c>
      <c r="B95" s="29" t="s">
        <v>875</v>
      </c>
      <c r="C95" s="29" t="s">
        <v>876</v>
      </c>
      <c r="D95" s="30" t="s">
        <v>112</v>
      </c>
      <c r="E95" s="31"/>
      <c r="F95" s="32" t="n">
        <v>61</v>
      </c>
      <c r="G95" s="31"/>
      <c r="H95" s="31" t="n">
        <v>2</v>
      </c>
      <c r="I95" s="46" t="s">
        <v>387</v>
      </c>
      <c r="J95" s="29"/>
      <c r="K95" s="29" t="s">
        <v>877</v>
      </c>
      <c r="L95" s="32" t="n">
        <v>15</v>
      </c>
      <c r="M95" s="33" t="s">
        <v>878</v>
      </c>
      <c r="N95" s="34" t="n">
        <v>75016</v>
      </c>
      <c r="O95" s="35" t="s">
        <v>55</v>
      </c>
      <c r="P95" s="36" t="s">
        <v>879</v>
      </c>
      <c r="Q95" s="36" t="n">
        <v>1</v>
      </c>
      <c r="R95" s="32" t="n">
        <v>152</v>
      </c>
      <c r="S95" s="32" t="n">
        <v>11</v>
      </c>
      <c r="T95" s="32"/>
      <c r="U95" s="32" t="n">
        <v>3</v>
      </c>
      <c r="V95" s="37" t="n">
        <v>3</v>
      </c>
      <c r="W95" s="32" t="n">
        <v>3</v>
      </c>
      <c r="X95" s="34" t="n">
        <v>1</v>
      </c>
      <c r="Y95" s="34" t="n">
        <v>2</v>
      </c>
      <c r="Z95" s="32"/>
      <c r="AA95" s="32" t="s">
        <v>880</v>
      </c>
      <c r="AB95" s="32"/>
      <c r="AC95" s="38" t="str">
        <f aca="false">HYPERLINK("https://biocodex6--c.vf.force.com/0014L00000KFs9RQAT", "MICHOT ANNE SYLVESTRE")</f>
        <v>MICHOT ANNE SYLVESTRE</v>
      </c>
      <c r="AD95" s="38"/>
      <c r="AE95" s="39" t="n">
        <v>45369.4583333333</v>
      </c>
      <c r="AF95" s="40" t="s">
        <v>881</v>
      </c>
      <c r="AG95" s="41"/>
      <c r="AH95" s="32" t="s">
        <v>70</v>
      </c>
      <c r="AI95" s="32" t="s">
        <v>71</v>
      </c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XEY95" s="27"/>
      <c r="XEZ95" s="27"/>
      <c r="XFA95" s="27"/>
      <c r="XFB95" s="27"/>
      <c r="XFC95" s="27"/>
      <c r="XFD95" s="27"/>
    </row>
    <row r="96" s="42" customFormat="true" ht="14.15" hidden="false" customHeight="true" outlineLevel="0" collapsed="false">
      <c r="A96" s="28" t="s">
        <v>882</v>
      </c>
      <c r="B96" s="29" t="s">
        <v>883</v>
      </c>
      <c r="C96" s="29" t="s">
        <v>884</v>
      </c>
      <c r="D96" s="30" t="s">
        <v>112</v>
      </c>
      <c r="E96" s="30" t="s">
        <v>113</v>
      </c>
      <c r="F96" s="32" t="n">
        <v>47</v>
      </c>
      <c r="G96" s="31"/>
      <c r="H96" s="31" t="n">
        <v>1</v>
      </c>
      <c r="I96" s="31" t="s">
        <v>51</v>
      </c>
      <c r="J96" s="29" t="s">
        <v>52</v>
      </c>
      <c r="K96" s="29" t="s">
        <v>53</v>
      </c>
      <c r="L96" s="32" t="n">
        <v>149</v>
      </c>
      <c r="M96" s="33" t="s">
        <v>54</v>
      </c>
      <c r="N96" s="34" t="n">
        <v>75015</v>
      </c>
      <c r="O96" s="35" t="s">
        <v>55</v>
      </c>
      <c r="P96" s="36" t="s">
        <v>885</v>
      </c>
      <c r="Q96" s="36" t="n">
        <v>236</v>
      </c>
      <c r="R96" s="32" t="n">
        <v>134</v>
      </c>
      <c r="S96" s="32" t="n">
        <v>11</v>
      </c>
      <c r="T96" s="32"/>
      <c r="U96" s="32"/>
      <c r="V96" s="37"/>
      <c r="W96" s="32"/>
      <c r="X96" s="34"/>
      <c r="Y96" s="34"/>
      <c r="Z96" s="32"/>
      <c r="AA96" s="32" t="s">
        <v>886</v>
      </c>
      <c r="AB96" s="32"/>
      <c r="AC96" s="38" t="str">
        <f aca="false">HYPERLINK("https://biocodex6--c.vf.force.com/0014L00000KFSeqQAH", "BELTRAND JACQUES")</f>
        <v>BELTRAND JACQUES</v>
      </c>
      <c r="AD96" s="38"/>
      <c r="AE96" s="39"/>
      <c r="AF96" s="40"/>
      <c r="AG96" s="41"/>
      <c r="AH96" s="32"/>
      <c r="AI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XEY96" s="27"/>
      <c r="XEZ96" s="27"/>
      <c r="XFA96" s="27"/>
      <c r="XFB96" s="27"/>
      <c r="XFC96" s="27"/>
      <c r="XFD96" s="27"/>
    </row>
    <row r="97" s="42" customFormat="true" ht="14.15" hidden="false" customHeight="true" outlineLevel="0" collapsed="false">
      <c r="A97" s="28" t="s">
        <v>887</v>
      </c>
      <c r="B97" s="29" t="s">
        <v>888</v>
      </c>
      <c r="C97" s="29" t="s">
        <v>889</v>
      </c>
      <c r="D97" s="30" t="s">
        <v>75</v>
      </c>
      <c r="E97" s="30" t="s">
        <v>890</v>
      </c>
      <c r="F97" s="32" t="n">
        <v>57</v>
      </c>
      <c r="G97" s="31" t="s">
        <v>98</v>
      </c>
      <c r="H97" s="31" t="n">
        <v>4</v>
      </c>
      <c r="I97" s="31" t="s">
        <v>99</v>
      </c>
      <c r="J97" s="29"/>
      <c r="K97" s="29" t="s">
        <v>891</v>
      </c>
      <c r="L97" s="32" t="n">
        <v>35</v>
      </c>
      <c r="M97" s="33" t="s">
        <v>892</v>
      </c>
      <c r="N97" s="34" t="n">
        <v>75015</v>
      </c>
      <c r="O97" s="35" t="s">
        <v>55</v>
      </c>
      <c r="P97" s="36"/>
      <c r="Q97" s="36" t="n">
        <v>2</v>
      </c>
      <c r="R97" s="32" t="n">
        <v>126</v>
      </c>
      <c r="S97" s="32" t="n">
        <v>11</v>
      </c>
      <c r="T97" s="32"/>
      <c r="U97" s="32"/>
      <c r="V97" s="37" t="n">
        <v>2</v>
      </c>
      <c r="W97" s="32"/>
      <c r="X97" s="34"/>
      <c r="Y97" s="34" t="n">
        <v>3</v>
      </c>
      <c r="Z97" s="32"/>
      <c r="AA97" s="32" t="s">
        <v>893</v>
      </c>
      <c r="AB97" s="32" t="s">
        <v>894</v>
      </c>
      <c r="AC97" s="38" t="str">
        <f aca="false">HYPERLINK("https://biocodex6--c.vf.force.com/0014L00000KFRknQAH", "VALIOLLAHPOUR AMIRI MAJID")</f>
        <v>VALIOLLAHPOUR AMIRI MAJID</v>
      </c>
      <c r="AD97" s="38" t="str">
        <f aca="false">HYPERLINK("https://annuairesante.ameli.fr/professionnels-de-sante/recherche/fiche-detaillee-B7c1mjA2MzW7.html", "VALIOLLAHPOUR AMIRI MAJID")</f>
        <v>VALIOLLAHPOUR AMIRI MAJID</v>
      </c>
      <c r="AE97" s="39"/>
      <c r="AF97" s="40"/>
      <c r="AG97" s="41"/>
      <c r="AH97" s="32"/>
      <c r="AI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XEY97" s="27"/>
      <c r="XEZ97" s="27"/>
      <c r="XFA97" s="27"/>
      <c r="XFB97" s="27"/>
      <c r="XFC97" s="27"/>
      <c r="XFD97" s="27"/>
    </row>
    <row r="98" s="42" customFormat="true" ht="14.15" hidden="false" customHeight="true" outlineLevel="0" collapsed="false">
      <c r="A98" s="28" t="s">
        <v>895</v>
      </c>
      <c r="B98" s="29" t="s">
        <v>619</v>
      </c>
      <c r="C98" s="29" t="s">
        <v>896</v>
      </c>
      <c r="D98" s="30" t="s">
        <v>244</v>
      </c>
      <c r="E98" s="30" t="s">
        <v>245</v>
      </c>
      <c r="F98" s="32" t="n">
        <v>70</v>
      </c>
      <c r="G98" s="31" t="s">
        <v>215</v>
      </c>
      <c r="H98" s="31" t="n">
        <v>4</v>
      </c>
      <c r="I98" s="31" t="s">
        <v>77</v>
      </c>
      <c r="J98" s="29" t="s">
        <v>580</v>
      </c>
      <c r="K98" s="29" t="s">
        <v>581</v>
      </c>
      <c r="L98" s="32" t="n">
        <v>63</v>
      </c>
      <c r="M98" s="33" t="s">
        <v>80</v>
      </c>
      <c r="N98" s="34" t="n">
        <v>92200</v>
      </c>
      <c r="O98" s="35" t="s">
        <v>81</v>
      </c>
      <c r="P98" s="36" t="s">
        <v>897</v>
      </c>
      <c r="Q98" s="36" t="n">
        <v>39</v>
      </c>
      <c r="R98" s="32" t="n">
        <v>117</v>
      </c>
      <c r="S98" s="32" t="n">
        <v>11</v>
      </c>
      <c r="T98" s="32"/>
      <c r="U98" s="32"/>
      <c r="V98" s="37"/>
      <c r="W98" s="32" t="n">
        <v>3</v>
      </c>
      <c r="X98" s="34"/>
      <c r="Y98" s="34" t="n">
        <v>1</v>
      </c>
      <c r="Z98" s="32"/>
      <c r="AA98" s="32" t="s">
        <v>898</v>
      </c>
      <c r="AB98" s="32" t="s">
        <v>899</v>
      </c>
      <c r="AC98" s="38" t="str">
        <f aca="false">HYPERLINK("https://biocodex6--c.vf.force.com/0014L00000KG3FlQAL", "TIBI CHARLES")</f>
        <v>TIBI CHARLES</v>
      </c>
      <c r="AD98" s="38" t="str">
        <f aca="false">HYPERLINK("https://annuairesante.ameli.fr/professionnels-de-sante/recherche/fiche-detaillee-B7c1ljsyMjGy.html", "TIBI CHARLES")</f>
        <v>TIBI CHARLES</v>
      </c>
      <c r="AE98" s="39"/>
      <c r="AF98" s="40"/>
      <c r="AG98" s="41"/>
      <c r="AH98" s="32"/>
      <c r="AI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XEY98" s="27"/>
      <c r="XEZ98" s="27"/>
      <c r="XFA98" s="27"/>
      <c r="XFB98" s="27"/>
      <c r="XFC98" s="27"/>
      <c r="XFD98" s="27"/>
    </row>
    <row r="99" s="42" customFormat="true" ht="14.15" hidden="false" customHeight="true" outlineLevel="0" collapsed="false">
      <c r="A99" s="28" t="s">
        <v>900</v>
      </c>
      <c r="B99" s="29" t="s">
        <v>901</v>
      </c>
      <c r="C99" s="29" t="s">
        <v>902</v>
      </c>
      <c r="D99" s="30" t="s">
        <v>112</v>
      </c>
      <c r="E99" s="31"/>
      <c r="F99" s="32" t="n">
        <v>37</v>
      </c>
      <c r="G99" s="31" t="s">
        <v>215</v>
      </c>
      <c r="H99" s="31" t="n">
        <v>2</v>
      </c>
      <c r="I99" s="31" t="s">
        <v>119</v>
      </c>
      <c r="J99" s="29"/>
      <c r="K99" s="29" t="s">
        <v>903</v>
      </c>
      <c r="L99" s="32" t="n">
        <v>10</v>
      </c>
      <c r="M99" s="33" t="s">
        <v>904</v>
      </c>
      <c r="N99" s="34" t="n">
        <v>75007</v>
      </c>
      <c r="O99" s="35" t="s">
        <v>55</v>
      </c>
      <c r="P99" s="36" t="s">
        <v>905</v>
      </c>
      <c r="Q99" s="36" t="n">
        <v>1</v>
      </c>
      <c r="R99" s="32" t="n">
        <v>102</v>
      </c>
      <c r="S99" s="32" t="n">
        <v>11</v>
      </c>
      <c r="T99" s="32"/>
      <c r="U99" s="32"/>
      <c r="V99" s="37" t="n">
        <v>3</v>
      </c>
      <c r="W99" s="32"/>
      <c r="X99" s="34"/>
      <c r="Y99" s="34"/>
      <c r="Z99" s="32"/>
      <c r="AA99" s="32" t="s">
        <v>906</v>
      </c>
      <c r="AB99" s="32" t="s">
        <v>907</v>
      </c>
      <c r="AC99" s="38" t="str">
        <f aca="false">HYPERLINK("https://biocodex6--c.vf.force.com/0014L00000KFOLxQAP", "VERGEZ MYLENE")</f>
        <v>VERGEZ MYLENE</v>
      </c>
      <c r="AD99" s="38" t="str">
        <f aca="false">HYPERLINK("https://annuairesante.ameli.fr/professionnels-de-sante/recherche/fiche-detaillee-B7c1kjQ4MzSy.html", "VERGEZ MYLENE")</f>
        <v>VERGEZ MYLENE</v>
      </c>
      <c r="AE99" s="39" t="n">
        <v>45462.4166666667</v>
      </c>
      <c r="AF99" s="40" t="s">
        <v>908</v>
      </c>
      <c r="AG99" s="41"/>
      <c r="AH99" s="32"/>
      <c r="AI99" s="32"/>
      <c r="AL99" s="32"/>
      <c r="AM99" s="32"/>
      <c r="AN99" s="43" t="s">
        <v>657</v>
      </c>
      <c r="AO99" s="43" t="s">
        <v>262</v>
      </c>
      <c r="AP99" s="43" t="s">
        <v>657</v>
      </c>
      <c r="AQ99" s="43" t="s">
        <v>262</v>
      </c>
      <c r="AR99" s="32"/>
      <c r="AS99" s="32"/>
      <c r="AT99" s="43" t="s">
        <v>909</v>
      </c>
      <c r="AU99" s="43" t="s">
        <v>910</v>
      </c>
      <c r="XEY99" s="27"/>
      <c r="XEZ99" s="27"/>
      <c r="XFA99" s="27"/>
      <c r="XFB99" s="27"/>
      <c r="XFC99" s="27"/>
      <c r="XFD99" s="27"/>
    </row>
    <row r="100" s="42" customFormat="true" ht="14.15" hidden="false" customHeight="true" outlineLevel="0" collapsed="false">
      <c r="A100" s="28" t="s">
        <v>911</v>
      </c>
      <c r="B100" s="29" t="s">
        <v>652</v>
      </c>
      <c r="C100" s="29" t="s">
        <v>912</v>
      </c>
      <c r="D100" s="30" t="s">
        <v>244</v>
      </c>
      <c r="E100" s="30" t="s">
        <v>245</v>
      </c>
      <c r="F100" s="32" t="n">
        <v>37</v>
      </c>
      <c r="G100" s="31"/>
      <c r="H100" s="31" t="n">
        <v>1</v>
      </c>
      <c r="I100" s="31" t="s">
        <v>77</v>
      </c>
      <c r="J100" s="29" t="s">
        <v>246</v>
      </c>
      <c r="K100" s="29" t="s">
        <v>247</v>
      </c>
      <c r="L100" s="32" t="n">
        <v>36</v>
      </c>
      <c r="M100" s="33" t="s">
        <v>248</v>
      </c>
      <c r="N100" s="34" t="n">
        <v>92200</v>
      </c>
      <c r="O100" s="35" t="s">
        <v>81</v>
      </c>
      <c r="P100" s="36" t="s">
        <v>614</v>
      </c>
      <c r="Q100" s="36" t="n">
        <v>49</v>
      </c>
      <c r="R100" s="32" t="n">
        <v>96</v>
      </c>
      <c r="S100" s="32" t="n">
        <v>11</v>
      </c>
      <c r="T100" s="32"/>
      <c r="U100" s="32"/>
      <c r="V100" s="37"/>
      <c r="W100" s="32"/>
      <c r="X100" s="34"/>
      <c r="Y100" s="34"/>
      <c r="Z100" s="32"/>
      <c r="AA100" s="32" t="s">
        <v>913</v>
      </c>
      <c r="AB100" s="32"/>
      <c r="AC100" s="38" t="str">
        <f aca="false">HYPERLINK("https://biocodex6--c.vf.force.com/0014L00000KFPbZQAX", "CARREZ SOPHIE")</f>
        <v>CARREZ SOPHIE</v>
      </c>
      <c r="AD100" s="38"/>
      <c r="AE100" s="39"/>
      <c r="AF100" s="40"/>
      <c r="AG100" s="41"/>
      <c r="AH100" s="32"/>
      <c r="AI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XEY100" s="27"/>
      <c r="XEZ100" s="27"/>
      <c r="XFA100" s="27"/>
      <c r="XFB100" s="27"/>
      <c r="XFC100" s="27"/>
      <c r="XFD100" s="27"/>
    </row>
    <row r="101" s="42" customFormat="true" ht="14.15" hidden="false" customHeight="true" outlineLevel="0" collapsed="false">
      <c r="A101" s="28" t="s">
        <v>914</v>
      </c>
      <c r="B101" s="29" t="s">
        <v>353</v>
      </c>
      <c r="C101" s="29" t="s">
        <v>915</v>
      </c>
      <c r="D101" s="30" t="s">
        <v>75</v>
      </c>
      <c r="E101" s="30" t="s">
        <v>916</v>
      </c>
      <c r="F101" s="32" t="n">
        <v>60</v>
      </c>
      <c r="G101" s="31" t="s">
        <v>215</v>
      </c>
      <c r="H101" s="31" t="n">
        <v>3</v>
      </c>
      <c r="I101" s="31" t="s">
        <v>62</v>
      </c>
      <c r="J101" s="29"/>
      <c r="K101" s="49" t="s">
        <v>917</v>
      </c>
      <c r="L101" s="32" t="n">
        <v>10</v>
      </c>
      <c r="M101" s="33" t="s">
        <v>918</v>
      </c>
      <c r="N101" s="34" t="n">
        <v>75017</v>
      </c>
      <c r="O101" s="35" t="s">
        <v>55</v>
      </c>
      <c r="P101" s="36" t="s">
        <v>919</v>
      </c>
      <c r="Q101" s="36" t="n">
        <v>3</v>
      </c>
      <c r="R101" s="32" t="n">
        <v>89</v>
      </c>
      <c r="S101" s="32" t="n">
        <v>11</v>
      </c>
      <c r="T101" s="32"/>
      <c r="U101" s="32" t="n">
        <v>3</v>
      </c>
      <c r="V101" s="37" t="n">
        <v>2</v>
      </c>
      <c r="W101" s="32" t="n">
        <v>3</v>
      </c>
      <c r="X101" s="34"/>
      <c r="Y101" s="34" t="n">
        <v>3</v>
      </c>
      <c r="Z101" s="32"/>
      <c r="AA101" s="32" t="s">
        <v>920</v>
      </c>
      <c r="AB101" s="32" t="s">
        <v>921</v>
      </c>
      <c r="AC101" s="38" t="str">
        <f aca="false">HYPERLINK("https://biocodex6--c.vf.force.com/0014L00000KFSFtQAP", "ATTAR ALAIN")</f>
        <v>ATTAR ALAIN</v>
      </c>
      <c r="AD101" s="38" t="str">
        <f aca="false">HYPERLINK("https://annuairesante.ameli.fr/professionnels-de-sante/recherche/fiche-detaillee-B7c1lDI2NDe6.html", "ATTAR ALAIN")</f>
        <v>ATTAR ALAIN</v>
      </c>
      <c r="AE101" s="39" t="n">
        <v>45446.5416666667</v>
      </c>
      <c r="AF101" s="40" t="s">
        <v>922</v>
      </c>
      <c r="AG101" s="41" t="s">
        <v>69</v>
      </c>
      <c r="AH101" s="32" t="s">
        <v>70</v>
      </c>
      <c r="AI101" s="32" t="s">
        <v>71</v>
      </c>
      <c r="AL101" s="32"/>
      <c r="AM101" s="43" t="s">
        <v>923</v>
      </c>
      <c r="AN101" s="43" t="s">
        <v>338</v>
      </c>
      <c r="AO101" s="32"/>
      <c r="AP101" s="32"/>
      <c r="AQ101" s="43" t="s">
        <v>534</v>
      </c>
      <c r="AR101" s="32"/>
      <c r="AS101" s="43" t="s">
        <v>924</v>
      </c>
      <c r="AT101" s="43" t="s">
        <v>925</v>
      </c>
      <c r="AU101" s="32"/>
      <c r="XEY101" s="27"/>
      <c r="XEZ101" s="27"/>
      <c r="XFA101" s="27"/>
      <c r="XFB101" s="27"/>
      <c r="XFC101" s="27"/>
      <c r="XFD101" s="27"/>
    </row>
    <row r="102" s="42" customFormat="true" ht="14.15" hidden="false" customHeight="true" outlineLevel="0" collapsed="false">
      <c r="A102" s="28" t="s">
        <v>926</v>
      </c>
      <c r="B102" s="29" t="s">
        <v>927</v>
      </c>
      <c r="C102" s="29" t="s">
        <v>928</v>
      </c>
      <c r="D102" s="30" t="s">
        <v>244</v>
      </c>
      <c r="E102" s="31"/>
      <c r="F102" s="32" t="n">
        <v>44</v>
      </c>
      <c r="G102" s="31"/>
      <c r="H102" s="31" t="n">
        <v>1</v>
      </c>
      <c r="I102" s="31" t="s">
        <v>77</v>
      </c>
      <c r="J102" s="29" t="s">
        <v>246</v>
      </c>
      <c r="K102" s="29" t="s">
        <v>247</v>
      </c>
      <c r="L102" s="32" t="n">
        <v>36</v>
      </c>
      <c r="M102" s="33" t="s">
        <v>248</v>
      </c>
      <c r="N102" s="34" t="n">
        <v>92200</v>
      </c>
      <c r="O102" s="35" t="s">
        <v>81</v>
      </c>
      <c r="P102" s="36" t="s">
        <v>614</v>
      </c>
      <c r="Q102" s="36" t="n">
        <v>49</v>
      </c>
      <c r="R102" s="32" t="n">
        <v>86</v>
      </c>
      <c r="S102" s="32" t="n">
        <v>11</v>
      </c>
      <c r="T102" s="32"/>
      <c r="U102" s="32"/>
      <c r="V102" s="37"/>
      <c r="W102" s="32" t="n">
        <v>3</v>
      </c>
      <c r="X102" s="34" t="n">
        <v>1</v>
      </c>
      <c r="Y102" s="34" t="n">
        <v>1</v>
      </c>
      <c r="Z102" s="32"/>
      <c r="AA102" s="32" t="s">
        <v>929</v>
      </c>
      <c r="AB102" s="32"/>
      <c r="AC102" s="38" t="str">
        <f aca="false">HYPERLINK("https://biocodex6--c.vf.force.com/0014L00000KFVgLQAX", "BONTOUX LAURE MARIE")</f>
        <v>BONTOUX LAURE MARIE</v>
      </c>
      <c r="AD102" s="38"/>
      <c r="AE102" s="39" t="n">
        <v>45184.4791666667</v>
      </c>
      <c r="AF102" s="40"/>
      <c r="AG102" s="41"/>
      <c r="AH102" s="32"/>
      <c r="AI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XEY102" s="27"/>
      <c r="XEZ102" s="27"/>
      <c r="XFA102" s="27"/>
      <c r="XFB102" s="27"/>
      <c r="XFC102" s="27"/>
      <c r="XFD102" s="27"/>
    </row>
    <row r="103" s="42" customFormat="true" ht="14.15" hidden="false" customHeight="true" outlineLevel="0" collapsed="false">
      <c r="A103" s="28" t="s">
        <v>930</v>
      </c>
      <c r="B103" s="29" t="s">
        <v>931</v>
      </c>
      <c r="C103" s="29" t="s">
        <v>932</v>
      </c>
      <c r="D103" s="30" t="s">
        <v>112</v>
      </c>
      <c r="E103" s="31"/>
      <c r="F103" s="32" t="n">
        <v>34</v>
      </c>
      <c r="G103" s="31"/>
      <c r="H103" s="31" t="n">
        <v>1</v>
      </c>
      <c r="I103" s="31" t="s">
        <v>51</v>
      </c>
      <c r="J103" s="29" t="s">
        <v>52</v>
      </c>
      <c r="K103" s="29" t="s">
        <v>53</v>
      </c>
      <c r="L103" s="32" t="n">
        <v>149</v>
      </c>
      <c r="M103" s="33" t="s">
        <v>54</v>
      </c>
      <c r="N103" s="34" t="n">
        <v>75015</v>
      </c>
      <c r="O103" s="35" t="s">
        <v>55</v>
      </c>
      <c r="P103" s="36" t="s">
        <v>933</v>
      </c>
      <c r="Q103" s="36" t="n">
        <v>236</v>
      </c>
      <c r="R103" s="32"/>
      <c r="S103" s="32" t="n">
        <v>11</v>
      </c>
      <c r="T103" s="32"/>
      <c r="U103" s="32"/>
      <c r="V103" s="37"/>
      <c r="W103" s="32"/>
      <c r="X103" s="34"/>
      <c r="Y103" s="34"/>
      <c r="Z103" s="36"/>
      <c r="AA103" s="32" t="s">
        <v>934</v>
      </c>
      <c r="AB103" s="32"/>
      <c r="AC103" s="38" t="str">
        <f aca="false">HYPERLINK("https://biocodex6--c.vf.force.com/0014L00000NADdpQAH", "VERGNAUD PAUL")</f>
        <v>VERGNAUD PAUL</v>
      </c>
      <c r="AD103" s="38"/>
      <c r="AE103" s="39"/>
      <c r="AF103" s="40"/>
      <c r="AG103" s="41"/>
      <c r="AH103" s="32" t="s">
        <v>179</v>
      </c>
      <c r="AI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XEY103" s="27"/>
      <c r="XEZ103" s="27"/>
      <c r="XFA103" s="27"/>
      <c r="XFB103" s="27"/>
      <c r="XFC103" s="27"/>
      <c r="XFD103" s="27"/>
    </row>
    <row r="104" s="42" customFormat="true" ht="14.15" hidden="false" customHeight="true" outlineLevel="0" collapsed="false">
      <c r="A104" s="28" t="s">
        <v>935</v>
      </c>
      <c r="B104" s="29" t="s">
        <v>936</v>
      </c>
      <c r="C104" s="29" t="s">
        <v>937</v>
      </c>
      <c r="D104" s="30" t="s">
        <v>50</v>
      </c>
      <c r="E104" s="31"/>
      <c r="F104" s="32" t="n">
        <v>56</v>
      </c>
      <c r="G104" s="31" t="s">
        <v>98</v>
      </c>
      <c r="H104" s="31" t="n">
        <v>1</v>
      </c>
      <c r="I104" s="31" t="s">
        <v>51</v>
      </c>
      <c r="J104" s="29"/>
      <c r="K104" s="29" t="s">
        <v>938</v>
      </c>
      <c r="L104" s="32" t="n">
        <v>1</v>
      </c>
      <c r="M104" s="33" t="s">
        <v>939</v>
      </c>
      <c r="N104" s="34" t="n">
        <v>75015</v>
      </c>
      <c r="O104" s="35" t="s">
        <v>55</v>
      </c>
      <c r="P104" s="36" t="s">
        <v>940</v>
      </c>
      <c r="Q104" s="36" t="n">
        <v>1</v>
      </c>
      <c r="R104" s="32" t="n">
        <v>529</v>
      </c>
      <c r="S104" s="32" t="n">
        <v>10</v>
      </c>
      <c r="T104" s="32"/>
      <c r="U104" s="32" t="n">
        <v>3</v>
      </c>
      <c r="V104" s="37"/>
      <c r="W104" s="32" t="n">
        <v>3</v>
      </c>
      <c r="X104" s="34"/>
      <c r="Y104" s="34" t="n">
        <v>3</v>
      </c>
      <c r="Z104" s="32"/>
      <c r="AA104" s="32" t="s">
        <v>941</v>
      </c>
      <c r="AB104" s="32" t="s">
        <v>942</v>
      </c>
      <c r="AC104" s="38" t="str">
        <f aca="false">HYPERLINK("https://biocodex6--c.vf.force.com/0014L00000KFgrAQAT", "JAMET EMMANUEL")</f>
        <v>JAMET EMMANUEL</v>
      </c>
      <c r="AD104" s="38" t="str">
        <f aca="false">HYPERLINK("https://annuairesante.ameli.fr/professionnels-de-sante/recherche/fiche-detaillee-B7c1mzExMza6.html", "JAMET EMMANUEL")</f>
        <v>JAMET EMMANUEL</v>
      </c>
      <c r="AE104" s="39"/>
      <c r="AF104" s="40"/>
      <c r="AG104" s="41" t="s">
        <v>125</v>
      </c>
      <c r="AH104" s="32" t="s">
        <v>70</v>
      </c>
      <c r="AI104" s="32" t="s">
        <v>71</v>
      </c>
      <c r="AL104" s="43" t="s">
        <v>657</v>
      </c>
      <c r="AM104" s="43" t="s">
        <v>137</v>
      </c>
      <c r="AN104" s="43" t="s">
        <v>657</v>
      </c>
      <c r="AO104" s="43" t="s">
        <v>137</v>
      </c>
      <c r="AP104" s="43" t="s">
        <v>657</v>
      </c>
      <c r="AQ104" s="43" t="s">
        <v>137</v>
      </c>
      <c r="AR104" s="43" t="s">
        <v>657</v>
      </c>
      <c r="AS104" s="43" t="s">
        <v>137</v>
      </c>
      <c r="AT104" s="43" t="s">
        <v>657</v>
      </c>
      <c r="AU104" s="43" t="s">
        <v>137</v>
      </c>
      <c r="XEY104" s="27"/>
      <c r="XEZ104" s="27"/>
      <c r="XFA104" s="27"/>
      <c r="XFB104" s="27"/>
      <c r="XFC104" s="27"/>
      <c r="XFD104" s="27"/>
    </row>
    <row r="105" s="42" customFormat="true" ht="14.15" hidden="false" customHeight="true" outlineLevel="0" collapsed="false">
      <c r="A105" s="28" t="s">
        <v>943</v>
      </c>
      <c r="B105" s="29" t="s">
        <v>195</v>
      </c>
      <c r="C105" s="29" t="s">
        <v>944</v>
      </c>
      <c r="D105" s="30" t="s">
        <v>50</v>
      </c>
      <c r="E105" s="31"/>
      <c r="F105" s="32" t="n">
        <v>60</v>
      </c>
      <c r="G105" s="31" t="s">
        <v>98</v>
      </c>
      <c r="H105" s="31" t="n">
        <v>1</v>
      </c>
      <c r="I105" s="31" t="s">
        <v>119</v>
      </c>
      <c r="J105" s="29"/>
      <c r="K105" s="29" t="s">
        <v>945</v>
      </c>
      <c r="L105" s="32" t="n">
        <v>41</v>
      </c>
      <c r="M105" s="33" t="s">
        <v>946</v>
      </c>
      <c r="N105" s="34" t="n">
        <v>75007</v>
      </c>
      <c r="O105" s="35" t="s">
        <v>55</v>
      </c>
      <c r="P105" s="36" t="s">
        <v>947</v>
      </c>
      <c r="Q105" s="36" t="n">
        <v>2</v>
      </c>
      <c r="R105" s="32" t="n">
        <v>508</v>
      </c>
      <c r="S105" s="32" t="n">
        <v>10</v>
      </c>
      <c r="T105" s="32"/>
      <c r="U105" s="32" t="n">
        <v>3</v>
      </c>
      <c r="V105" s="37"/>
      <c r="W105" s="32" t="n">
        <v>3</v>
      </c>
      <c r="X105" s="34"/>
      <c r="Y105" s="34" t="n">
        <v>1</v>
      </c>
      <c r="Z105" s="32"/>
      <c r="AA105" s="32" t="s">
        <v>948</v>
      </c>
      <c r="AB105" s="32" t="s">
        <v>949</v>
      </c>
      <c r="AC105" s="38" t="str">
        <f aca="false">HYPERLINK("https://biocodex6--c.vf.force.com/0014L00000KFlC0QAL", "LABET PHILIPPE")</f>
        <v>LABET PHILIPPE</v>
      </c>
      <c r="AD105" s="38" t="str">
        <f aca="false">HYPERLINK("https://annuairesante.ameli.fr/professionnels-de-sante/recherche/fiche-detaillee-B7c1lDc5MDq7.html", "LABET PHILIPPE")</f>
        <v>LABET PHILIPPE</v>
      </c>
      <c r="AE105" s="39" t="n">
        <v>45328.4375</v>
      </c>
      <c r="AF105" s="40"/>
      <c r="AG105" s="41" t="s">
        <v>125</v>
      </c>
      <c r="AH105" s="32" t="s">
        <v>70</v>
      </c>
      <c r="AI105" s="32" t="s">
        <v>71</v>
      </c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XEY105" s="27"/>
      <c r="XEZ105" s="27"/>
      <c r="XFA105" s="27"/>
      <c r="XFB105" s="27"/>
      <c r="XFC105" s="27"/>
      <c r="XFD105" s="27"/>
    </row>
    <row r="106" s="42" customFormat="true" ht="14.15" hidden="false" customHeight="true" outlineLevel="0" collapsed="false">
      <c r="A106" s="28" t="s">
        <v>950</v>
      </c>
      <c r="B106" s="29" t="s">
        <v>951</v>
      </c>
      <c r="C106" s="29" t="s">
        <v>952</v>
      </c>
      <c r="D106" s="30" t="s">
        <v>50</v>
      </c>
      <c r="E106" s="31"/>
      <c r="F106" s="32" t="n">
        <v>40</v>
      </c>
      <c r="G106" s="31" t="s">
        <v>345</v>
      </c>
      <c r="H106" s="31" t="n">
        <v>1</v>
      </c>
      <c r="I106" s="31" t="s">
        <v>51</v>
      </c>
      <c r="J106" s="29" t="s">
        <v>286</v>
      </c>
      <c r="K106" s="29" t="s">
        <v>287</v>
      </c>
      <c r="L106" s="32" t="n">
        <v>12</v>
      </c>
      <c r="M106" s="33" t="s">
        <v>288</v>
      </c>
      <c r="N106" s="34" t="n">
        <v>75015</v>
      </c>
      <c r="O106" s="35" t="s">
        <v>55</v>
      </c>
      <c r="P106" s="36" t="s">
        <v>953</v>
      </c>
      <c r="Q106" s="36" t="n">
        <v>14</v>
      </c>
      <c r="R106" s="32" t="n">
        <v>400</v>
      </c>
      <c r="S106" s="32" t="n">
        <v>10</v>
      </c>
      <c r="T106" s="32"/>
      <c r="U106" s="32" t="n">
        <v>3</v>
      </c>
      <c r="V106" s="37"/>
      <c r="W106" s="32" t="n">
        <v>3</v>
      </c>
      <c r="X106" s="34"/>
      <c r="Y106" s="34" t="n">
        <v>2</v>
      </c>
      <c r="Z106" s="32"/>
      <c r="AA106" s="32" t="s">
        <v>954</v>
      </c>
      <c r="AB106" s="32" t="s">
        <v>955</v>
      </c>
      <c r="AC106" s="38" t="str">
        <f aca="false">HYPERLINK("https://biocodex6--c.vf.force.com/0014L00000KHSonQAH", "LEBEL MARIE AMELIE")</f>
        <v>LEBEL MARIE AMELIE</v>
      </c>
      <c r="AD106" s="38" t="str">
        <f aca="false">HYPERLINK("https://annuairesante.ameli.fr/professionnels-de-sante/recherche/fiche-detaillee-B7c1kjMyOTCz.html", "LEBEL MARIE AMELIE")</f>
        <v>LEBEL MARIE AMELIE</v>
      </c>
      <c r="AE106" s="39" t="n">
        <v>45460.4375</v>
      </c>
      <c r="AF106" s="40" t="s">
        <v>956</v>
      </c>
      <c r="AG106" s="41"/>
      <c r="AH106" s="32"/>
      <c r="AI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XEY106" s="27"/>
      <c r="XEZ106" s="27"/>
      <c r="XFA106" s="27"/>
      <c r="XFB106" s="27"/>
      <c r="XFC106" s="27"/>
      <c r="XFD106" s="27"/>
    </row>
    <row r="107" s="42" customFormat="true" ht="14.15" hidden="false" customHeight="true" outlineLevel="0" collapsed="false">
      <c r="A107" s="28" t="s">
        <v>957</v>
      </c>
      <c r="B107" s="29" t="s">
        <v>958</v>
      </c>
      <c r="C107" s="29" t="s">
        <v>959</v>
      </c>
      <c r="D107" s="30" t="s">
        <v>50</v>
      </c>
      <c r="E107" s="31"/>
      <c r="F107" s="32" t="n">
        <v>60</v>
      </c>
      <c r="G107" s="31" t="s">
        <v>98</v>
      </c>
      <c r="H107" s="31" t="n">
        <v>1</v>
      </c>
      <c r="I107" s="31" t="s">
        <v>99</v>
      </c>
      <c r="J107" s="29"/>
      <c r="K107" s="29" t="s">
        <v>960</v>
      </c>
      <c r="L107" s="32" t="n">
        <v>146</v>
      </c>
      <c r="M107" s="33" t="s">
        <v>961</v>
      </c>
      <c r="N107" s="34" t="n">
        <v>75015</v>
      </c>
      <c r="O107" s="35" t="s">
        <v>55</v>
      </c>
      <c r="P107" s="36" t="s">
        <v>962</v>
      </c>
      <c r="Q107" s="36" t="n">
        <v>2</v>
      </c>
      <c r="R107" s="32" t="n">
        <v>400</v>
      </c>
      <c r="S107" s="32" t="n">
        <v>10</v>
      </c>
      <c r="T107" s="32"/>
      <c r="U107" s="32"/>
      <c r="V107" s="37"/>
      <c r="W107" s="32"/>
      <c r="X107" s="34" t="n">
        <v>1</v>
      </c>
      <c r="Y107" s="34" t="n">
        <v>1</v>
      </c>
      <c r="Z107" s="32"/>
      <c r="AA107" s="32" t="s">
        <v>963</v>
      </c>
      <c r="AB107" s="32" t="s">
        <v>964</v>
      </c>
      <c r="AC107" s="38" t="str">
        <f aca="false">HYPERLINK("https://biocodex6--c.vf.force.com/0014L00000KFtOyQAL", "NEFTEL PATRICK")</f>
        <v>NEFTEL PATRICK</v>
      </c>
      <c r="AD107" s="38" t="str">
        <f aca="false">HYPERLINK("https://annuairesante.ameli.fr/professionnels-de-sante/recherche/fiche-detaillee-B7c1lzsxODW6.html", "NEFTEL PATRICK")</f>
        <v>NEFTEL PATRICK</v>
      </c>
      <c r="AE107" s="39" t="n">
        <v>45125.6041666667</v>
      </c>
      <c r="AF107" s="40"/>
      <c r="AG107" s="41"/>
      <c r="AH107" s="32"/>
      <c r="AI107" s="32" t="s">
        <v>168</v>
      </c>
      <c r="AJ107" s="42" t="s">
        <v>180</v>
      </c>
      <c r="AL107" s="43" t="s">
        <v>657</v>
      </c>
      <c r="AM107" s="43" t="s">
        <v>965</v>
      </c>
      <c r="AN107" s="43" t="s">
        <v>657</v>
      </c>
      <c r="AO107" s="43" t="s">
        <v>965</v>
      </c>
      <c r="AP107" s="43" t="s">
        <v>966</v>
      </c>
      <c r="AQ107" s="43" t="s">
        <v>967</v>
      </c>
      <c r="AR107" s="43" t="s">
        <v>968</v>
      </c>
      <c r="AS107" s="43" t="s">
        <v>360</v>
      </c>
      <c r="AT107" s="43" t="s">
        <v>657</v>
      </c>
      <c r="AU107" s="43" t="s">
        <v>965</v>
      </c>
      <c r="XEY107" s="27"/>
      <c r="XEZ107" s="27"/>
      <c r="XFA107" s="27"/>
      <c r="XFB107" s="27"/>
      <c r="XFC107" s="27"/>
      <c r="XFD107" s="27"/>
    </row>
    <row r="108" s="42" customFormat="true" ht="14.15" hidden="false" customHeight="true" outlineLevel="0" collapsed="false">
      <c r="A108" s="28" t="s">
        <v>969</v>
      </c>
      <c r="B108" s="29" t="s">
        <v>970</v>
      </c>
      <c r="C108" s="29" t="s">
        <v>971</v>
      </c>
      <c r="D108" s="30" t="s">
        <v>50</v>
      </c>
      <c r="E108" s="30" t="s">
        <v>972</v>
      </c>
      <c r="F108" s="32"/>
      <c r="G108" s="31"/>
      <c r="H108" s="31" t="n">
        <v>1</v>
      </c>
      <c r="I108" s="31" t="s">
        <v>233</v>
      </c>
      <c r="J108" s="29"/>
      <c r="K108" s="29" t="s">
        <v>973</v>
      </c>
      <c r="L108" s="32" t="n">
        <v>64</v>
      </c>
      <c r="M108" s="33" t="s">
        <v>974</v>
      </c>
      <c r="N108" s="34" t="n">
        <v>75015</v>
      </c>
      <c r="O108" s="35" t="s">
        <v>55</v>
      </c>
      <c r="P108" s="36" t="s">
        <v>975</v>
      </c>
      <c r="Q108" s="36" t="n">
        <v>4</v>
      </c>
      <c r="R108" s="32" t="n">
        <v>400</v>
      </c>
      <c r="S108" s="32" t="n">
        <v>10</v>
      </c>
      <c r="T108" s="32"/>
      <c r="U108" s="32"/>
      <c r="V108" s="37"/>
      <c r="W108" s="32"/>
      <c r="X108" s="34"/>
      <c r="Y108" s="34"/>
      <c r="Z108" s="32"/>
      <c r="AA108" s="32"/>
      <c r="AB108" s="32"/>
      <c r="AC108" s="38"/>
      <c r="AD108" s="38"/>
      <c r="AE108" s="39"/>
      <c r="AF108" s="40"/>
      <c r="AG108" s="45"/>
      <c r="AH108" s="32"/>
      <c r="AI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XEY108" s="27"/>
      <c r="XEZ108" s="27"/>
      <c r="XFA108" s="27"/>
      <c r="XFB108" s="27"/>
      <c r="XFC108" s="27"/>
      <c r="XFD108" s="27"/>
    </row>
    <row r="109" s="42" customFormat="true" ht="14.15" hidden="false" customHeight="true" outlineLevel="0" collapsed="false">
      <c r="A109" s="28" t="s">
        <v>976</v>
      </c>
      <c r="B109" s="29" t="s">
        <v>182</v>
      </c>
      <c r="C109" s="29" t="s">
        <v>977</v>
      </c>
      <c r="D109" s="30" t="s">
        <v>50</v>
      </c>
      <c r="E109" s="30" t="s">
        <v>978</v>
      </c>
      <c r="F109" s="32" t="n">
        <v>61</v>
      </c>
      <c r="G109" s="31" t="s">
        <v>98</v>
      </c>
      <c r="H109" s="31" t="n">
        <v>1</v>
      </c>
      <c r="I109" s="31" t="s">
        <v>435</v>
      </c>
      <c r="J109" s="29"/>
      <c r="K109" s="29" t="s">
        <v>979</v>
      </c>
      <c r="L109" s="32" t="n">
        <v>2</v>
      </c>
      <c r="M109" s="33" t="s">
        <v>980</v>
      </c>
      <c r="N109" s="34" t="n">
        <v>75016</v>
      </c>
      <c r="O109" s="35" t="s">
        <v>55</v>
      </c>
      <c r="P109" s="36" t="s">
        <v>981</v>
      </c>
      <c r="Q109" s="36" t="n">
        <v>1</v>
      </c>
      <c r="R109" s="32" t="n">
        <v>395</v>
      </c>
      <c r="S109" s="32" t="n">
        <v>10</v>
      </c>
      <c r="T109" s="32"/>
      <c r="U109" s="32" t="n">
        <v>3</v>
      </c>
      <c r="V109" s="37"/>
      <c r="W109" s="32" t="n">
        <v>3</v>
      </c>
      <c r="X109" s="34"/>
      <c r="Y109" s="34" t="n">
        <v>2</v>
      </c>
      <c r="Z109" s="32"/>
      <c r="AA109" s="32" t="s">
        <v>982</v>
      </c>
      <c r="AB109" s="32" t="s">
        <v>983</v>
      </c>
      <c r="AC109" s="38" t="str">
        <f aca="false">HYPERLINK("https://biocodex6--c.vf.force.com/0014L00000KFVhZQAX", "CATTAN LAURENT")</f>
        <v>CATTAN LAURENT</v>
      </c>
      <c r="AD109" s="38" t="str">
        <f aca="false">HYPERLINK("https://annuairesante.ameli.fr/professionnels-de-sante/recherche/fiche-detaillee-B7c1lDs5MDq3.html", "CATTAN LAURENT")</f>
        <v>CATTAN LAURENT</v>
      </c>
      <c r="AE109" s="39" t="n">
        <v>45316.5625</v>
      </c>
      <c r="AF109" s="40"/>
      <c r="AG109" s="41" t="s">
        <v>69</v>
      </c>
      <c r="AH109" s="32" t="s">
        <v>70</v>
      </c>
      <c r="AI109" s="47" t="s">
        <v>106</v>
      </c>
      <c r="AJ109" s="32"/>
      <c r="AK109" s="32"/>
      <c r="AL109" s="32"/>
      <c r="AM109" s="48" t="s">
        <v>984</v>
      </c>
      <c r="AN109" s="32"/>
      <c r="AO109" s="43" t="s">
        <v>661</v>
      </c>
      <c r="AP109" s="32"/>
      <c r="AQ109" s="43" t="s">
        <v>984</v>
      </c>
      <c r="AR109" s="32"/>
      <c r="AS109" s="43" t="s">
        <v>661</v>
      </c>
      <c r="AT109" s="32"/>
      <c r="AU109" s="43" t="s">
        <v>137</v>
      </c>
      <c r="XEY109" s="27"/>
      <c r="XEZ109" s="27"/>
      <c r="XFA109" s="27"/>
      <c r="XFB109" s="27"/>
      <c r="XFC109" s="27"/>
      <c r="XFD109" s="27"/>
    </row>
    <row r="110" s="42" customFormat="true" ht="14.15" hidden="false" customHeight="true" outlineLevel="0" collapsed="false">
      <c r="A110" s="28" t="s">
        <v>985</v>
      </c>
      <c r="B110" s="29" t="s">
        <v>986</v>
      </c>
      <c r="C110" s="29" t="s">
        <v>987</v>
      </c>
      <c r="D110" s="30" t="s">
        <v>50</v>
      </c>
      <c r="E110" s="30" t="s">
        <v>796</v>
      </c>
      <c r="F110" s="32" t="n">
        <v>72</v>
      </c>
      <c r="G110" s="31" t="s">
        <v>61</v>
      </c>
      <c r="H110" s="31" t="n">
        <v>1</v>
      </c>
      <c r="I110" s="31" t="s">
        <v>99</v>
      </c>
      <c r="J110" s="29"/>
      <c r="K110" s="29" t="s">
        <v>988</v>
      </c>
      <c r="L110" s="32" t="n">
        <v>58</v>
      </c>
      <c r="M110" s="33" t="s">
        <v>989</v>
      </c>
      <c r="N110" s="34" t="n">
        <v>75015</v>
      </c>
      <c r="O110" s="35" t="s">
        <v>55</v>
      </c>
      <c r="P110" s="36" t="s">
        <v>990</v>
      </c>
      <c r="Q110" s="36" t="n">
        <v>2</v>
      </c>
      <c r="R110" s="32" t="n">
        <v>346</v>
      </c>
      <c r="S110" s="32" t="n">
        <v>10</v>
      </c>
      <c r="T110" s="32"/>
      <c r="U110" s="32" t="n">
        <v>3</v>
      </c>
      <c r="V110" s="37"/>
      <c r="W110" s="32" t="n">
        <v>3</v>
      </c>
      <c r="X110" s="34" t="n">
        <v>1</v>
      </c>
      <c r="Y110" s="34" t="n">
        <v>2</v>
      </c>
      <c r="Z110" s="32"/>
      <c r="AA110" s="32" t="s">
        <v>991</v>
      </c>
      <c r="AB110" s="32" t="s">
        <v>992</v>
      </c>
      <c r="AC110" s="38" t="str">
        <f aca="false">HYPERLINK("https://biocodex6--c.vf.force.com/0014L00000KFpaBQAT", "MALLET JEAN BERNARD")</f>
        <v>MALLET JEAN BERNARD</v>
      </c>
      <c r="AD110" s="38" t="str">
        <f aca="false">HYPERLINK("https://annuairesante.ameli.fr/professionnels-de-sante/recherche/fiche-detaillee-B7c1kTo5NDO2.html", "MALLET JEAN BERNARD")</f>
        <v>MALLET JEAN BERNARD</v>
      </c>
      <c r="AE110" s="39" t="n">
        <v>45349.3958333333</v>
      </c>
      <c r="AF110" s="40" t="s">
        <v>993</v>
      </c>
      <c r="AG110" s="41"/>
      <c r="AH110" s="32"/>
      <c r="AI110" s="32"/>
      <c r="AL110" s="43" t="s">
        <v>994</v>
      </c>
      <c r="AM110" s="43" t="s">
        <v>661</v>
      </c>
      <c r="AN110" s="43" t="s">
        <v>995</v>
      </c>
      <c r="AO110" s="43" t="s">
        <v>661</v>
      </c>
      <c r="AP110" s="32"/>
      <c r="AQ110" s="32"/>
      <c r="AR110" s="43" t="s">
        <v>281</v>
      </c>
      <c r="AS110" s="43" t="s">
        <v>996</v>
      </c>
      <c r="AT110" s="43" t="s">
        <v>997</v>
      </c>
      <c r="AU110" s="43" t="s">
        <v>996</v>
      </c>
      <c r="XEY110" s="27"/>
      <c r="XEZ110" s="27"/>
      <c r="XFA110" s="27"/>
      <c r="XFB110" s="27"/>
      <c r="XFC110" s="27"/>
      <c r="XFD110" s="27"/>
    </row>
    <row r="111" s="42" customFormat="true" ht="14.15" hidden="false" customHeight="true" outlineLevel="0" collapsed="false">
      <c r="A111" s="28" t="s">
        <v>998</v>
      </c>
      <c r="B111" s="29" t="s">
        <v>999</v>
      </c>
      <c r="C111" s="29" t="s">
        <v>1000</v>
      </c>
      <c r="D111" s="30" t="s">
        <v>50</v>
      </c>
      <c r="E111" s="31"/>
      <c r="F111" s="32" t="n">
        <v>60</v>
      </c>
      <c r="G111" s="31" t="s">
        <v>98</v>
      </c>
      <c r="H111" s="31" t="n">
        <v>2</v>
      </c>
      <c r="I111" s="31" t="s">
        <v>99</v>
      </c>
      <c r="J111" s="29"/>
      <c r="K111" s="29" t="s">
        <v>1001</v>
      </c>
      <c r="L111" s="32" t="n">
        <v>133</v>
      </c>
      <c r="M111" s="33" t="s">
        <v>1002</v>
      </c>
      <c r="N111" s="34" t="n">
        <v>75015</v>
      </c>
      <c r="O111" s="35" t="s">
        <v>55</v>
      </c>
      <c r="P111" s="36" t="s">
        <v>1003</v>
      </c>
      <c r="Q111" s="36" t="n">
        <v>1</v>
      </c>
      <c r="R111" s="32" t="n">
        <v>316</v>
      </c>
      <c r="S111" s="32" t="n">
        <v>10</v>
      </c>
      <c r="T111" s="32"/>
      <c r="U111" s="32"/>
      <c r="V111" s="37"/>
      <c r="W111" s="32"/>
      <c r="X111" s="34"/>
      <c r="Y111" s="34"/>
      <c r="Z111" s="32"/>
      <c r="AA111" s="32" t="s">
        <v>1004</v>
      </c>
      <c r="AB111" s="32" t="s">
        <v>1005</v>
      </c>
      <c r="AC111" s="38" t="str">
        <f aca="false">HYPERLINK("https://biocodex6--c.vf.force.com/0014L00000KG6BBQA1", "VIGLA MARIE PAULE")</f>
        <v>VIGLA MARIE PAULE</v>
      </c>
      <c r="AD111" s="38" t="str">
        <f aca="false">HYPERLINK("https://annuairesante.ameli.fr/professionnels-de-sante/recherche/fiche-detaillee-B7c1lzQyMza1.html", "VIGLA MARIE PAULE")</f>
        <v>VIGLA MARIE PAULE</v>
      </c>
      <c r="AE111" s="39"/>
      <c r="AF111" s="40"/>
      <c r="AG111" s="41"/>
      <c r="AH111" s="32"/>
      <c r="AI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XEY111" s="27"/>
      <c r="XEZ111" s="27"/>
      <c r="XFA111" s="27"/>
      <c r="XFB111" s="27"/>
      <c r="XFC111" s="27"/>
      <c r="XFD111" s="27"/>
    </row>
    <row r="112" s="42" customFormat="true" ht="14.15" hidden="false" customHeight="true" outlineLevel="0" collapsed="false">
      <c r="A112" s="28" t="s">
        <v>1006</v>
      </c>
      <c r="B112" s="29" t="s">
        <v>1007</v>
      </c>
      <c r="C112" s="29" t="s">
        <v>1008</v>
      </c>
      <c r="D112" s="30" t="s">
        <v>50</v>
      </c>
      <c r="E112" s="30" t="s">
        <v>344</v>
      </c>
      <c r="F112" s="32" t="n">
        <v>50</v>
      </c>
      <c r="G112" s="31" t="s">
        <v>98</v>
      </c>
      <c r="H112" s="31" t="n">
        <v>1</v>
      </c>
      <c r="I112" s="31" t="s">
        <v>435</v>
      </c>
      <c r="J112" s="29"/>
      <c r="K112" s="29" t="s">
        <v>1009</v>
      </c>
      <c r="L112" s="32" t="n">
        <v>11</v>
      </c>
      <c r="M112" s="33" t="s">
        <v>1010</v>
      </c>
      <c r="N112" s="34" t="n">
        <v>75016</v>
      </c>
      <c r="O112" s="35" t="s">
        <v>55</v>
      </c>
      <c r="P112" s="36" t="s">
        <v>1011</v>
      </c>
      <c r="Q112" s="36" t="n">
        <v>1</v>
      </c>
      <c r="R112" s="32" t="n">
        <v>287</v>
      </c>
      <c r="S112" s="32" t="n">
        <v>10</v>
      </c>
      <c r="T112" s="32"/>
      <c r="U112" s="32"/>
      <c r="V112" s="37"/>
      <c r="W112" s="32"/>
      <c r="X112" s="34"/>
      <c r="Y112" s="34"/>
      <c r="Z112" s="32"/>
      <c r="AA112" s="32" t="s">
        <v>1012</v>
      </c>
      <c r="AB112" s="32" t="s">
        <v>1013</v>
      </c>
      <c r="AC112" s="38" t="str">
        <f aca="false">HYPERLINK("https://biocodex6--c.vf.force.com/0014L00000KFsWfQAL", "MODIANO DAVID")</f>
        <v>MODIANO DAVID</v>
      </c>
      <c r="AD112" s="38" t="str">
        <f aca="false">HYPERLINK("https://annuairesante.ameli.fr/professionnels-de-sante/recherche/fiche-detaillee-B7c1lDo4ODSy.html", "MODIANO DAVID")</f>
        <v>MODIANO DAVID</v>
      </c>
      <c r="AE112" s="39"/>
      <c r="AF112" s="40"/>
      <c r="AG112" s="41"/>
      <c r="AH112" s="32"/>
      <c r="AI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XEY112" s="27"/>
      <c r="XEZ112" s="27"/>
      <c r="XFA112" s="27"/>
      <c r="XFB112" s="27"/>
      <c r="XFC112" s="27"/>
      <c r="XFD112" s="27"/>
    </row>
    <row r="113" s="42" customFormat="true" ht="14.15" hidden="false" customHeight="true" outlineLevel="0" collapsed="false">
      <c r="A113" s="28" t="s">
        <v>1014</v>
      </c>
      <c r="B113" s="29" t="s">
        <v>1015</v>
      </c>
      <c r="C113" s="29" t="s">
        <v>1016</v>
      </c>
      <c r="D113" s="30" t="s">
        <v>206</v>
      </c>
      <c r="E113" s="30" t="s">
        <v>972</v>
      </c>
      <c r="F113" s="32" t="n">
        <v>58</v>
      </c>
      <c r="G113" s="31" t="s">
        <v>98</v>
      </c>
      <c r="H113" s="31" t="n">
        <v>2</v>
      </c>
      <c r="I113" s="46" t="s">
        <v>387</v>
      </c>
      <c r="J113" s="29"/>
      <c r="K113" s="29" t="s">
        <v>1017</v>
      </c>
      <c r="L113" s="32" t="n">
        <v>21</v>
      </c>
      <c r="M113" s="33" t="s">
        <v>1018</v>
      </c>
      <c r="N113" s="34" t="n">
        <v>75016</v>
      </c>
      <c r="O113" s="35" t="s">
        <v>55</v>
      </c>
      <c r="P113" s="36" t="s">
        <v>1019</v>
      </c>
      <c r="Q113" s="36" t="n">
        <v>3</v>
      </c>
      <c r="R113" s="32" t="n">
        <v>280</v>
      </c>
      <c r="S113" s="32" t="n">
        <v>10</v>
      </c>
      <c r="T113" s="32"/>
      <c r="U113" s="32" t="n">
        <v>3</v>
      </c>
      <c r="V113" s="37" t="n">
        <v>3</v>
      </c>
      <c r="W113" s="32" t="n">
        <v>3</v>
      </c>
      <c r="X113" s="34" t="n">
        <v>2</v>
      </c>
      <c r="Y113" s="34" t="n">
        <v>3</v>
      </c>
      <c r="Z113" s="32"/>
      <c r="AA113" s="32" t="s">
        <v>1020</v>
      </c>
      <c r="AB113" s="32" t="s">
        <v>1021</v>
      </c>
      <c r="AC113" s="42" t="str">
        <f aca="false">HYPERLINK("https://biocodex6--c.vf.force.com/0014L00000KFQ4QQAX", "EL JABRI LAILA")</f>
        <v>EL JABRI LAILA</v>
      </c>
      <c r="AD113" s="32" t="str">
        <f aca="false">HYPERLINK("https://annuairesante.ameli.fr/professionnels-de-sante/recherche/fiche-detaillee-B7c1lTAzODOy.html", "EL JABRI LAILA")</f>
        <v>EL JABRI LAILA</v>
      </c>
      <c r="AE113" s="39" t="n">
        <v>45433.4375</v>
      </c>
      <c r="AF113" s="40" t="s">
        <v>1022</v>
      </c>
      <c r="AG113" s="41"/>
      <c r="AH113" s="32" t="s">
        <v>70</v>
      </c>
      <c r="AI113" s="32" t="s">
        <v>71</v>
      </c>
      <c r="AL113" s="32"/>
      <c r="AM113" s="43" t="s">
        <v>1023</v>
      </c>
      <c r="AN113" s="32"/>
      <c r="AO113" s="32"/>
      <c r="AP113" s="32"/>
      <c r="AQ113" s="32"/>
      <c r="AR113" s="43" t="s">
        <v>1024</v>
      </c>
      <c r="AS113" s="43" t="s">
        <v>1025</v>
      </c>
      <c r="AT113" s="43" t="s">
        <v>1024</v>
      </c>
      <c r="AU113" s="43" t="s">
        <v>1025</v>
      </c>
      <c r="XEY113" s="27"/>
      <c r="XEZ113" s="27"/>
      <c r="XFA113" s="27"/>
      <c r="XFB113" s="27"/>
      <c r="XFC113" s="27"/>
      <c r="XFD113" s="27"/>
    </row>
    <row r="114" s="42" customFormat="true" ht="14.15" hidden="false" customHeight="true" outlineLevel="0" collapsed="false">
      <c r="A114" s="28" t="s">
        <v>1026</v>
      </c>
      <c r="B114" s="29" t="s">
        <v>1027</v>
      </c>
      <c r="C114" s="29" t="s">
        <v>1028</v>
      </c>
      <c r="D114" s="30" t="s">
        <v>75</v>
      </c>
      <c r="E114" s="31"/>
      <c r="F114" s="32" t="n">
        <v>56</v>
      </c>
      <c r="G114" s="31" t="s">
        <v>98</v>
      </c>
      <c r="H114" s="31" t="n">
        <v>3</v>
      </c>
      <c r="I114" s="31" t="s">
        <v>99</v>
      </c>
      <c r="J114" s="29"/>
      <c r="K114" s="29" t="s">
        <v>891</v>
      </c>
      <c r="L114" s="32" t="n">
        <v>35</v>
      </c>
      <c r="M114" s="33" t="s">
        <v>892</v>
      </c>
      <c r="N114" s="34" t="n">
        <v>75015</v>
      </c>
      <c r="O114" s="35" t="s">
        <v>55</v>
      </c>
      <c r="P114" s="36" t="s">
        <v>1029</v>
      </c>
      <c r="Q114" s="36" t="n">
        <v>2</v>
      </c>
      <c r="R114" s="32" t="n">
        <v>259</v>
      </c>
      <c r="S114" s="32" t="n">
        <v>10</v>
      </c>
      <c r="T114" s="32"/>
      <c r="U114" s="32" t="n">
        <v>3</v>
      </c>
      <c r="V114" s="37"/>
      <c r="W114" s="32" t="n">
        <v>3</v>
      </c>
      <c r="X114" s="34"/>
      <c r="Y114" s="34"/>
      <c r="Z114" s="32"/>
      <c r="AA114" s="32" t="s">
        <v>1030</v>
      </c>
      <c r="AB114" s="32" t="s">
        <v>1031</v>
      </c>
      <c r="AC114" s="38" t="str">
        <f aca="false">HYPERLINK("https://biocodex6--c.vf.force.com/0014L00000KG5mnQAD", "KIAHASHEMI KATAYOUN")</f>
        <v>KIAHASHEMI KATAYOUN</v>
      </c>
      <c r="AD114" s="38" t="str">
        <f aca="false">HYPERLINK("https://annuairesante.ameli.fr/professionnels-de-sante/recherche/fiche-detaillee-B7c1mjA3MzGy.html", "KIAHASHEMI KATAYOUN")</f>
        <v>KIAHASHEMI KATAYOUN</v>
      </c>
      <c r="AE114" s="39"/>
      <c r="AF114" s="40"/>
      <c r="AG114" s="41"/>
      <c r="AH114" s="32"/>
      <c r="AI114" s="32" t="s">
        <v>168</v>
      </c>
      <c r="AJ114" s="42" t="s">
        <v>1032</v>
      </c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XEY114" s="27"/>
      <c r="XEZ114" s="27"/>
      <c r="XFA114" s="27"/>
      <c r="XFB114" s="27"/>
      <c r="XFC114" s="27"/>
      <c r="XFD114" s="27"/>
    </row>
    <row r="115" s="42" customFormat="true" ht="14.15" hidden="false" customHeight="true" outlineLevel="0" collapsed="false">
      <c r="A115" s="28" t="s">
        <v>1033</v>
      </c>
      <c r="B115" s="29" t="s">
        <v>1034</v>
      </c>
      <c r="C115" s="29" t="s">
        <v>1035</v>
      </c>
      <c r="D115" s="30" t="s">
        <v>268</v>
      </c>
      <c r="E115" s="30" t="s">
        <v>972</v>
      </c>
      <c r="F115" s="32" t="n">
        <v>57</v>
      </c>
      <c r="G115" s="31"/>
      <c r="H115" s="31" t="n">
        <v>2</v>
      </c>
      <c r="I115" s="30" t="s">
        <v>51</v>
      </c>
      <c r="J115" s="49" t="s">
        <v>52</v>
      </c>
      <c r="K115" s="29" t="s">
        <v>53</v>
      </c>
      <c r="L115" s="32" t="n">
        <v>149</v>
      </c>
      <c r="M115" s="33" t="s">
        <v>54</v>
      </c>
      <c r="N115" s="34" t="n">
        <v>75015</v>
      </c>
      <c r="O115" s="35" t="s">
        <v>55</v>
      </c>
      <c r="P115" s="36" t="s">
        <v>269</v>
      </c>
      <c r="Q115" s="36" t="n">
        <v>236</v>
      </c>
      <c r="R115" s="32" t="n">
        <v>198</v>
      </c>
      <c r="S115" s="32" t="n">
        <v>10</v>
      </c>
      <c r="T115" s="32"/>
      <c r="U115" s="32"/>
      <c r="V115" s="37"/>
      <c r="W115" s="32"/>
      <c r="X115" s="34"/>
      <c r="Y115" s="34"/>
      <c r="Z115" s="32"/>
      <c r="AA115" s="32" t="s">
        <v>1036</v>
      </c>
      <c r="AB115" s="32"/>
      <c r="AC115" s="38" t="str">
        <f aca="false">HYPERLINK("https://biocodex6--c.vf.force.com/0014L00000KFttSQAT", "EL NABBOUT TARANTINO RIMA")</f>
        <v>EL NABBOUT TARANTINO RIMA</v>
      </c>
      <c r="AD115" s="38"/>
      <c r="AE115" s="39"/>
      <c r="AF115" s="40"/>
      <c r="AG115" s="41"/>
      <c r="AH115" s="32"/>
      <c r="AI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XEY115" s="27"/>
      <c r="XEZ115" s="27"/>
      <c r="XFA115" s="27"/>
      <c r="XFB115" s="27"/>
      <c r="XFC115" s="27"/>
      <c r="XFD115" s="27"/>
    </row>
    <row r="116" s="42" customFormat="true" ht="14.15" hidden="false" customHeight="true" outlineLevel="0" collapsed="false">
      <c r="A116" s="28" t="s">
        <v>1037</v>
      </c>
      <c r="B116" s="29" t="s">
        <v>1038</v>
      </c>
      <c r="C116" s="29" t="s">
        <v>1039</v>
      </c>
      <c r="D116" s="30" t="s">
        <v>112</v>
      </c>
      <c r="E116" s="31"/>
      <c r="F116" s="32" t="n">
        <v>63</v>
      </c>
      <c r="G116" s="31" t="s">
        <v>215</v>
      </c>
      <c r="H116" s="31" t="n">
        <v>2</v>
      </c>
      <c r="I116" s="46" t="s">
        <v>435</v>
      </c>
      <c r="J116" s="29"/>
      <c r="K116" s="29" t="s">
        <v>1040</v>
      </c>
      <c r="L116" s="32" t="n">
        <v>76</v>
      </c>
      <c r="M116" s="33" t="s">
        <v>1041</v>
      </c>
      <c r="N116" s="34" t="n">
        <v>75016</v>
      </c>
      <c r="O116" s="35" t="s">
        <v>55</v>
      </c>
      <c r="P116" s="36" t="s">
        <v>1042</v>
      </c>
      <c r="Q116" s="36" t="n">
        <v>1</v>
      </c>
      <c r="R116" s="32" t="n">
        <v>197</v>
      </c>
      <c r="S116" s="32" t="n">
        <v>10</v>
      </c>
      <c r="T116" s="32"/>
      <c r="U116" s="32" t="n">
        <v>3</v>
      </c>
      <c r="V116" s="37" t="n">
        <v>3</v>
      </c>
      <c r="W116" s="32" t="n">
        <v>3</v>
      </c>
      <c r="X116" s="34"/>
      <c r="Y116" s="34" t="n">
        <v>2</v>
      </c>
      <c r="Z116" s="32"/>
      <c r="AA116" s="32" t="s">
        <v>1043</v>
      </c>
      <c r="AB116" s="32" t="s">
        <v>1044</v>
      </c>
      <c r="AC116" s="38" t="str">
        <f aca="false">HYPERLINK("https://biocodex6--c.vf.force.com/0014L00000KFai9QAD", "FARHAT MOUNIR")</f>
        <v>FARHAT MOUNIR</v>
      </c>
      <c r="AD116" s="38" t="str">
        <f aca="false">HYPERLINK("https://annuairesante.ameli.fr/professionnels-de-sante/recherche/fiche-detaillee-B7c1lTEyNjey.html", "FARHAT MOUNIR")</f>
        <v>FARHAT MOUNIR</v>
      </c>
      <c r="AE116" s="39" t="n">
        <v>45440.6041666667</v>
      </c>
      <c r="AF116" s="40" t="s">
        <v>1045</v>
      </c>
      <c r="AG116" s="41"/>
      <c r="AH116" s="32"/>
      <c r="AI116" s="32"/>
      <c r="AJ116" s="42" t="s">
        <v>1046</v>
      </c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XEY116" s="27"/>
      <c r="XEZ116" s="27"/>
      <c r="XFA116" s="27"/>
      <c r="XFB116" s="27"/>
      <c r="XFC116" s="27"/>
      <c r="XFD116" s="27"/>
    </row>
    <row r="117" s="42" customFormat="true" ht="14.15" hidden="false" customHeight="true" outlineLevel="0" collapsed="false">
      <c r="A117" s="28" t="s">
        <v>1047</v>
      </c>
      <c r="B117" s="29" t="s">
        <v>690</v>
      </c>
      <c r="C117" s="29" t="s">
        <v>1048</v>
      </c>
      <c r="D117" s="30" t="s">
        <v>50</v>
      </c>
      <c r="E117" s="30" t="s">
        <v>818</v>
      </c>
      <c r="F117" s="32" t="n">
        <v>66</v>
      </c>
      <c r="G117" s="31" t="s">
        <v>61</v>
      </c>
      <c r="H117" s="31" t="n">
        <v>1</v>
      </c>
      <c r="I117" s="31" t="s">
        <v>295</v>
      </c>
      <c r="J117" s="29"/>
      <c r="K117" s="29" t="s">
        <v>1049</v>
      </c>
      <c r="L117" s="32" t="n">
        <v>66</v>
      </c>
      <c r="M117" s="33" t="s">
        <v>1050</v>
      </c>
      <c r="N117" s="34" t="n">
        <v>92300</v>
      </c>
      <c r="O117" s="35" t="s">
        <v>298</v>
      </c>
      <c r="P117" s="36" t="s">
        <v>1051</v>
      </c>
      <c r="Q117" s="36" t="n">
        <v>1</v>
      </c>
      <c r="R117" s="32" t="n">
        <v>188</v>
      </c>
      <c r="S117" s="32" t="n">
        <v>10</v>
      </c>
      <c r="T117" s="32"/>
      <c r="U117" s="32" t="n">
        <v>3</v>
      </c>
      <c r="V117" s="37"/>
      <c r="W117" s="32" t="n">
        <v>3</v>
      </c>
      <c r="X117" s="34"/>
      <c r="Y117" s="34" t="n">
        <v>2</v>
      </c>
      <c r="Z117" s="32"/>
      <c r="AA117" s="32" t="s">
        <v>1052</v>
      </c>
      <c r="AB117" s="32" t="s">
        <v>1053</v>
      </c>
      <c r="AC117" s="38" t="str">
        <f aca="false">HYPERLINK("https://biocodex6--c.vf.force.com/0014L00000KG5M1QAL", "VINCHENT ERIC")</f>
        <v>VINCHENT ERIC</v>
      </c>
      <c r="AD117" s="38" t="str">
        <f aca="false">HYPERLINK("https://annuairesante.ameli.fr/professionnels-de-sante/recherche/fiche-detaillee-CbA1kjo3Mjew.html", "VINCHENT ERIC")</f>
        <v>VINCHENT ERIC</v>
      </c>
      <c r="AE117" s="39"/>
      <c r="AF117" s="40"/>
      <c r="AG117" s="41"/>
      <c r="AH117" s="32"/>
      <c r="AI117" s="32"/>
      <c r="AL117" s="43" t="s">
        <v>1054</v>
      </c>
      <c r="AM117" s="43" t="s">
        <v>661</v>
      </c>
      <c r="AN117" s="43" t="s">
        <v>1054</v>
      </c>
      <c r="AO117" s="43" t="s">
        <v>661</v>
      </c>
      <c r="AP117" s="43" t="s">
        <v>1054</v>
      </c>
      <c r="AQ117" s="43" t="s">
        <v>661</v>
      </c>
      <c r="AR117" s="43" t="s">
        <v>1054</v>
      </c>
      <c r="AS117" s="43" t="s">
        <v>661</v>
      </c>
      <c r="AT117" s="43" t="s">
        <v>1055</v>
      </c>
      <c r="AU117" s="32"/>
      <c r="XEY117" s="27"/>
      <c r="XEZ117" s="27"/>
      <c r="XFA117" s="27"/>
      <c r="XFB117" s="27"/>
      <c r="XFC117" s="27"/>
      <c r="XFD117" s="27"/>
    </row>
    <row r="118" s="42" customFormat="true" ht="14.15" hidden="false" customHeight="true" outlineLevel="0" collapsed="false">
      <c r="A118" s="28" t="s">
        <v>1056</v>
      </c>
      <c r="B118" s="29" t="s">
        <v>1057</v>
      </c>
      <c r="C118" s="29" t="s">
        <v>1058</v>
      </c>
      <c r="D118" s="30" t="s">
        <v>112</v>
      </c>
      <c r="E118" s="31"/>
      <c r="F118" s="32" t="n">
        <v>66</v>
      </c>
      <c r="G118" s="31" t="s">
        <v>98</v>
      </c>
      <c r="H118" s="31" t="n">
        <v>1</v>
      </c>
      <c r="I118" s="46" t="s">
        <v>435</v>
      </c>
      <c r="J118" s="29"/>
      <c r="K118" s="29" t="s">
        <v>1059</v>
      </c>
      <c r="L118" s="32" t="n">
        <v>16</v>
      </c>
      <c r="M118" s="33" t="s">
        <v>437</v>
      </c>
      <c r="N118" s="34" t="n">
        <v>75016</v>
      </c>
      <c r="O118" s="35" t="s">
        <v>55</v>
      </c>
      <c r="P118" s="36" t="s">
        <v>1060</v>
      </c>
      <c r="Q118" s="36" t="n">
        <v>2</v>
      </c>
      <c r="R118" s="32" t="n">
        <v>168</v>
      </c>
      <c r="S118" s="32" t="n">
        <v>10</v>
      </c>
      <c r="T118" s="32"/>
      <c r="U118" s="32" t="n">
        <v>3</v>
      </c>
      <c r="V118" s="37" t="n">
        <v>3</v>
      </c>
      <c r="W118" s="32" t="n">
        <v>3</v>
      </c>
      <c r="X118" s="34" t="n">
        <v>1</v>
      </c>
      <c r="Y118" s="34" t="n">
        <v>2</v>
      </c>
      <c r="Z118" s="32"/>
      <c r="AA118" s="32" t="s">
        <v>1061</v>
      </c>
      <c r="AB118" s="32" t="s">
        <v>1062</v>
      </c>
      <c r="AC118" s="38" t="str">
        <f aca="false">HYPERLINK("https://biocodex6--c.vf.force.com/0014L00000KG6gXQAT", "VINCENT NICOLE")</f>
        <v>VINCENT NICOLE</v>
      </c>
      <c r="AD118" s="38" t="str">
        <f aca="false">HYPERLINK("https://annuairesante.ameli.fr/professionnels-de-sante/recherche/fiche-detaillee-B7c1lDE1NDSy.html", "VINCENT NICOLE")</f>
        <v>VINCENT NICOLE</v>
      </c>
      <c r="AE118" s="39" t="n">
        <v>45441.4583333333</v>
      </c>
      <c r="AF118" s="40" t="s">
        <v>1063</v>
      </c>
      <c r="AG118" s="41"/>
      <c r="AH118" s="32" t="s">
        <v>70</v>
      </c>
      <c r="AI118" s="32" t="s">
        <v>71</v>
      </c>
      <c r="AJ118" s="42" t="s">
        <v>1064</v>
      </c>
      <c r="AL118" s="43" t="s">
        <v>925</v>
      </c>
      <c r="AM118" s="43" t="s">
        <v>126</v>
      </c>
      <c r="AN118" s="43" t="s">
        <v>474</v>
      </c>
      <c r="AO118" s="43" t="s">
        <v>137</v>
      </c>
      <c r="AP118" s="43" t="s">
        <v>1065</v>
      </c>
      <c r="AQ118" s="43" t="s">
        <v>137</v>
      </c>
      <c r="AR118" s="43" t="s">
        <v>394</v>
      </c>
      <c r="AS118" s="43" t="s">
        <v>1066</v>
      </c>
      <c r="AT118" s="43" t="s">
        <v>1067</v>
      </c>
      <c r="AU118" s="43" t="s">
        <v>924</v>
      </c>
      <c r="XEY118" s="27"/>
      <c r="XEZ118" s="27"/>
      <c r="XFA118" s="27"/>
      <c r="XFB118" s="27"/>
      <c r="XFC118" s="27"/>
      <c r="XFD118" s="27"/>
    </row>
    <row r="119" s="42" customFormat="true" ht="14.15" hidden="false" customHeight="true" outlineLevel="0" collapsed="false">
      <c r="A119" s="28" t="s">
        <v>1068</v>
      </c>
      <c r="B119" s="29" t="s">
        <v>1069</v>
      </c>
      <c r="C119" s="29" t="s">
        <v>1070</v>
      </c>
      <c r="D119" s="30" t="s">
        <v>112</v>
      </c>
      <c r="E119" s="30" t="s">
        <v>972</v>
      </c>
      <c r="F119" s="32"/>
      <c r="G119" s="31" t="s">
        <v>61</v>
      </c>
      <c r="H119" s="31" t="n">
        <v>1</v>
      </c>
      <c r="I119" s="31" t="s">
        <v>62</v>
      </c>
      <c r="J119" s="29"/>
      <c r="K119" s="29" t="s">
        <v>756</v>
      </c>
      <c r="L119" s="32" t="n">
        <v>14</v>
      </c>
      <c r="M119" s="33" t="s">
        <v>757</v>
      </c>
      <c r="N119" s="34" t="n">
        <v>75017</v>
      </c>
      <c r="O119" s="35" t="s">
        <v>55</v>
      </c>
      <c r="P119" s="36" t="s">
        <v>1071</v>
      </c>
      <c r="Q119" s="36" t="n">
        <v>4</v>
      </c>
      <c r="R119" s="32" t="n">
        <v>159</v>
      </c>
      <c r="S119" s="32" t="n">
        <v>10</v>
      </c>
      <c r="T119" s="32"/>
      <c r="U119" s="32" t="n">
        <v>3</v>
      </c>
      <c r="V119" s="37"/>
      <c r="W119" s="32" t="n">
        <v>3</v>
      </c>
      <c r="X119" s="34"/>
      <c r="Y119" s="34" t="n">
        <v>1</v>
      </c>
      <c r="Z119" s="32"/>
      <c r="AA119" s="32"/>
      <c r="AB119" s="32" t="s">
        <v>1072</v>
      </c>
      <c r="AC119" s="38"/>
      <c r="AD119" s="38" t="str">
        <f aca="false">HYPERLINK("https://annuairesante.ameli.fr/professionnels-de-sante/recherche/fiche-detaillee-B7c1lTM1NDu2.html", "EL MOUHEBB MUHIEDDINE")</f>
        <v>EL MOUHEBB MUHIEDDINE</v>
      </c>
      <c r="AE119" s="39"/>
      <c r="AF119" s="40"/>
      <c r="AG119" s="45"/>
      <c r="AH119" s="32"/>
      <c r="AI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XEY119" s="27"/>
      <c r="XEZ119" s="27"/>
      <c r="XFA119" s="27"/>
      <c r="XFB119" s="27"/>
      <c r="XFC119" s="27"/>
      <c r="XFD119" s="27"/>
    </row>
    <row r="120" s="42" customFormat="true" ht="14.15" hidden="false" customHeight="true" outlineLevel="0" collapsed="false">
      <c r="A120" s="28" t="s">
        <v>1073</v>
      </c>
      <c r="B120" s="29" t="s">
        <v>1074</v>
      </c>
      <c r="C120" s="29" t="s">
        <v>1075</v>
      </c>
      <c r="D120" s="30" t="s">
        <v>112</v>
      </c>
      <c r="E120" s="31"/>
      <c r="F120" s="32" t="n">
        <v>46</v>
      </c>
      <c r="G120" s="31" t="s">
        <v>215</v>
      </c>
      <c r="H120" s="31" t="n">
        <v>1</v>
      </c>
      <c r="I120" s="31" t="s">
        <v>62</v>
      </c>
      <c r="J120" s="29"/>
      <c r="K120" s="29" t="s">
        <v>1076</v>
      </c>
      <c r="L120" s="32" t="n">
        <v>8</v>
      </c>
      <c r="M120" s="33" t="s">
        <v>918</v>
      </c>
      <c r="N120" s="34" t="n">
        <v>75017</v>
      </c>
      <c r="O120" s="35" t="s">
        <v>55</v>
      </c>
      <c r="P120" s="36" t="s">
        <v>1077</v>
      </c>
      <c r="Q120" s="36" t="n">
        <v>1</v>
      </c>
      <c r="R120" s="32" t="n">
        <v>147</v>
      </c>
      <c r="S120" s="32" t="n">
        <v>10</v>
      </c>
      <c r="T120" s="32"/>
      <c r="U120" s="32" t="n">
        <v>3</v>
      </c>
      <c r="V120" s="37" t="n">
        <v>3</v>
      </c>
      <c r="W120" s="32" t="n">
        <v>3</v>
      </c>
      <c r="X120" s="34"/>
      <c r="Y120" s="34" t="n">
        <v>3</v>
      </c>
      <c r="Z120" s="32"/>
      <c r="AA120" s="32" t="s">
        <v>1078</v>
      </c>
      <c r="AB120" s="32" t="s">
        <v>1079</v>
      </c>
      <c r="AC120" s="38" t="str">
        <f aca="false">HYPERLINK("https://biocodex6--c.vf.force.com/0014L00000KFaITQA1", "GOLDBERG FELLOUS LAURE")</f>
        <v>GOLDBERG FELLOUS LAURE</v>
      </c>
      <c r="AD120" s="38" t="str">
        <f aca="false">HYPERLINK("https://annuairesante.ameli.fr/professionnels-de-sante/recherche/fiche-detaillee-B7c1mzYzMTC7.html", "GOLDBERG FELLOUS LAURE")</f>
        <v>GOLDBERG FELLOUS LAURE</v>
      </c>
      <c r="AE120" s="39" t="n">
        <v>45222.5833333333</v>
      </c>
      <c r="AF120" s="40"/>
      <c r="AG120" s="41"/>
      <c r="AH120" s="32"/>
      <c r="AI120" s="32" t="s">
        <v>71</v>
      </c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XEY120" s="27"/>
      <c r="XEZ120" s="27"/>
      <c r="XFA120" s="27"/>
      <c r="XFB120" s="27"/>
      <c r="XFC120" s="27"/>
      <c r="XFD120" s="27"/>
    </row>
    <row r="121" s="42" customFormat="true" ht="14.15" hidden="false" customHeight="true" outlineLevel="0" collapsed="false">
      <c r="A121" s="28" t="s">
        <v>1080</v>
      </c>
      <c r="B121" s="29" t="s">
        <v>353</v>
      </c>
      <c r="C121" s="29" t="s">
        <v>1081</v>
      </c>
      <c r="D121" s="30" t="s">
        <v>112</v>
      </c>
      <c r="E121" s="31"/>
      <c r="F121" s="32" t="n">
        <v>71</v>
      </c>
      <c r="G121" s="31"/>
      <c r="H121" s="31" t="n">
        <v>2</v>
      </c>
      <c r="I121" s="31" t="s">
        <v>62</v>
      </c>
      <c r="J121" s="29"/>
      <c r="K121" s="29" t="s">
        <v>756</v>
      </c>
      <c r="L121" s="32" t="n">
        <v>14</v>
      </c>
      <c r="M121" s="33" t="s">
        <v>757</v>
      </c>
      <c r="N121" s="34" t="n">
        <v>75017</v>
      </c>
      <c r="O121" s="35" t="s">
        <v>55</v>
      </c>
      <c r="P121" s="36" t="s">
        <v>758</v>
      </c>
      <c r="Q121" s="36" t="n">
        <v>4</v>
      </c>
      <c r="R121" s="32" t="n">
        <v>139</v>
      </c>
      <c r="S121" s="32" t="n">
        <v>10</v>
      </c>
      <c r="T121" s="32"/>
      <c r="U121" s="32" t="n">
        <v>3</v>
      </c>
      <c r="V121" s="37" t="n">
        <v>3</v>
      </c>
      <c r="W121" s="32" t="n">
        <v>3</v>
      </c>
      <c r="X121" s="34"/>
      <c r="Y121" s="34" t="n">
        <v>2</v>
      </c>
      <c r="Z121" s="32"/>
      <c r="AA121" s="32" t="s">
        <v>1082</v>
      </c>
      <c r="AB121" s="32"/>
      <c r="AC121" s="38" t="str">
        <f aca="false">HYPERLINK("https://biocodex6--c.vf.force.com/0014L00000KFnCtQAL", "LECHEQUE ALAIN")</f>
        <v>LECHEQUE ALAIN</v>
      </c>
      <c r="AD121" s="38"/>
      <c r="AE121" s="39" t="n">
        <v>45215.5625</v>
      </c>
      <c r="AF121" s="40"/>
      <c r="AG121" s="41"/>
      <c r="AH121" s="32"/>
      <c r="AI121" s="32" t="s">
        <v>71</v>
      </c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XEY121" s="27"/>
      <c r="XEZ121" s="27"/>
      <c r="XFA121" s="27"/>
      <c r="XFB121" s="27"/>
      <c r="XFC121" s="27"/>
      <c r="XFD121" s="27"/>
    </row>
    <row r="122" s="42" customFormat="true" ht="14.15" hidden="false" customHeight="true" outlineLevel="0" collapsed="false">
      <c r="A122" s="28" t="s">
        <v>1083</v>
      </c>
      <c r="B122" s="29" t="s">
        <v>1084</v>
      </c>
      <c r="C122" s="29" t="s">
        <v>1085</v>
      </c>
      <c r="D122" s="30" t="s">
        <v>244</v>
      </c>
      <c r="E122" s="30" t="s">
        <v>245</v>
      </c>
      <c r="F122" s="32"/>
      <c r="G122" s="31"/>
      <c r="H122" s="31" t="n">
        <v>2</v>
      </c>
      <c r="I122" s="31" t="s">
        <v>77</v>
      </c>
      <c r="J122" s="29" t="s">
        <v>246</v>
      </c>
      <c r="K122" s="29" t="s">
        <v>247</v>
      </c>
      <c r="L122" s="32" t="n">
        <v>36</v>
      </c>
      <c r="M122" s="33" t="s">
        <v>248</v>
      </c>
      <c r="N122" s="34" t="n">
        <v>92200</v>
      </c>
      <c r="O122" s="35" t="s">
        <v>81</v>
      </c>
      <c r="P122" s="36" t="s">
        <v>614</v>
      </c>
      <c r="Q122" s="36" t="n">
        <v>49</v>
      </c>
      <c r="R122" s="32" t="n">
        <v>78</v>
      </c>
      <c r="S122" s="32" t="n">
        <v>10</v>
      </c>
      <c r="T122" s="32"/>
      <c r="U122" s="32"/>
      <c r="V122" s="37"/>
      <c r="W122" s="32"/>
      <c r="X122" s="34"/>
      <c r="Y122" s="34"/>
      <c r="Z122" s="32"/>
      <c r="AA122" s="32" t="s">
        <v>1086</v>
      </c>
      <c r="AB122" s="32"/>
      <c r="AC122" s="38" t="str">
        <f aca="false">HYPERLINK("https://biocodex6--c.vf.force.com/0014L00000KGGU6QAP", "AMMOUS HASSAN")</f>
        <v>AMMOUS HASSAN</v>
      </c>
      <c r="AD122" s="38"/>
      <c r="AE122" s="39"/>
      <c r="AF122" s="40"/>
      <c r="AG122" s="41"/>
      <c r="AH122" s="32"/>
      <c r="AI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XEY122" s="27"/>
      <c r="XEZ122" s="27"/>
      <c r="XFA122" s="27"/>
      <c r="XFB122" s="27"/>
      <c r="XFC122" s="27"/>
      <c r="XFD122" s="27"/>
    </row>
    <row r="123" s="42" customFormat="true" ht="14.15" hidden="false" customHeight="true" outlineLevel="0" collapsed="false">
      <c r="A123" s="28" t="s">
        <v>1087</v>
      </c>
      <c r="B123" s="29" t="s">
        <v>1088</v>
      </c>
      <c r="C123" s="29" t="s">
        <v>1089</v>
      </c>
      <c r="D123" s="30" t="s">
        <v>244</v>
      </c>
      <c r="E123" s="30" t="s">
        <v>245</v>
      </c>
      <c r="F123" s="32" t="n">
        <v>58</v>
      </c>
      <c r="G123" s="31" t="s">
        <v>215</v>
      </c>
      <c r="H123" s="31" t="n">
        <v>4</v>
      </c>
      <c r="I123" s="31" t="s">
        <v>295</v>
      </c>
      <c r="J123" s="29" t="s">
        <v>489</v>
      </c>
      <c r="K123" s="29" t="s">
        <v>490</v>
      </c>
      <c r="L123" s="32" t="n">
        <v>3</v>
      </c>
      <c r="M123" s="33" t="s">
        <v>491</v>
      </c>
      <c r="N123" s="34" t="n">
        <v>92300</v>
      </c>
      <c r="O123" s="35" t="s">
        <v>298</v>
      </c>
      <c r="P123" s="36" t="s">
        <v>1090</v>
      </c>
      <c r="Q123" s="36" t="n">
        <v>26</v>
      </c>
      <c r="R123" s="32" t="n">
        <v>59</v>
      </c>
      <c r="S123" s="32" t="n">
        <v>10</v>
      </c>
      <c r="T123" s="32"/>
      <c r="U123" s="32"/>
      <c r="V123" s="37" t="n">
        <v>3</v>
      </c>
      <c r="W123" s="32" t="n">
        <v>3</v>
      </c>
      <c r="X123" s="34"/>
      <c r="Y123" s="34" t="n">
        <v>1</v>
      </c>
      <c r="Z123" s="32"/>
      <c r="AA123" s="32" t="s">
        <v>1091</v>
      </c>
      <c r="AB123" s="32" t="s">
        <v>1092</v>
      </c>
      <c r="AC123" s="38" t="str">
        <f aca="false">HYPERLINK("https://biocodex6--c.vf.force.com/0014L00000KFpjQQAT", "MANTEL AYMERIC")</f>
        <v>MANTEL AYMERIC</v>
      </c>
      <c r="AD123" s="38" t="str">
        <f aca="false">HYPERLINK("https://annuairesante.ameli.fr/professionnels-de-sante/recherche/fiche-detaillee-CbA1kzU5Mjqz.html", "MANTEL AYMERIC")</f>
        <v>MANTEL AYMERIC</v>
      </c>
      <c r="AE123" s="39" t="n">
        <v>45246.4166666667</v>
      </c>
      <c r="AF123" s="40"/>
      <c r="AG123" s="41"/>
      <c r="AH123" s="32"/>
      <c r="AI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XEY123" s="27"/>
      <c r="XEZ123" s="27"/>
      <c r="XFA123" s="27"/>
      <c r="XFB123" s="27"/>
      <c r="XFC123" s="27"/>
      <c r="XFD123" s="27"/>
    </row>
    <row r="124" s="42" customFormat="true" ht="14.15" hidden="false" customHeight="true" outlineLevel="0" collapsed="false">
      <c r="A124" s="28" t="s">
        <v>1093</v>
      </c>
      <c r="B124" s="29" t="s">
        <v>419</v>
      </c>
      <c r="C124" s="29" t="s">
        <v>1094</v>
      </c>
      <c r="D124" s="30" t="s">
        <v>244</v>
      </c>
      <c r="E124" s="31"/>
      <c r="F124" s="32" t="n">
        <v>38</v>
      </c>
      <c r="G124" s="31"/>
      <c r="H124" s="31" t="n">
        <v>2</v>
      </c>
      <c r="I124" s="31" t="s">
        <v>572</v>
      </c>
      <c r="J124" s="29"/>
      <c r="K124" s="29" t="s">
        <v>1095</v>
      </c>
      <c r="L124" s="32" t="n">
        <v>19</v>
      </c>
      <c r="M124" s="33" t="s">
        <v>1096</v>
      </c>
      <c r="N124" s="34" t="n">
        <v>75008</v>
      </c>
      <c r="O124" s="35" t="s">
        <v>55</v>
      </c>
      <c r="P124" s="36"/>
      <c r="Q124" s="36" t="n">
        <v>2</v>
      </c>
      <c r="R124" s="32" t="n">
        <v>56</v>
      </c>
      <c r="S124" s="32" t="n">
        <v>10</v>
      </c>
      <c r="T124" s="32"/>
      <c r="U124" s="32"/>
      <c r="V124" s="37" t="n">
        <v>3</v>
      </c>
      <c r="W124" s="32" t="n">
        <v>3</v>
      </c>
      <c r="X124" s="34"/>
      <c r="Y124" s="34" t="n">
        <v>1</v>
      </c>
      <c r="Z124" s="32" t="s">
        <v>1097</v>
      </c>
      <c r="AA124" s="32" t="s">
        <v>1098</v>
      </c>
      <c r="AB124" s="32"/>
      <c r="AC124" s="38" t="str">
        <f aca="false">HYPERLINK("https://biocodex6--c.vf.force.com/0014L00000KFM7ZQAX", "LEDOUX FLORENCE")</f>
        <v>LEDOUX FLORENCE</v>
      </c>
      <c r="AD124" s="38"/>
      <c r="AE124" s="39" t="n">
        <v>45427.6666666667</v>
      </c>
      <c r="AF124" s="40" t="s">
        <v>1099</v>
      </c>
      <c r="AG124" s="41"/>
      <c r="AH124" s="32"/>
      <c r="AI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XEY124" s="27"/>
      <c r="XEZ124" s="27"/>
      <c r="XFA124" s="27"/>
      <c r="XFB124" s="27"/>
      <c r="XFC124" s="27"/>
      <c r="XFD124" s="27"/>
    </row>
    <row r="125" s="42" customFormat="true" ht="14.15" hidden="false" customHeight="true" outlineLevel="0" collapsed="false">
      <c r="A125" s="28" t="s">
        <v>1100</v>
      </c>
      <c r="B125" s="29" t="s">
        <v>1101</v>
      </c>
      <c r="C125" s="29" t="s">
        <v>1102</v>
      </c>
      <c r="D125" s="30" t="s">
        <v>1103</v>
      </c>
      <c r="E125" s="31"/>
      <c r="F125" s="32" t="n">
        <v>48</v>
      </c>
      <c r="G125" s="31"/>
      <c r="H125" s="31" t="n">
        <v>1</v>
      </c>
      <c r="I125" s="31" t="s">
        <v>173</v>
      </c>
      <c r="J125" s="29"/>
      <c r="K125" s="29" t="s">
        <v>1104</v>
      </c>
      <c r="L125" s="32" t="n">
        <v>6</v>
      </c>
      <c r="M125" s="33" t="s">
        <v>1105</v>
      </c>
      <c r="N125" s="34" t="n">
        <v>75016</v>
      </c>
      <c r="O125" s="35" t="s">
        <v>55</v>
      </c>
      <c r="P125" s="36" t="s">
        <v>1106</v>
      </c>
      <c r="Q125" s="36" t="n">
        <v>3</v>
      </c>
      <c r="R125" s="32" t="n">
        <v>41</v>
      </c>
      <c r="S125" s="32" t="n">
        <v>10</v>
      </c>
      <c r="T125" s="43" t="s">
        <v>1107</v>
      </c>
      <c r="U125" s="32" t="n">
        <v>3</v>
      </c>
      <c r="V125" s="37"/>
      <c r="W125" s="32"/>
      <c r="X125" s="34"/>
      <c r="Y125" s="34"/>
      <c r="Z125" s="32"/>
      <c r="AA125" s="32" t="s">
        <v>1108</v>
      </c>
      <c r="AB125" s="32"/>
      <c r="AC125" s="38" t="str">
        <f aca="false">HYPERLINK("https://biocodex6--c.vf.force.com/0014L00000KFpcbQAD", "SABBAH LIM ISABELLE")</f>
        <v>SABBAH LIM ISABELLE</v>
      </c>
      <c r="AD125" s="38"/>
      <c r="AE125" s="39"/>
      <c r="AF125" s="40"/>
      <c r="AG125" s="41"/>
      <c r="AH125" s="32"/>
      <c r="AI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XEY125" s="27"/>
      <c r="XEZ125" s="27"/>
      <c r="XFA125" s="27"/>
      <c r="XFB125" s="27"/>
      <c r="XFC125" s="27"/>
      <c r="XFD125" s="27"/>
    </row>
    <row r="126" s="42" customFormat="true" ht="14.15" hidden="false" customHeight="true" outlineLevel="0" collapsed="false">
      <c r="A126" s="28" t="s">
        <v>1109</v>
      </c>
      <c r="B126" s="29" t="s">
        <v>1110</v>
      </c>
      <c r="C126" s="29" t="s">
        <v>1111</v>
      </c>
      <c r="D126" s="30" t="s">
        <v>112</v>
      </c>
      <c r="E126" s="31"/>
      <c r="F126" s="32" t="n">
        <v>34</v>
      </c>
      <c r="G126" s="31"/>
      <c r="H126" s="31" t="n">
        <v>1</v>
      </c>
      <c r="I126" s="31" t="s">
        <v>51</v>
      </c>
      <c r="J126" s="29" t="s">
        <v>52</v>
      </c>
      <c r="K126" s="29" t="s">
        <v>53</v>
      </c>
      <c r="L126" s="32" t="n">
        <v>149</v>
      </c>
      <c r="M126" s="33" t="s">
        <v>54</v>
      </c>
      <c r="N126" s="34" t="n">
        <v>75015</v>
      </c>
      <c r="O126" s="35" t="s">
        <v>55</v>
      </c>
      <c r="P126" s="36" t="s">
        <v>114</v>
      </c>
      <c r="Q126" s="36" t="n">
        <v>236</v>
      </c>
      <c r="R126" s="32"/>
      <c r="S126" s="32" t="n">
        <v>10</v>
      </c>
      <c r="T126" s="32"/>
      <c r="U126" s="32"/>
      <c r="V126" s="37"/>
      <c r="W126" s="32"/>
      <c r="X126" s="34"/>
      <c r="Y126" s="34"/>
      <c r="Z126" s="32"/>
      <c r="AA126" s="32" t="s">
        <v>1112</v>
      </c>
      <c r="AB126" s="32"/>
      <c r="AC126" s="38" t="str">
        <f aca="false">HYPERLINK("https://biocodex6--c.vf.force.com/0014L00000KGE5OQAX", "DUFEU BERAT CLAIRE MARINE")</f>
        <v>DUFEU BERAT CLAIRE MARINE</v>
      </c>
      <c r="AD126" s="38"/>
      <c r="AE126" s="39"/>
      <c r="AF126" s="40"/>
      <c r="AG126" s="41"/>
      <c r="AH126" s="32"/>
      <c r="AI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XEY126" s="27"/>
      <c r="XEZ126" s="27"/>
      <c r="XFA126" s="27"/>
      <c r="XFB126" s="27"/>
      <c r="XFC126" s="27"/>
      <c r="XFD126" s="27"/>
    </row>
    <row r="127" s="42" customFormat="true" ht="14.15" hidden="false" customHeight="true" outlineLevel="0" collapsed="false">
      <c r="A127" s="28" t="s">
        <v>1113</v>
      </c>
      <c r="B127" s="29" t="s">
        <v>1114</v>
      </c>
      <c r="C127" s="29" t="s">
        <v>1115</v>
      </c>
      <c r="D127" s="30" t="s">
        <v>112</v>
      </c>
      <c r="E127" s="31"/>
      <c r="F127" s="32" t="n">
        <v>35</v>
      </c>
      <c r="G127" s="31" t="s">
        <v>215</v>
      </c>
      <c r="H127" s="31" t="n">
        <v>2</v>
      </c>
      <c r="I127" s="31" t="s">
        <v>435</v>
      </c>
      <c r="J127" s="29"/>
      <c r="K127" s="29" t="s">
        <v>436</v>
      </c>
      <c r="L127" s="32" t="n">
        <v>60</v>
      </c>
      <c r="M127" s="33" t="s">
        <v>437</v>
      </c>
      <c r="N127" s="34" t="n">
        <v>75016</v>
      </c>
      <c r="O127" s="35" t="s">
        <v>55</v>
      </c>
      <c r="P127" s="36" t="s">
        <v>1116</v>
      </c>
      <c r="Q127" s="36" t="n">
        <v>2</v>
      </c>
      <c r="R127" s="32"/>
      <c r="S127" s="32" t="n">
        <v>10</v>
      </c>
      <c r="T127" s="32"/>
      <c r="U127" s="32"/>
      <c r="V127" s="37" t="n">
        <v>3</v>
      </c>
      <c r="W127" s="32"/>
      <c r="X127" s="34"/>
      <c r="Y127" s="34"/>
      <c r="Z127" s="32"/>
      <c r="AA127" s="32" t="s">
        <v>1117</v>
      </c>
      <c r="AB127" s="32" t="s">
        <v>1118</v>
      </c>
      <c r="AC127" s="38" t="str">
        <f aca="false">HYPERLINK("https://biocodex6--c.vf.force.com/0014L00000KGC2oQAH", "AMOUYAL ELSA")</f>
        <v>AMOUYAL ELSA</v>
      </c>
      <c r="AD127" s="38" t="str">
        <f aca="false">HYPERLINK("https://annuairesante.ameli.fr/professionnels-de-sante/recherche/fiche-detaillee-B7c1mzczMTS7.html", "AMOUYAL ELSA")</f>
        <v>AMOUYAL ELSA</v>
      </c>
      <c r="AE127" s="39" t="n">
        <v>45462.5208333333</v>
      </c>
      <c r="AF127" s="40" t="s">
        <v>1119</v>
      </c>
      <c r="AG127" s="41"/>
      <c r="AH127" s="32"/>
      <c r="AI127" s="32"/>
      <c r="AL127" s="43" t="s">
        <v>657</v>
      </c>
      <c r="AM127" s="43" t="s">
        <v>137</v>
      </c>
      <c r="AN127" s="43" t="s">
        <v>657</v>
      </c>
      <c r="AO127" s="43" t="s">
        <v>137</v>
      </c>
      <c r="AP127" s="43" t="s">
        <v>657</v>
      </c>
      <c r="AQ127" s="43" t="s">
        <v>137</v>
      </c>
      <c r="AR127" s="43" t="s">
        <v>657</v>
      </c>
      <c r="AS127" s="43" t="s">
        <v>137</v>
      </c>
      <c r="AT127" s="43" t="s">
        <v>657</v>
      </c>
      <c r="AU127" s="43" t="s">
        <v>137</v>
      </c>
      <c r="XEY127" s="27"/>
      <c r="XEZ127" s="27"/>
      <c r="XFA127" s="27"/>
      <c r="XFB127" s="27"/>
      <c r="XFC127" s="27"/>
      <c r="XFD127" s="27"/>
    </row>
    <row r="128" s="42" customFormat="true" ht="14.15" hidden="false" customHeight="true" outlineLevel="0" collapsed="false">
      <c r="A128" s="28" t="s">
        <v>1120</v>
      </c>
      <c r="B128" s="29" t="s">
        <v>1121</v>
      </c>
      <c r="C128" s="29" t="s">
        <v>1122</v>
      </c>
      <c r="D128" s="30" t="s">
        <v>50</v>
      </c>
      <c r="E128" s="31"/>
      <c r="F128" s="32" t="n">
        <v>31</v>
      </c>
      <c r="G128" s="31"/>
      <c r="H128" s="31" t="n">
        <v>1</v>
      </c>
      <c r="I128" s="31" t="s">
        <v>62</v>
      </c>
      <c r="J128" s="29" t="s">
        <v>1123</v>
      </c>
      <c r="K128" s="29" t="s">
        <v>1124</v>
      </c>
      <c r="L128" s="32" t="n">
        <v>97</v>
      </c>
      <c r="M128" s="33" t="s">
        <v>1125</v>
      </c>
      <c r="N128" s="34" t="n">
        <v>75017</v>
      </c>
      <c r="O128" s="35" t="s">
        <v>55</v>
      </c>
      <c r="P128" s="36" t="s">
        <v>1126</v>
      </c>
      <c r="Q128" s="36" t="n">
        <v>6</v>
      </c>
      <c r="R128" s="32"/>
      <c r="S128" s="32" t="n">
        <v>10</v>
      </c>
      <c r="T128" s="32"/>
      <c r="U128" s="32"/>
      <c r="V128" s="37"/>
      <c r="W128" s="32"/>
      <c r="X128" s="34"/>
      <c r="Y128" s="34"/>
      <c r="Z128" s="32"/>
      <c r="AA128" s="32" t="s">
        <v>1127</v>
      </c>
      <c r="AB128" s="32"/>
      <c r="AC128" s="38" t="str">
        <f aca="false">HYPERLINK("https://biocodex6--c.vf.force.com/0014L00000NBvpmQAD", "ATHIAS LEA")</f>
        <v>ATHIAS LEA</v>
      </c>
      <c r="AD128" s="38"/>
      <c r="AE128" s="39"/>
      <c r="AF128" s="40"/>
      <c r="AG128" s="41"/>
      <c r="AH128" s="32"/>
      <c r="AI128" s="32"/>
      <c r="AJ128" s="42" t="s">
        <v>1128</v>
      </c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XEY128" s="27"/>
      <c r="XEZ128" s="27"/>
      <c r="XFA128" s="27"/>
      <c r="XFB128" s="27"/>
      <c r="XFC128" s="27"/>
      <c r="XFD128" s="27"/>
    </row>
    <row r="129" s="42" customFormat="true" ht="14.15" hidden="false" customHeight="true" outlineLevel="0" collapsed="false">
      <c r="A129" s="28" t="s">
        <v>1129</v>
      </c>
      <c r="B129" s="29" t="s">
        <v>1130</v>
      </c>
      <c r="C129" s="29" t="s">
        <v>1131</v>
      </c>
      <c r="D129" s="30" t="s">
        <v>50</v>
      </c>
      <c r="E129" s="31"/>
      <c r="F129" s="32" t="n">
        <v>37</v>
      </c>
      <c r="G129" s="31"/>
      <c r="H129" s="31" t="n">
        <v>2</v>
      </c>
      <c r="I129" s="31" t="s">
        <v>173</v>
      </c>
      <c r="J129" s="29"/>
      <c r="K129" s="29" t="s">
        <v>174</v>
      </c>
      <c r="L129" s="32" t="n">
        <v>50</v>
      </c>
      <c r="M129" s="33" t="s">
        <v>175</v>
      </c>
      <c r="N129" s="34" t="n">
        <v>75016</v>
      </c>
      <c r="O129" s="35" t="s">
        <v>55</v>
      </c>
      <c r="P129" s="36" t="s">
        <v>1132</v>
      </c>
      <c r="Q129" s="36" t="n">
        <v>5</v>
      </c>
      <c r="R129" s="32"/>
      <c r="S129" s="32" t="n">
        <v>10</v>
      </c>
      <c r="T129" s="32"/>
      <c r="U129" s="32"/>
      <c r="V129" s="37"/>
      <c r="W129" s="32"/>
      <c r="X129" s="34"/>
      <c r="Y129" s="34" t="n">
        <v>1</v>
      </c>
      <c r="Z129" s="32"/>
      <c r="AA129" s="32" t="s">
        <v>1133</v>
      </c>
      <c r="AB129" s="32"/>
      <c r="AC129" s="38" t="str">
        <f aca="false">HYPERLINK("https://biocodex6--c.vf.force.com/0014L00000KG7zqQAD", "RUBINSZTEJN DANIEL")</f>
        <v>RUBINSZTEJN DANIEL</v>
      </c>
      <c r="AD129" s="38"/>
      <c r="AE129" s="39"/>
      <c r="AF129" s="40"/>
      <c r="AG129" s="41"/>
      <c r="AH129" s="32"/>
      <c r="AI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XEY129" s="27"/>
      <c r="XEZ129" s="27"/>
      <c r="XFA129" s="27"/>
      <c r="XFB129" s="27"/>
      <c r="XFC129" s="27"/>
      <c r="XFD129" s="27"/>
    </row>
    <row r="130" s="42" customFormat="true" ht="14.15" hidden="false" customHeight="true" outlineLevel="0" collapsed="false">
      <c r="A130" s="28" t="s">
        <v>1134</v>
      </c>
      <c r="B130" s="29" t="s">
        <v>1135</v>
      </c>
      <c r="C130" s="29" t="s">
        <v>1136</v>
      </c>
      <c r="D130" s="30" t="s">
        <v>75</v>
      </c>
      <c r="E130" s="30" t="s">
        <v>916</v>
      </c>
      <c r="F130" s="32" t="n">
        <v>35</v>
      </c>
      <c r="G130" s="31" t="s">
        <v>215</v>
      </c>
      <c r="H130" s="31" t="n">
        <v>1</v>
      </c>
      <c r="I130" s="31" t="s">
        <v>62</v>
      </c>
      <c r="J130" s="29"/>
      <c r="K130" s="29" t="s">
        <v>1137</v>
      </c>
      <c r="L130" s="32" t="n">
        <v>164</v>
      </c>
      <c r="M130" s="33" t="s">
        <v>1138</v>
      </c>
      <c r="N130" s="34" t="n">
        <v>75017</v>
      </c>
      <c r="O130" s="35" t="s">
        <v>55</v>
      </c>
      <c r="P130" s="36" t="s">
        <v>1139</v>
      </c>
      <c r="Q130" s="36" t="n">
        <v>3</v>
      </c>
      <c r="R130" s="32" t="n">
        <v>282</v>
      </c>
      <c r="S130" s="32" t="n">
        <v>9</v>
      </c>
      <c r="T130" s="32"/>
      <c r="U130" s="32" t="n">
        <v>3</v>
      </c>
      <c r="V130" s="37" t="n">
        <v>2</v>
      </c>
      <c r="W130" s="32" t="n">
        <v>3</v>
      </c>
      <c r="X130" s="34"/>
      <c r="Y130" s="34"/>
      <c r="Z130" s="32"/>
      <c r="AA130" s="32" t="s">
        <v>1140</v>
      </c>
      <c r="AB130" s="32" t="s">
        <v>1141</v>
      </c>
      <c r="AC130" s="38" t="str">
        <f aca="false">HYPERLINK("https://biocodex6--c.vf.force.com/0014L00000KG8dvQAD", "COHEN LAURA")</f>
        <v>COHEN LAURA</v>
      </c>
      <c r="AD130" s="38" t="str">
        <f aca="false">HYPERLINK("https://annuairesante.ameli.fr/professionnels-de-sante/recherche/fiche-detaillee-B7c1kzE1Njez.html", "COHEN LAURA")</f>
        <v>COHEN LAURA</v>
      </c>
      <c r="AE130" s="39"/>
      <c r="AF130" s="40"/>
      <c r="AG130" s="41"/>
      <c r="AH130" s="32"/>
      <c r="AI130" s="32"/>
      <c r="AL130" s="43" t="s">
        <v>657</v>
      </c>
      <c r="AM130" s="43" t="s">
        <v>137</v>
      </c>
      <c r="AN130" s="43" t="s">
        <v>657</v>
      </c>
      <c r="AO130" s="43" t="s">
        <v>137</v>
      </c>
      <c r="AP130" s="43" t="s">
        <v>822</v>
      </c>
      <c r="AQ130" s="32"/>
      <c r="AR130" s="43" t="s">
        <v>657</v>
      </c>
      <c r="AS130" s="43" t="s">
        <v>137</v>
      </c>
      <c r="AT130" s="32"/>
      <c r="AU130" s="32"/>
      <c r="XEY130" s="27"/>
      <c r="XEZ130" s="27"/>
      <c r="XFA130" s="27"/>
      <c r="XFB130" s="27"/>
      <c r="XFC130" s="27"/>
      <c r="XFD130" s="27"/>
    </row>
    <row r="131" s="42" customFormat="true" ht="14.15" hidden="false" customHeight="true" outlineLevel="0" collapsed="false">
      <c r="A131" s="28" t="s">
        <v>1142</v>
      </c>
      <c r="B131" s="29" t="s">
        <v>1143</v>
      </c>
      <c r="C131" s="29" t="s">
        <v>1144</v>
      </c>
      <c r="D131" s="30" t="s">
        <v>50</v>
      </c>
      <c r="E131" s="30" t="s">
        <v>255</v>
      </c>
      <c r="F131" s="32" t="n">
        <v>74</v>
      </c>
      <c r="G131" s="31" t="s">
        <v>61</v>
      </c>
      <c r="H131" s="31" t="n">
        <v>1</v>
      </c>
      <c r="I131" s="31" t="s">
        <v>99</v>
      </c>
      <c r="J131" s="29"/>
      <c r="K131" s="29" t="s">
        <v>1145</v>
      </c>
      <c r="L131" s="32" t="n">
        <v>96</v>
      </c>
      <c r="M131" s="33" t="s">
        <v>1146</v>
      </c>
      <c r="N131" s="34" t="n">
        <v>75015</v>
      </c>
      <c r="O131" s="35" t="s">
        <v>55</v>
      </c>
      <c r="P131" s="36" t="s">
        <v>1147</v>
      </c>
      <c r="Q131" s="36" t="n">
        <v>2</v>
      </c>
      <c r="R131" s="32" t="n">
        <v>265</v>
      </c>
      <c r="S131" s="32" t="n">
        <v>9</v>
      </c>
      <c r="T131" s="32"/>
      <c r="U131" s="32"/>
      <c r="V131" s="37"/>
      <c r="W131" s="32"/>
      <c r="X131" s="34"/>
      <c r="Y131" s="34"/>
      <c r="Z131" s="32"/>
      <c r="AA131" s="32" t="s">
        <v>1148</v>
      </c>
      <c r="AB131" s="32" t="s">
        <v>1149</v>
      </c>
      <c r="AC131" s="38" t="str">
        <f aca="false">HYPERLINK("https://biocodex6--c.vf.force.com/0014L00000KFSLqQAP", "BELLAICHE MARC")</f>
        <v>BELLAICHE MARC</v>
      </c>
      <c r="AD131" s="38" t="str">
        <f aca="false">HYPERLINK("https://annuairesante.ameli.fr/professionnels-de-sante/recherche/fiche-detaillee-B7c1kTc1MjG2.html", "BELLAICHE MARC")</f>
        <v>BELLAICHE MARC</v>
      </c>
      <c r="AE131" s="39"/>
      <c r="AF131" s="40"/>
      <c r="AG131" s="41"/>
      <c r="AH131" s="32"/>
      <c r="AI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XEY131" s="27"/>
      <c r="XEZ131" s="27"/>
      <c r="XFA131" s="27"/>
      <c r="XFB131" s="27"/>
      <c r="XFC131" s="27"/>
      <c r="XFD131" s="27"/>
    </row>
    <row r="132" s="42" customFormat="true" ht="14.15" hidden="false" customHeight="true" outlineLevel="0" collapsed="false">
      <c r="A132" s="28" t="s">
        <v>1150</v>
      </c>
      <c r="B132" s="29" t="s">
        <v>142</v>
      </c>
      <c r="C132" s="29" t="s">
        <v>1151</v>
      </c>
      <c r="D132" s="30" t="s">
        <v>75</v>
      </c>
      <c r="E132" s="30" t="s">
        <v>75</v>
      </c>
      <c r="F132" s="32" t="n">
        <v>70</v>
      </c>
      <c r="G132" s="31" t="s">
        <v>215</v>
      </c>
      <c r="H132" s="31" t="n">
        <v>3</v>
      </c>
      <c r="I132" s="31" t="s">
        <v>77</v>
      </c>
      <c r="J132" s="29" t="s">
        <v>580</v>
      </c>
      <c r="K132" s="29" t="s">
        <v>581</v>
      </c>
      <c r="L132" s="32" t="n">
        <v>63</v>
      </c>
      <c r="M132" s="33" t="s">
        <v>80</v>
      </c>
      <c r="N132" s="34" t="n">
        <v>92200</v>
      </c>
      <c r="O132" s="35" t="s">
        <v>81</v>
      </c>
      <c r="P132" s="36" t="s">
        <v>1152</v>
      </c>
      <c r="Q132" s="36" t="n">
        <v>39</v>
      </c>
      <c r="R132" s="32" t="n">
        <v>260</v>
      </c>
      <c r="S132" s="32" t="n">
        <v>9</v>
      </c>
      <c r="T132" s="32"/>
      <c r="U132" s="32"/>
      <c r="V132" s="37"/>
      <c r="W132" s="32"/>
      <c r="X132" s="34"/>
      <c r="Y132" s="34"/>
      <c r="Z132" s="32"/>
      <c r="AA132" s="32" t="s">
        <v>1153</v>
      </c>
      <c r="AB132" s="32" t="s">
        <v>1154</v>
      </c>
      <c r="AC132" s="38" t="str">
        <f aca="false">HYPERLINK("https://biocodex6--c.vf.force.com/0014L00000KFW8dQAH", "CHARBIT MICHEL")</f>
        <v>CHARBIT MICHEL</v>
      </c>
      <c r="AD132" s="38" t="str">
        <f aca="false">HYPERLINK("https://annuairesante.ameli.fr/professionnels-de-sante/recherche/fiche-detaillee-CbA1lTIwNjC7.html", "CHARBIT MICHEL")</f>
        <v>CHARBIT MICHEL</v>
      </c>
      <c r="AE132" s="39"/>
      <c r="AF132" s="40"/>
      <c r="AG132" s="41"/>
      <c r="AH132" s="32"/>
      <c r="AI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XEY132" s="27"/>
      <c r="XEZ132" s="27"/>
      <c r="XFA132" s="27"/>
      <c r="XFB132" s="27"/>
      <c r="XFC132" s="27"/>
      <c r="XFD132" s="27"/>
    </row>
    <row r="133" s="42" customFormat="true" ht="14.15" hidden="false" customHeight="true" outlineLevel="0" collapsed="false">
      <c r="A133" s="28" t="s">
        <v>1155</v>
      </c>
      <c r="B133" s="29" t="s">
        <v>1156</v>
      </c>
      <c r="C133" s="29" t="s">
        <v>1157</v>
      </c>
      <c r="D133" s="30" t="s">
        <v>50</v>
      </c>
      <c r="E133" s="31"/>
      <c r="F133" s="32" t="n">
        <v>42</v>
      </c>
      <c r="G133" s="31" t="s">
        <v>215</v>
      </c>
      <c r="H133" s="31" t="n">
        <v>1</v>
      </c>
      <c r="I133" s="31" t="s">
        <v>99</v>
      </c>
      <c r="J133" s="29"/>
      <c r="K133" s="29" t="s">
        <v>988</v>
      </c>
      <c r="L133" s="32" t="n">
        <v>58</v>
      </c>
      <c r="M133" s="33" t="s">
        <v>989</v>
      </c>
      <c r="N133" s="34" t="n">
        <v>75015</v>
      </c>
      <c r="O133" s="35" t="s">
        <v>55</v>
      </c>
      <c r="P133" s="36" t="s">
        <v>990</v>
      </c>
      <c r="Q133" s="36" t="n">
        <v>2</v>
      </c>
      <c r="R133" s="32" t="n">
        <v>255</v>
      </c>
      <c r="S133" s="32" t="n">
        <v>9</v>
      </c>
      <c r="T133" s="32"/>
      <c r="U133" s="32" t="n">
        <v>3</v>
      </c>
      <c r="V133" s="37"/>
      <c r="W133" s="32" t="n">
        <v>3</v>
      </c>
      <c r="X133" s="34" t="n">
        <v>1</v>
      </c>
      <c r="Y133" s="34" t="n">
        <v>1</v>
      </c>
      <c r="Z133" s="32"/>
      <c r="AA133" s="32" t="s">
        <v>1158</v>
      </c>
      <c r="AB133" s="32" t="s">
        <v>1159</v>
      </c>
      <c r="AC133" s="38" t="str">
        <f aca="false">HYPERLINK("https://biocodex6--c.vf.force.com/0014L00000KFprRQAT", "SLOANE CELINE")</f>
        <v>SLOANE CELINE</v>
      </c>
      <c r="AD133" s="38" t="str">
        <f aca="false">HYPERLINK("https://annuairesante.ameli.fr/professionnels-de-sante/recherche/fiche-detaillee-B7c1kjIyNzqz.html", "SLOANE CELINE")</f>
        <v>SLOANE CELINE</v>
      </c>
      <c r="AE133" s="39" t="n">
        <v>45349.5625</v>
      </c>
      <c r="AF133" s="40" t="s">
        <v>1160</v>
      </c>
      <c r="AG133" s="41"/>
      <c r="AH133" s="32"/>
      <c r="AI133" s="32"/>
      <c r="AL133" s="43" t="s">
        <v>657</v>
      </c>
      <c r="AM133" s="43" t="s">
        <v>137</v>
      </c>
      <c r="AN133" s="43" t="s">
        <v>657</v>
      </c>
      <c r="AO133" s="43" t="s">
        <v>137</v>
      </c>
      <c r="AP133" s="43" t="s">
        <v>657</v>
      </c>
      <c r="AQ133" s="43" t="s">
        <v>137</v>
      </c>
      <c r="AR133" s="43" t="s">
        <v>657</v>
      </c>
      <c r="AS133" s="43" t="s">
        <v>137</v>
      </c>
      <c r="AT133" s="32"/>
      <c r="AU133" s="32"/>
      <c r="XEY133" s="27"/>
      <c r="XEZ133" s="27"/>
      <c r="XFA133" s="27"/>
      <c r="XFB133" s="27"/>
      <c r="XFC133" s="27"/>
      <c r="XFD133" s="27"/>
    </row>
    <row r="134" s="42" customFormat="true" ht="14.15" hidden="false" customHeight="true" outlineLevel="0" collapsed="false">
      <c r="A134" s="28" t="s">
        <v>1161</v>
      </c>
      <c r="B134" s="29" t="s">
        <v>160</v>
      </c>
      <c r="C134" s="29" t="s">
        <v>1162</v>
      </c>
      <c r="D134" s="30" t="s">
        <v>50</v>
      </c>
      <c r="E134" s="31"/>
      <c r="F134" s="32" t="n">
        <v>40</v>
      </c>
      <c r="G134" s="31"/>
      <c r="H134" s="31" t="n">
        <v>1</v>
      </c>
      <c r="I134" s="31" t="s">
        <v>77</v>
      </c>
      <c r="J134" s="29" t="s">
        <v>246</v>
      </c>
      <c r="K134" s="29" t="s">
        <v>247</v>
      </c>
      <c r="L134" s="32" t="n">
        <v>36</v>
      </c>
      <c r="M134" s="33" t="s">
        <v>248</v>
      </c>
      <c r="N134" s="34" t="n">
        <v>92200</v>
      </c>
      <c r="O134" s="35" t="s">
        <v>81</v>
      </c>
      <c r="P134" s="36" t="s">
        <v>1163</v>
      </c>
      <c r="Q134" s="36" t="n">
        <v>49</v>
      </c>
      <c r="R134" s="32" t="n">
        <v>201</v>
      </c>
      <c r="S134" s="32" t="n">
        <v>9</v>
      </c>
      <c r="T134" s="32"/>
      <c r="U134" s="32"/>
      <c r="V134" s="37"/>
      <c r="W134" s="32"/>
      <c r="X134" s="34"/>
      <c r="Y134" s="34"/>
      <c r="Z134" s="32"/>
      <c r="AA134" s="32" t="s">
        <v>1164</v>
      </c>
      <c r="AB134" s="32"/>
      <c r="AC134" s="38" t="str">
        <f aca="false">HYPERLINK("https://biocodex6--c.vf.force.com/0014L00000KFUwPQAX", "BOTELLA CAMILLE")</f>
        <v>BOTELLA CAMILLE</v>
      </c>
      <c r="AD134" s="38"/>
      <c r="AE134" s="39"/>
      <c r="AF134" s="40"/>
      <c r="AG134" s="41"/>
      <c r="AH134" s="32"/>
      <c r="AI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XEY134" s="27"/>
      <c r="XEZ134" s="27"/>
      <c r="XFA134" s="27"/>
      <c r="XFB134" s="27"/>
      <c r="XFC134" s="27"/>
      <c r="XFD134" s="27"/>
    </row>
    <row r="135" s="42" customFormat="true" ht="14.15" hidden="false" customHeight="true" outlineLevel="0" collapsed="false">
      <c r="A135" s="28" t="s">
        <v>1165</v>
      </c>
      <c r="B135" s="29" t="s">
        <v>1166</v>
      </c>
      <c r="C135" s="29" t="s">
        <v>1167</v>
      </c>
      <c r="D135" s="30" t="s">
        <v>75</v>
      </c>
      <c r="E135" s="30" t="s">
        <v>76</v>
      </c>
      <c r="F135" s="32" t="n">
        <v>71</v>
      </c>
      <c r="G135" s="31" t="s">
        <v>98</v>
      </c>
      <c r="H135" s="31" t="n">
        <v>3</v>
      </c>
      <c r="I135" s="31" t="s">
        <v>99</v>
      </c>
      <c r="J135" s="29"/>
      <c r="K135" s="29" t="s">
        <v>1168</v>
      </c>
      <c r="L135" s="32" t="n">
        <v>16</v>
      </c>
      <c r="M135" s="33" t="s">
        <v>1169</v>
      </c>
      <c r="N135" s="34" t="n">
        <v>75015</v>
      </c>
      <c r="O135" s="35" t="s">
        <v>55</v>
      </c>
      <c r="P135" s="36" t="s">
        <v>1170</v>
      </c>
      <c r="Q135" s="36" t="n">
        <v>1</v>
      </c>
      <c r="R135" s="32" t="n">
        <v>171</v>
      </c>
      <c r="S135" s="32" t="n">
        <v>9</v>
      </c>
      <c r="T135" s="32"/>
      <c r="U135" s="32"/>
      <c r="V135" s="37"/>
      <c r="W135" s="32"/>
      <c r="X135" s="34"/>
      <c r="Y135" s="34"/>
      <c r="Z135" s="32"/>
      <c r="AA135" s="32" t="s">
        <v>1171</v>
      </c>
      <c r="AB135" s="32" t="s">
        <v>1172</v>
      </c>
      <c r="AC135" s="38" t="str">
        <f aca="false">HYPERLINK("https://biocodex6--c.vf.force.com/0014L00000KFwhUQAT", "POSPAIT DAN")</f>
        <v>POSPAIT DAN</v>
      </c>
      <c r="AD135" s="38" t="str">
        <f aca="false">HYPERLINK("https://annuairesante.ameli.fr/professionnels-de-sante/recherche/fiche-detaillee-B7c1mjI2NzW1.html", "POSPAIT DAN")</f>
        <v>POSPAIT DAN</v>
      </c>
      <c r="AE135" s="39"/>
      <c r="AF135" s="40"/>
      <c r="AG135" s="41"/>
      <c r="AH135" s="32"/>
      <c r="AI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XEY135" s="27"/>
      <c r="XEZ135" s="27"/>
      <c r="XFA135" s="27"/>
      <c r="XFB135" s="27"/>
      <c r="XFC135" s="27"/>
      <c r="XFD135" s="27"/>
    </row>
    <row r="136" s="42" customFormat="true" ht="14.15" hidden="false" customHeight="true" outlineLevel="0" collapsed="false">
      <c r="A136" s="28" t="s">
        <v>1173</v>
      </c>
      <c r="B136" s="29" t="s">
        <v>1174</v>
      </c>
      <c r="C136" s="29" t="s">
        <v>1175</v>
      </c>
      <c r="D136" s="30" t="s">
        <v>75</v>
      </c>
      <c r="E136" s="30" t="s">
        <v>1176</v>
      </c>
      <c r="F136" s="32" t="n">
        <v>68</v>
      </c>
      <c r="G136" s="31"/>
      <c r="H136" s="31" t="n">
        <v>1</v>
      </c>
      <c r="I136" s="31" t="s">
        <v>197</v>
      </c>
      <c r="J136" s="29"/>
      <c r="K136" s="29" t="s">
        <v>1177</v>
      </c>
      <c r="L136" s="32" t="n">
        <v>28</v>
      </c>
      <c r="M136" s="33" t="s">
        <v>1178</v>
      </c>
      <c r="N136" s="34" t="n">
        <v>75017</v>
      </c>
      <c r="O136" s="35" t="s">
        <v>55</v>
      </c>
      <c r="P136" s="36" t="s">
        <v>1179</v>
      </c>
      <c r="Q136" s="36" t="n">
        <v>3</v>
      </c>
      <c r="R136" s="32" t="n">
        <v>160</v>
      </c>
      <c r="S136" s="32" t="n">
        <v>9</v>
      </c>
      <c r="T136" s="32"/>
      <c r="U136" s="32"/>
      <c r="V136" s="37"/>
      <c r="W136" s="32"/>
      <c r="X136" s="34"/>
      <c r="Y136" s="34" t="n">
        <v>3</v>
      </c>
      <c r="Z136" s="32"/>
      <c r="AA136" s="32" t="s">
        <v>1180</v>
      </c>
      <c r="AB136" s="32"/>
      <c r="AC136" s="38" t="str">
        <f aca="false">HYPERLINK("https://biocodex6--c.vf.force.com/0014L00000KFRSvQAP", "CARLIER MARTINE")</f>
        <v>CARLIER MARTINE</v>
      </c>
      <c r="AD136" s="38"/>
      <c r="AE136" s="39"/>
      <c r="AF136" s="40"/>
      <c r="AG136" s="41"/>
      <c r="AH136" s="32"/>
      <c r="AI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XEY136" s="27"/>
      <c r="XEZ136" s="27"/>
      <c r="XFA136" s="27"/>
      <c r="XFB136" s="27"/>
      <c r="XFC136" s="27"/>
      <c r="XFD136" s="27"/>
    </row>
    <row r="137" s="42" customFormat="true" ht="14.15" hidden="false" customHeight="true" outlineLevel="0" collapsed="false">
      <c r="A137" s="28" t="s">
        <v>1181</v>
      </c>
      <c r="B137" s="29" t="s">
        <v>1135</v>
      </c>
      <c r="C137" s="29" t="s">
        <v>1182</v>
      </c>
      <c r="D137" s="30" t="s">
        <v>50</v>
      </c>
      <c r="E137" s="31"/>
      <c r="F137" s="32" t="n">
        <v>37</v>
      </c>
      <c r="G137" s="31"/>
      <c r="H137" s="31" t="n">
        <v>2</v>
      </c>
      <c r="I137" s="31" t="s">
        <v>295</v>
      </c>
      <c r="J137" s="29" t="s">
        <v>489</v>
      </c>
      <c r="K137" s="29" t="s">
        <v>1183</v>
      </c>
      <c r="L137" s="32" t="n">
        <v>4</v>
      </c>
      <c r="M137" s="33" t="s">
        <v>297</v>
      </c>
      <c r="N137" s="34" t="n">
        <v>92300</v>
      </c>
      <c r="O137" s="35" t="s">
        <v>298</v>
      </c>
      <c r="P137" s="36" t="s">
        <v>1184</v>
      </c>
      <c r="Q137" s="36" t="n">
        <v>27</v>
      </c>
      <c r="R137" s="32" t="n">
        <v>158</v>
      </c>
      <c r="S137" s="32" t="n">
        <v>9</v>
      </c>
      <c r="T137" s="32"/>
      <c r="U137" s="32"/>
      <c r="V137" s="37"/>
      <c r="W137" s="32"/>
      <c r="X137" s="34"/>
      <c r="Y137" s="34"/>
      <c r="Z137" s="36"/>
      <c r="AA137" s="32" t="s">
        <v>1185</v>
      </c>
      <c r="AB137" s="32"/>
      <c r="AC137" s="38" t="str">
        <f aca="false">HYPERLINK("https://biocodex6--c.vf.force.com/0014L00000KFOcmQAH", "SMADJA LAURA")</f>
        <v>SMADJA LAURA</v>
      </c>
      <c r="AD137" s="38"/>
      <c r="AE137" s="39"/>
      <c r="AF137" s="40"/>
      <c r="AG137" s="41"/>
      <c r="AH137" s="32" t="s">
        <v>179</v>
      </c>
      <c r="AI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XEY137" s="27"/>
      <c r="XEZ137" s="27"/>
      <c r="XFA137" s="27"/>
      <c r="XFB137" s="27"/>
      <c r="XFC137" s="27"/>
      <c r="XFD137" s="27"/>
    </row>
    <row r="138" s="42" customFormat="true" ht="14.15" hidden="false" customHeight="true" outlineLevel="0" collapsed="false">
      <c r="A138" s="28" t="s">
        <v>1186</v>
      </c>
      <c r="B138" s="29" t="s">
        <v>1187</v>
      </c>
      <c r="C138" s="29" t="s">
        <v>1188</v>
      </c>
      <c r="D138" s="30" t="s">
        <v>244</v>
      </c>
      <c r="E138" s="30" t="s">
        <v>245</v>
      </c>
      <c r="F138" s="32" t="n">
        <v>70</v>
      </c>
      <c r="G138" s="31"/>
      <c r="H138" s="31" t="n">
        <v>1</v>
      </c>
      <c r="I138" s="31" t="s">
        <v>77</v>
      </c>
      <c r="J138" s="29" t="s">
        <v>580</v>
      </c>
      <c r="K138" s="29" t="s">
        <v>581</v>
      </c>
      <c r="L138" s="32" t="n">
        <v>63</v>
      </c>
      <c r="M138" s="33" t="s">
        <v>80</v>
      </c>
      <c r="N138" s="34" t="n">
        <v>92200</v>
      </c>
      <c r="O138" s="35" t="s">
        <v>81</v>
      </c>
      <c r="P138" s="36" t="s">
        <v>1189</v>
      </c>
      <c r="Q138" s="36" t="n">
        <v>39</v>
      </c>
      <c r="R138" s="32" t="n">
        <v>117</v>
      </c>
      <c r="S138" s="32" t="n">
        <v>9</v>
      </c>
      <c r="T138" s="32"/>
      <c r="U138" s="32"/>
      <c r="V138" s="37"/>
      <c r="W138" s="32" t="n">
        <v>3</v>
      </c>
      <c r="X138" s="34"/>
      <c r="Y138" s="34"/>
      <c r="Z138" s="32"/>
      <c r="AA138" s="32" t="s">
        <v>1190</v>
      </c>
      <c r="AB138" s="32"/>
      <c r="AC138" s="38" t="str">
        <f aca="false">HYPERLINK("https://biocodex6--c.vf.force.com/0014L00000KG7KuQAL", "MC GINNIS JOCELYN")</f>
        <v>MC GINNIS JOCELYN</v>
      </c>
      <c r="AD138" s="38"/>
      <c r="AE138" s="39" t="n">
        <v>45232.5</v>
      </c>
      <c r="AF138" s="40"/>
      <c r="AG138" s="41"/>
      <c r="AH138" s="32"/>
      <c r="AI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XEY138" s="27"/>
      <c r="XEZ138" s="27"/>
      <c r="XFA138" s="27"/>
      <c r="XFB138" s="27"/>
      <c r="XFC138" s="27"/>
      <c r="XFD138" s="27"/>
    </row>
    <row r="139" s="42" customFormat="true" ht="14.15" hidden="false" customHeight="true" outlineLevel="0" collapsed="false">
      <c r="A139" s="28" t="s">
        <v>1191</v>
      </c>
      <c r="B139" s="29" t="s">
        <v>1192</v>
      </c>
      <c r="C139" s="29" t="s">
        <v>1193</v>
      </c>
      <c r="D139" s="30" t="s">
        <v>75</v>
      </c>
      <c r="E139" s="31"/>
      <c r="F139" s="32" t="n">
        <v>30</v>
      </c>
      <c r="G139" s="31"/>
      <c r="H139" s="31" t="n">
        <v>1</v>
      </c>
      <c r="I139" s="31" t="s">
        <v>99</v>
      </c>
      <c r="J139" s="29" t="s">
        <v>595</v>
      </c>
      <c r="K139" s="29" t="s">
        <v>596</v>
      </c>
      <c r="L139" s="32" t="n">
        <v>20</v>
      </c>
      <c r="M139" s="33" t="s">
        <v>597</v>
      </c>
      <c r="N139" s="34" t="n">
        <v>75015</v>
      </c>
      <c r="O139" s="35" t="s">
        <v>55</v>
      </c>
      <c r="P139" s="36" t="s">
        <v>673</v>
      </c>
      <c r="Q139" s="36" t="n">
        <v>90</v>
      </c>
      <c r="R139" s="32"/>
      <c r="S139" s="32" t="n">
        <v>9</v>
      </c>
      <c r="T139" s="32"/>
      <c r="U139" s="32"/>
      <c r="V139" s="37"/>
      <c r="W139" s="32"/>
      <c r="X139" s="34"/>
      <c r="Y139" s="34"/>
      <c r="Z139" s="32"/>
      <c r="AA139" s="32" t="s">
        <v>1194</v>
      </c>
      <c r="AB139" s="32"/>
      <c r="AC139" s="38" t="str">
        <f aca="false">HYPERLINK("https://biocodex6--c.vf.force.com/0014L00000fZirfQAC", "BOLOT ELOISE")</f>
        <v>BOLOT ELOISE</v>
      </c>
      <c r="AD139" s="38"/>
      <c r="AE139" s="39"/>
      <c r="AF139" s="40"/>
      <c r="AG139" s="41"/>
      <c r="AH139" s="32"/>
      <c r="AI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XEY139" s="27"/>
      <c r="XEZ139" s="27"/>
      <c r="XFA139" s="27"/>
      <c r="XFB139" s="27"/>
      <c r="XFC139" s="27"/>
      <c r="XFD139" s="27"/>
    </row>
    <row r="140" s="42" customFormat="true" ht="14.15" hidden="false" customHeight="true" outlineLevel="0" collapsed="false">
      <c r="A140" s="28" t="s">
        <v>1195</v>
      </c>
      <c r="B140" s="29" t="s">
        <v>1196</v>
      </c>
      <c r="C140" s="29" t="s">
        <v>1197</v>
      </c>
      <c r="D140" s="30" t="s">
        <v>75</v>
      </c>
      <c r="E140" s="31"/>
      <c r="F140" s="32" t="n">
        <v>33</v>
      </c>
      <c r="G140" s="31"/>
      <c r="H140" s="31" t="n">
        <v>2</v>
      </c>
      <c r="I140" s="31" t="s">
        <v>99</v>
      </c>
      <c r="J140" s="29" t="s">
        <v>595</v>
      </c>
      <c r="K140" s="29" t="s">
        <v>596</v>
      </c>
      <c r="L140" s="32" t="n">
        <v>20</v>
      </c>
      <c r="M140" s="33" t="s">
        <v>597</v>
      </c>
      <c r="N140" s="34" t="n">
        <v>75015</v>
      </c>
      <c r="O140" s="35" t="s">
        <v>55</v>
      </c>
      <c r="P140" s="36" t="s">
        <v>673</v>
      </c>
      <c r="Q140" s="36" t="n">
        <v>90</v>
      </c>
      <c r="R140" s="32"/>
      <c r="S140" s="32" t="n">
        <v>9</v>
      </c>
      <c r="T140" s="32"/>
      <c r="U140" s="32"/>
      <c r="V140" s="37"/>
      <c r="W140" s="32"/>
      <c r="X140" s="34"/>
      <c r="Y140" s="34"/>
      <c r="Z140" s="32"/>
      <c r="AA140" s="32" t="s">
        <v>1198</v>
      </c>
      <c r="AB140" s="32"/>
      <c r="AC140" s="38" t="str">
        <f aca="false">HYPERLINK("https://biocodex6--c.vf.force.com/0014L00000KH2s0QAD", "MATILE JULIA")</f>
        <v>MATILE JULIA</v>
      </c>
      <c r="AD140" s="38"/>
      <c r="AE140" s="39"/>
      <c r="AF140" s="40"/>
      <c r="AG140" s="41"/>
      <c r="AH140" s="32"/>
      <c r="AI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XEY140" s="27"/>
      <c r="XEZ140" s="27"/>
      <c r="XFA140" s="27"/>
      <c r="XFB140" s="27"/>
      <c r="XFC140" s="27"/>
      <c r="XFD140" s="27"/>
    </row>
    <row r="141" s="42" customFormat="true" ht="14.15" hidden="false" customHeight="true" outlineLevel="0" collapsed="false">
      <c r="A141" s="28" t="s">
        <v>1199</v>
      </c>
      <c r="B141" s="29" t="s">
        <v>1200</v>
      </c>
      <c r="C141" s="29" t="s">
        <v>1201</v>
      </c>
      <c r="D141" s="30" t="s">
        <v>112</v>
      </c>
      <c r="E141" s="31"/>
      <c r="F141" s="32" t="n">
        <v>33</v>
      </c>
      <c r="G141" s="31"/>
      <c r="H141" s="31" t="n">
        <v>2</v>
      </c>
      <c r="I141" s="31" t="s">
        <v>51</v>
      </c>
      <c r="J141" s="29" t="s">
        <v>52</v>
      </c>
      <c r="K141" s="29" t="s">
        <v>53</v>
      </c>
      <c r="L141" s="32" t="n">
        <v>149</v>
      </c>
      <c r="M141" s="33" t="s">
        <v>54</v>
      </c>
      <c r="N141" s="34" t="n">
        <v>75015</v>
      </c>
      <c r="O141" s="35" t="s">
        <v>55</v>
      </c>
      <c r="P141" s="36" t="s">
        <v>687</v>
      </c>
      <c r="Q141" s="36" t="n">
        <v>236</v>
      </c>
      <c r="R141" s="32"/>
      <c r="S141" s="32" t="n">
        <v>9</v>
      </c>
      <c r="T141" s="32"/>
      <c r="U141" s="32"/>
      <c r="V141" s="37"/>
      <c r="W141" s="32"/>
      <c r="X141" s="34"/>
      <c r="Y141" s="34"/>
      <c r="Z141" s="32"/>
      <c r="AA141" s="32" t="s">
        <v>1202</v>
      </c>
      <c r="AB141" s="32"/>
      <c r="AC141" s="38" t="str">
        <f aca="false">HYPERLINK("https://biocodex6--c.vf.force.com/0014L00000KGGjrQAH", "MARSAC CHARLOTTE")</f>
        <v>MARSAC CHARLOTTE</v>
      </c>
      <c r="AD141" s="38"/>
      <c r="AE141" s="39"/>
      <c r="AF141" s="40"/>
      <c r="AG141" s="41"/>
      <c r="AH141" s="32"/>
      <c r="AI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XEY141" s="27"/>
      <c r="XEZ141" s="27"/>
      <c r="XFA141" s="27"/>
      <c r="XFB141" s="27"/>
      <c r="XFC141" s="27"/>
      <c r="XFD141" s="27"/>
    </row>
    <row r="142" s="42" customFormat="true" ht="14.15" hidden="false" customHeight="true" outlineLevel="0" collapsed="false">
      <c r="A142" s="28" t="s">
        <v>1203</v>
      </c>
      <c r="B142" s="29" t="s">
        <v>958</v>
      </c>
      <c r="C142" s="29" t="s">
        <v>1204</v>
      </c>
      <c r="D142" s="30" t="s">
        <v>268</v>
      </c>
      <c r="E142" s="31"/>
      <c r="F142" s="32" t="n">
        <v>64</v>
      </c>
      <c r="G142" s="31" t="s">
        <v>61</v>
      </c>
      <c r="H142" s="31" t="n">
        <v>1</v>
      </c>
      <c r="I142" s="31" t="s">
        <v>295</v>
      </c>
      <c r="J142" s="29"/>
      <c r="K142" s="29" t="s">
        <v>1205</v>
      </c>
      <c r="L142" s="32" t="n">
        <v>41</v>
      </c>
      <c r="M142" s="33" t="s">
        <v>1206</v>
      </c>
      <c r="N142" s="34" t="n">
        <v>92300</v>
      </c>
      <c r="O142" s="35" t="s">
        <v>298</v>
      </c>
      <c r="P142" s="36" t="s">
        <v>1207</v>
      </c>
      <c r="Q142" s="36" t="n">
        <v>1</v>
      </c>
      <c r="R142" s="32" t="n">
        <v>897</v>
      </c>
      <c r="S142" s="32" t="n">
        <v>8</v>
      </c>
      <c r="T142" s="32"/>
      <c r="U142" s="32"/>
      <c r="V142" s="37"/>
      <c r="W142" s="32"/>
      <c r="X142" s="34"/>
      <c r="Y142" s="34"/>
      <c r="Z142" s="32"/>
      <c r="AA142" s="32" t="s">
        <v>1208</v>
      </c>
      <c r="AB142" s="32" t="s">
        <v>1209</v>
      </c>
      <c r="AC142" s="38" t="str">
        <f aca="false">HYPERLINK("https://biocodex6--c.vf.force.com/0014L00000KFQbGQAX", "AYACHE PATRICK")</f>
        <v>AYACHE PATRICK</v>
      </c>
      <c r="AD142" s="38" t="str">
        <f aca="false">HYPERLINK("https://annuairesante.ameli.fr/professionnels-de-sante/recherche/fiche-detaillee-CbA1kzE4MjC0.html", "AYACHE PATRICK")</f>
        <v>AYACHE PATRICK</v>
      </c>
      <c r="AE142" s="39"/>
      <c r="AF142" s="40"/>
      <c r="AG142" s="41"/>
      <c r="AH142" s="32"/>
      <c r="AI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XEY142" s="27"/>
      <c r="XEZ142" s="27"/>
      <c r="XFA142" s="27"/>
      <c r="XFB142" s="27"/>
      <c r="XFC142" s="27"/>
      <c r="XFD142" s="27"/>
    </row>
    <row r="143" s="42" customFormat="true" ht="14.15" hidden="false" customHeight="true" outlineLevel="0" collapsed="false">
      <c r="A143" s="28" t="s">
        <v>1210</v>
      </c>
      <c r="B143" s="29" t="s">
        <v>883</v>
      </c>
      <c r="C143" s="29" t="s">
        <v>1211</v>
      </c>
      <c r="D143" s="30" t="s">
        <v>50</v>
      </c>
      <c r="E143" s="30" t="s">
        <v>255</v>
      </c>
      <c r="F143" s="32" t="n">
        <v>69</v>
      </c>
      <c r="G143" s="31" t="s">
        <v>61</v>
      </c>
      <c r="H143" s="31" t="n">
        <v>2</v>
      </c>
      <c r="I143" s="31" t="s">
        <v>119</v>
      </c>
      <c r="J143" s="29"/>
      <c r="K143" s="29" t="s">
        <v>1212</v>
      </c>
      <c r="L143" s="32" t="n">
        <v>45</v>
      </c>
      <c r="M143" s="33" t="s">
        <v>1213</v>
      </c>
      <c r="N143" s="34" t="n">
        <v>75007</v>
      </c>
      <c r="O143" s="35" t="s">
        <v>55</v>
      </c>
      <c r="P143" s="36" t="s">
        <v>1214</v>
      </c>
      <c r="Q143" s="36" t="n">
        <v>1</v>
      </c>
      <c r="R143" s="32" t="n">
        <v>441</v>
      </c>
      <c r="S143" s="32" t="n">
        <v>8</v>
      </c>
      <c r="T143" s="32"/>
      <c r="U143" s="32"/>
      <c r="V143" s="37"/>
      <c r="W143" s="32"/>
      <c r="X143" s="34"/>
      <c r="Y143" s="34"/>
      <c r="Z143" s="32"/>
      <c r="AA143" s="32" t="s">
        <v>1215</v>
      </c>
      <c r="AB143" s="32" t="s">
        <v>1216</v>
      </c>
      <c r="AC143" s="38" t="str">
        <f aca="false">HYPERLINK("https://biocodex6--c.vf.force.com/0014L00000KFdCgQAL", "RATAJCZAK JACQUES")</f>
        <v>RATAJCZAK JACQUES</v>
      </c>
      <c r="AD143" s="38" t="str">
        <f aca="false">HYPERLINK("https://annuairesante.ameli.fr/professionnels-de-sante/recherche/fiche-detaillee-B7c1lzE3MTew.html", "RATAJCZAK JACQUES")</f>
        <v>RATAJCZAK JACQUES</v>
      </c>
      <c r="AE143" s="39"/>
      <c r="AF143" s="40"/>
      <c r="AG143" s="41"/>
      <c r="AH143" s="32"/>
      <c r="AI143" s="32"/>
      <c r="AL143" s="32"/>
      <c r="AM143" s="43" t="s">
        <v>126</v>
      </c>
      <c r="AN143" s="32"/>
      <c r="AO143" s="43" t="s">
        <v>126</v>
      </c>
      <c r="AP143" s="32"/>
      <c r="AQ143" s="43" t="s">
        <v>126</v>
      </c>
      <c r="AR143" s="32"/>
      <c r="AS143" s="43" t="s">
        <v>126</v>
      </c>
      <c r="AT143" s="32"/>
      <c r="AU143" s="43" t="s">
        <v>126</v>
      </c>
      <c r="XEY143" s="27"/>
      <c r="XEZ143" s="27"/>
      <c r="XFA143" s="27"/>
      <c r="XFB143" s="27"/>
      <c r="XFC143" s="27"/>
      <c r="XFD143" s="27"/>
    </row>
    <row r="144" s="42" customFormat="true" ht="14.15" hidden="false" customHeight="true" outlineLevel="0" collapsed="false">
      <c r="A144" s="28" t="s">
        <v>1217</v>
      </c>
      <c r="B144" s="29" t="s">
        <v>1218</v>
      </c>
      <c r="C144" s="29" t="s">
        <v>1219</v>
      </c>
      <c r="D144" s="30" t="s">
        <v>50</v>
      </c>
      <c r="E144" s="31"/>
      <c r="F144" s="32" t="n">
        <v>63</v>
      </c>
      <c r="G144" s="31" t="s">
        <v>61</v>
      </c>
      <c r="H144" s="31" t="n">
        <v>1</v>
      </c>
      <c r="I144" s="31" t="s">
        <v>119</v>
      </c>
      <c r="J144" s="29"/>
      <c r="K144" s="29" t="s">
        <v>1220</v>
      </c>
      <c r="L144" s="32" t="n">
        <v>199</v>
      </c>
      <c r="M144" s="33" t="s">
        <v>1221</v>
      </c>
      <c r="N144" s="34" t="n">
        <v>75007</v>
      </c>
      <c r="O144" s="35" t="s">
        <v>55</v>
      </c>
      <c r="P144" s="36" t="s">
        <v>1222</v>
      </c>
      <c r="Q144" s="36" t="n">
        <v>4</v>
      </c>
      <c r="R144" s="32" t="n">
        <v>428</v>
      </c>
      <c r="S144" s="32" t="n">
        <v>8</v>
      </c>
      <c r="T144" s="32"/>
      <c r="U144" s="32" t="n">
        <v>3</v>
      </c>
      <c r="V144" s="37"/>
      <c r="W144" s="32" t="n">
        <v>3</v>
      </c>
      <c r="X144" s="34"/>
      <c r="Y144" s="34" t="n">
        <v>1</v>
      </c>
      <c r="Z144" s="32"/>
      <c r="AA144" s="32" t="s">
        <v>1223</v>
      </c>
      <c r="AB144" s="32" t="s">
        <v>1224</v>
      </c>
      <c r="AC144" s="38" t="str">
        <f aca="false">HYPERLINK("https://biocodex6--c.vf.force.com/0014L00000KG2IdQAL", "SUDAKA CLAUDE")</f>
        <v>SUDAKA CLAUDE</v>
      </c>
      <c r="AD144" s="38" t="str">
        <f aca="false">HYPERLINK("https://annuairesante.ameli.fr/professionnels-de-sante/recherche/fiche-detaillee-B7c1lzE2ODex.html", "SUDAKA CLAUDE")</f>
        <v>SUDAKA CLAUDE</v>
      </c>
      <c r="AE144" s="39" t="n">
        <v>45344.625</v>
      </c>
      <c r="AF144" s="40"/>
      <c r="AG144" s="41"/>
      <c r="AH144" s="32"/>
      <c r="AI144" s="32"/>
      <c r="AL144" s="43" t="s">
        <v>822</v>
      </c>
      <c r="AM144" s="43" t="s">
        <v>137</v>
      </c>
      <c r="AN144" s="43" t="s">
        <v>822</v>
      </c>
      <c r="AO144" s="43" t="s">
        <v>137</v>
      </c>
      <c r="AP144" s="43" t="s">
        <v>822</v>
      </c>
      <c r="AQ144" s="43" t="s">
        <v>137</v>
      </c>
      <c r="AR144" s="43" t="s">
        <v>822</v>
      </c>
      <c r="AS144" s="43" t="s">
        <v>137</v>
      </c>
      <c r="AT144" s="43" t="s">
        <v>822</v>
      </c>
      <c r="AU144" s="43" t="s">
        <v>137</v>
      </c>
      <c r="XEY144" s="27"/>
      <c r="XEZ144" s="27"/>
      <c r="XFA144" s="27"/>
      <c r="XFB144" s="27"/>
      <c r="XFC144" s="27"/>
      <c r="XFD144" s="27"/>
    </row>
    <row r="145" s="42" customFormat="true" ht="14.15" hidden="false" customHeight="true" outlineLevel="0" collapsed="false">
      <c r="A145" s="28" t="s">
        <v>1225</v>
      </c>
      <c r="B145" s="29" t="s">
        <v>1226</v>
      </c>
      <c r="C145" s="29" t="s">
        <v>1227</v>
      </c>
      <c r="D145" s="30" t="s">
        <v>50</v>
      </c>
      <c r="E145" s="30" t="s">
        <v>1228</v>
      </c>
      <c r="F145" s="32" t="n">
        <v>77</v>
      </c>
      <c r="G145" s="31" t="s">
        <v>215</v>
      </c>
      <c r="H145" s="31" t="n">
        <v>1</v>
      </c>
      <c r="I145" s="31" t="s">
        <v>387</v>
      </c>
      <c r="J145" s="29"/>
      <c r="K145" s="29" t="s">
        <v>1229</v>
      </c>
      <c r="L145" s="32" t="n">
        <v>8</v>
      </c>
      <c r="M145" s="33" t="s">
        <v>1230</v>
      </c>
      <c r="N145" s="34" t="n">
        <v>75016</v>
      </c>
      <c r="O145" s="35" t="s">
        <v>55</v>
      </c>
      <c r="P145" s="36" t="s">
        <v>1231</v>
      </c>
      <c r="Q145" s="36" t="n">
        <v>1</v>
      </c>
      <c r="R145" s="32" t="n">
        <v>380</v>
      </c>
      <c r="S145" s="32" t="n">
        <v>8</v>
      </c>
      <c r="T145" s="32"/>
      <c r="U145" s="32"/>
      <c r="V145" s="37"/>
      <c r="W145" s="32"/>
      <c r="X145" s="34" t="n">
        <v>1</v>
      </c>
      <c r="Y145" s="34"/>
      <c r="Z145" s="32"/>
      <c r="AA145" s="32" t="s">
        <v>1232</v>
      </c>
      <c r="AB145" s="32" t="s">
        <v>1233</v>
      </c>
      <c r="AC145" s="38" t="str">
        <f aca="false">HYPERLINK("https://biocodex6--c.vf.force.com/0014L00000YvMW4QAN", "TERDJMAN JEAN PIERRE")</f>
        <v>TERDJMAN JEAN PIERRE</v>
      </c>
      <c r="AD145" s="38" t="str">
        <f aca="false">HYPERLINK("https://annuairesante.ameli.fr/professionnels-de-sante/recherche/fiche-detaillee-B7c1kTIwNja7.html", "TERDJMAN JEAN PIERRE")</f>
        <v>TERDJMAN JEAN PIERRE</v>
      </c>
      <c r="AE145" s="39" t="n">
        <v>45106.3958333333</v>
      </c>
      <c r="AF145" s="40"/>
      <c r="AG145" s="41"/>
      <c r="AH145" s="32"/>
      <c r="AI145" s="32"/>
      <c r="AL145" s="43" t="s">
        <v>995</v>
      </c>
      <c r="AM145" s="43" t="s">
        <v>137</v>
      </c>
      <c r="AN145" s="43" t="s">
        <v>995</v>
      </c>
      <c r="AO145" s="43" t="s">
        <v>137</v>
      </c>
      <c r="AP145" s="43" t="s">
        <v>995</v>
      </c>
      <c r="AQ145" s="43" t="s">
        <v>137</v>
      </c>
      <c r="AR145" s="32"/>
      <c r="AS145" s="43" t="s">
        <v>1234</v>
      </c>
      <c r="AT145" s="43" t="s">
        <v>995</v>
      </c>
      <c r="AU145" s="43" t="s">
        <v>137</v>
      </c>
      <c r="XEY145" s="27"/>
      <c r="XEZ145" s="27"/>
      <c r="XFA145" s="27"/>
      <c r="XFB145" s="27"/>
      <c r="XFC145" s="27"/>
      <c r="XFD145" s="27"/>
    </row>
    <row r="146" s="42" customFormat="true" ht="14.15" hidden="false" customHeight="true" outlineLevel="0" collapsed="false">
      <c r="A146" s="28" t="s">
        <v>1235</v>
      </c>
      <c r="B146" s="29" t="s">
        <v>1236</v>
      </c>
      <c r="C146" s="29" t="s">
        <v>1237</v>
      </c>
      <c r="D146" s="30" t="s">
        <v>244</v>
      </c>
      <c r="E146" s="30" t="s">
        <v>245</v>
      </c>
      <c r="F146" s="32" t="n">
        <v>77</v>
      </c>
      <c r="G146" s="31" t="s">
        <v>215</v>
      </c>
      <c r="H146" s="31" t="n">
        <v>3</v>
      </c>
      <c r="I146" s="31" t="s">
        <v>435</v>
      </c>
      <c r="J146" s="29"/>
      <c r="K146" s="29" t="s">
        <v>1238</v>
      </c>
      <c r="L146" s="32" t="n">
        <v>20</v>
      </c>
      <c r="M146" s="33" t="s">
        <v>1239</v>
      </c>
      <c r="N146" s="34" t="n">
        <v>75016</v>
      </c>
      <c r="O146" s="35" t="s">
        <v>55</v>
      </c>
      <c r="P146" s="36" t="s">
        <v>1240</v>
      </c>
      <c r="Q146" s="36" t="n">
        <v>1</v>
      </c>
      <c r="R146" s="32" t="n">
        <v>378</v>
      </c>
      <c r="S146" s="32" t="n">
        <v>8</v>
      </c>
      <c r="T146" s="32"/>
      <c r="U146" s="32" t="n">
        <v>3</v>
      </c>
      <c r="V146" s="37"/>
      <c r="W146" s="32" t="n">
        <v>3</v>
      </c>
      <c r="X146" s="34" t="n">
        <v>1</v>
      </c>
      <c r="Y146" s="34" t="n">
        <v>2</v>
      </c>
      <c r="Z146" s="32"/>
      <c r="AA146" s="32" t="s">
        <v>1241</v>
      </c>
      <c r="AB146" s="32" t="s">
        <v>1242</v>
      </c>
      <c r="AC146" s="38" t="str">
        <f aca="false">HYPERLINK("https://biocodex6--c.vf.force.com/0014L00000KFceAQAT", "EMMANUELLI JEAN MARC")</f>
        <v>EMMANUELLI JEAN MARC</v>
      </c>
      <c r="AD146" s="38" t="str">
        <f aca="false">HYPERLINK("https://annuairesante.ameli.fr/professionnels-de-sante/recherche/fiche-detaillee-B7c1ljcwMjCy.html", "EMMANUELLI JEAN MARC")</f>
        <v>EMMANUELLI JEAN MARC</v>
      </c>
      <c r="AE146" s="39" t="n">
        <v>45359.5</v>
      </c>
      <c r="AF146" s="40" t="s">
        <v>1243</v>
      </c>
      <c r="AG146" s="41" t="s">
        <v>125</v>
      </c>
      <c r="AH146" s="32" t="s">
        <v>70</v>
      </c>
      <c r="AI146" s="32" t="s">
        <v>106</v>
      </c>
      <c r="AJ146" s="42" t="s">
        <v>1244</v>
      </c>
      <c r="AL146" s="32"/>
      <c r="AM146" s="32"/>
      <c r="AN146" s="43" t="s">
        <v>1245</v>
      </c>
      <c r="AO146" s="32"/>
      <c r="AP146" s="32"/>
      <c r="AQ146" s="32"/>
      <c r="AR146" s="32"/>
      <c r="AS146" s="32"/>
      <c r="AT146" s="43" t="s">
        <v>1245</v>
      </c>
      <c r="AU146" s="32"/>
      <c r="XEY146" s="27"/>
      <c r="XEZ146" s="27"/>
      <c r="XFA146" s="27"/>
      <c r="XFB146" s="27"/>
      <c r="XFC146" s="27"/>
      <c r="XFD146" s="27"/>
    </row>
    <row r="147" s="42" customFormat="true" ht="14.15" hidden="false" customHeight="true" outlineLevel="0" collapsed="false">
      <c r="A147" s="28" t="s">
        <v>1246</v>
      </c>
      <c r="B147" s="29" t="s">
        <v>1247</v>
      </c>
      <c r="C147" s="29" t="s">
        <v>1248</v>
      </c>
      <c r="D147" s="30" t="s">
        <v>50</v>
      </c>
      <c r="E147" s="31"/>
      <c r="F147" s="32" t="n">
        <v>68</v>
      </c>
      <c r="G147" s="31"/>
      <c r="H147" s="31" t="n">
        <v>1</v>
      </c>
      <c r="I147" s="31" t="s">
        <v>119</v>
      </c>
      <c r="J147" s="29"/>
      <c r="K147" s="29" t="s">
        <v>1249</v>
      </c>
      <c r="L147" s="32" t="n">
        <v>4</v>
      </c>
      <c r="M147" s="33" t="s">
        <v>1250</v>
      </c>
      <c r="N147" s="34" t="n">
        <v>75007</v>
      </c>
      <c r="O147" s="35" t="s">
        <v>55</v>
      </c>
      <c r="P147" s="36"/>
      <c r="Q147" s="36" t="n">
        <v>1</v>
      </c>
      <c r="R147" s="32" t="n">
        <v>356</v>
      </c>
      <c r="S147" s="32" t="n">
        <v>8</v>
      </c>
      <c r="T147" s="32"/>
      <c r="U147" s="32" t="n">
        <v>3</v>
      </c>
      <c r="V147" s="37"/>
      <c r="W147" s="32" t="n">
        <v>3</v>
      </c>
      <c r="X147" s="34"/>
      <c r="Y147" s="34" t="n">
        <v>2</v>
      </c>
      <c r="Z147" s="32"/>
      <c r="AA147" s="32" t="s">
        <v>1251</v>
      </c>
      <c r="AB147" s="32"/>
      <c r="AC147" s="38" t="str">
        <f aca="false">HYPERLINK("https://biocodex6--c.vf.force.com/0014L00000KFktUQAT", "KOEHLER JARRION SYLVIA")</f>
        <v>KOEHLER JARRION SYLVIA</v>
      </c>
      <c r="AD147" s="38"/>
      <c r="AE147" s="39" t="n">
        <v>45348.5</v>
      </c>
      <c r="AF147" s="40"/>
      <c r="AG147" s="41"/>
      <c r="AH147" s="32"/>
      <c r="AI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XEY147" s="27"/>
      <c r="XEZ147" s="27"/>
      <c r="XFA147" s="27"/>
      <c r="XFB147" s="27"/>
      <c r="XFC147" s="27"/>
      <c r="XFD147" s="27"/>
    </row>
    <row r="148" s="42" customFormat="true" ht="14.15" hidden="false" customHeight="true" outlineLevel="0" collapsed="false">
      <c r="A148" s="28" t="s">
        <v>1252</v>
      </c>
      <c r="B148" s="29" t="s">
        <v>690</v>
      </c>
      <c r="C148" s="29" t="s">
        <v>1253</v>
      </c>
      <c r="D148" s="30" t="s">
        <v>244</v>
      </c>
      <c r="E148" s="30" t="s">
        <v>245</v>
      </c>
      <c r="F148" s="32" t="n">
        <v>67</v>
      </c>
      <c r="G148" s="31" t="s">
        <v>215</v>
      </c>
      <c r="H148" s="31" t="n">
        <v>1</v>
      </c>
      <c r="I148" s="31" t="s">
        <v>77</v>
      </c>
      <c r="J148" s="29"/>
      <c r="K148" s="29" t="s">
        <v>1254</v>
      </c>
      <c r="L148" s="32" t="n">
        <v>85</v>
      </c>
      <c r="M148" s="33" t="s">
        <v>379</v>
      </c>
      <c r="N148" s="34" t="n">
        <v>92200</v>
      </c>
      <c r="O148" s="35" t="s">
        <v>81</v>
      </c>
      <c r="P148" s="36" t="s">
        <v>1255</v>
      </c>
      <c r="Q148" s="36" t="n">
        <v>1</v>
      </c>
      <c r="R148" s="32" t="n">
        <v>294</v>
      </c>
      <c r="S148" s="32" t="n">
        <v>8</v>
      </c>
      <c r="T148" s="32"/>
      <c r="U148" s="32" t="n">
        <v>3</v>
      </c>
      <c r="V148" s="37" t="n">
        <v>3</v>
      </c>
      <c r="W148" s="32" t="n">
        <v>3</v>
      </c>
      <c r="X148" s="34"/>
      <c r="Y148" s="34" t="n">
        <v>1</v>
      </c>
      <c r="Z148" s="32" t="s">
        <v>1256</v>
      </c>
      <c r="AA148" s="32" t="s">
        <v>1257</v>
      </c>
      <c r="AB148" s="32" t="s">
        <v>1258</v>
      </c>
      <c r="AC148" s="38" t="str">
        <f aca="false">HYPERLINK("https://biocodex6--c.vf.force.com/0014L00000KFpuoQAD", "MENEUX ERIC")</f>
        <v>MENEUX ERIC</v>
      </c>
      <c r="AD148" s="38" t="str">
        <f aca="false">HYPERLINK("https://annuairesante.ameli.fr/professionnels-de-sante/recherche/fiche-detaillee-B7c1mjAxNTCx.html", "MENEUX ERIC")</f>
        <v>MENEUX ERIC</v>
      </c>
      <c r="AE148" s="39" t="n">
        <v>45250.4583333333</v>
      </c>
      <c r="AF148" s="40"/>
      <c r="AG148" s="41"/>
      <c r="AH148" s="32"/>
      <c r="AI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XEY148" s="27"/>
      <c r="XEZ148" s="27"/>
      <c r="XFA148" s="27"/>
      <c r="XFB148" s="27"/>
      <c r="XFC148" s="27"/>
      <c r="XFD148" s="27"/>
    </row>
    <row r="149" s="42" customFormat="true" ht="14.15" hidden="false" customHeight="true" outlineLevel="0" collapsed="false">
      <c r="A149" s="28" t="s">
        <v>1259</v>
      </c>
      <c r="B149" s="29" t="s">
        <v>117</v>
      </c>
      <c r="C149" s="29" t="s">
        <v>1260</v>
      </c>
      <c r="D149" s="30" t="s">
        <v>50</v>
      </c>
      <c r="E149" s="30" t="s">
        <v>421</v>
      </c>
      <c r="F149" s="32" t="n">
        <v>63</v>
      </c>
      <c r="G149" s="31"/>
      <c r="H149" s="31" t="n">
        <v>1</v>
      </c>
      <c r="I149" s="31" t="s">
        <v>572</v>
      </c>
      <c r="J149" s="29" t="s">
        <v>678</v>
      </c>
      <c r="K149" s="29" t="s">
        <v>679</v>
      </c>
      <c r="L149" s="32" t="n">
        <v>6</v>
      </c>
      <c r="M149" s="33" t="s">
        <v>680</v>
      </c>
      <c r="N149" s="34" t="n">
        <v>75008</v>
      </c>
      <c r="O149" s="35" t="s">
        <v>55</v>
      </c>
      <c r="P149" s="36" t="s">
        <v>870</v>
      </c>
      <c r="Q149" s="36" t="n">
        <v>43</v>
      </c>
      <c r="R149" s="32" t="n">
        <v>279</v>
      </c>
      <c r="S149" s="32" t="n">
        <v>8</v>
      </c>
      <c r="T149" s="32"/>
      <c r="U149" s="32"/>
      <c r="V149" s="37"/>
      <c r="W149" s="32"/>
      <c r="X149" s="34"/>
      <c r="Y149" s="34"/>
      <c r="Z149" s="32"/>
      <c r="AA149" s="32" t="s">
        <v>1261</v>
      </c>
      <c r="AB149" s="32"/>
      <c r="AC149" s="38" t="str">
        <f aca="false">HYPERLINK("https://biocodex6--c.vf.force.com/0014L00000bPPa4QAG", "SAYOUS DOMINIQUE")</f>
        <v>SAYOUS DOMINIQUE</v>
      </c>
      <c r="AD149" s="38"/>
      <c r="AE149" s="39" t="n">
        <v>45254.4166666667</v>
      </c>
      <c r="AF149" s="40"/>
      <c r="AG149" s="41"/>
      <c r="AH149" s="32"/>
      <c r="AI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XEY149" s="27"/>
      <c r="XEZ149" s="27"/>
      <c r="XFA149" s="27"/>
      <c r="XFB149" s="27"/>
      <c r="XFC149" s="27"/>
      <c r="XFD149" s="27"/>
    </row>
    <row r="150" s="42" customFormat="true" ht="14.15" hidden="false" customHeight="true" outlineLevel="0" collapsed="false">
      <c r="A150" s="28" t="s">
        <v>1262</v>
      </c>
      <c r="B150" s="29" t="s">
        <v>204</v>
      </c>
      <c r="C150" s="29" t="s">
        <v>1263</v>
      </c>
      <c r="D150" s="30" t="s">
        <v>50</v>
      </c>
      <c r="E150" s="31"/>
      <c r="F150" s="32" t="n">
        <v>60</v>
      </c>
      <c r="G150" s="31" t="s">
        <v>98</v>
      </c>
      <c r="H150" s="31" t="n">
        <v>1</v>
      </c>
      <c r="I150" s="31" t="s">
        <v>99</v>
      </c>
      <c r="J150" s="29"/>
      <c r="K150" s="29" t="s">
        <v>1264</v>
      </c>
      <c r="L150" s="32" t="n">
        <v>60</v>
      </c>
      <c r="M150" s="33" t="s">
        <v>469</v>
      </c>
      <c r="N150" s="34" t="n">
        <v>75015</v>
      </c>
      <c r="O150" s="35" t="s">
        <v>55</v>
      </c>
      <c r="P150" s="36" t="s">
        <v>1265</v>
      </c>
      <c r="Q150" s="36" t="n">
        <v>3</v>
      </c>
      <c r="R150" s="32" t="n">
        <v>258</v>
      </c>
      <c r="S150" s="32" t="n">
        <v>8</v>
      </c>
      <c r="T150" s="32"/>
      <c r="U150" s="32"/>
      <c r="V150" s="37"/>
      <c r="W150" s="32"/>
      <c r="X150" s="34"/>
      <c r="Y150" s="34"/>
      <c r="Z150" s="32"/>
      <c r="AA150" s="32" t="s">
        <v>1266</v>
      </c>
      <c r="AB150" s="32" t="s">
        <v>1267</v>
      </c>
      <c r="AC150" s="38" t="str">
        <f aca="false">HYPERLINK("https://biocodex6--c.vf.force.com/0014L00000KFQmHQAX", "ANJOU SIMON NATHALIE")</f>
        <v>ANJOU SIMON NATHALIE</v>
      </c>
      <c r="AD150" s="38" t="str">
        <f aca="false">HYPERLINK("https://annuairesante.ameli.fr/professionnels-de-sante/recherche/fiche-detaillee-B7c1lzU3OTS6.html", "ANJOU SIMON NATHALIE")</f>
        <v>ANJOU SIMON NATHALIE</v>
      </c>
      <c r="AE150" s="39"/>
      <c r="AF150" s="40"/>
      <c r="AG150" s="41"/>
      <c r="AH150" s="32"/>
      <c r="AI150" s="32"/>
      <c r="AL150" s="43" t="s">
        <v>1268</v>
      </c>
      <c r="AM150" s="43" t="s">
        <v>924</v>
      </c>
      <c r="AN150" s="43" t="s">
        <v>1268</v>
      </c>
      <c r="AO150" s="43" t="s">
        <v>924</v>
      </c>
      <c r="AP150" s="43" t="s">
        <v>1268</v>
      </c>
      <c r="AQ150" s="43" t="s">
        <v>924</v>
      </c>
      <c r="AR150" s="43" t="s">
        <v>1268</v>
      </c>
      <c r="AS150" s="43" t="s">
        <v>924</v>
      </c>
      <c r="AT150" s="43" t="s">
        <v>1268</v>
      </c>
      <c r="AU150" s="43" t="s">
        <v>924</v>
      </c>
      <c r="XEY150" s="27"/>
      <c r="XEZ150" s="27"/>
      <c r="XFA150" s="27"/>
      <c r="XFB150" s="27"/>
      <c r="XFC150" s="27"/>
      <c r="XFD150" s="27"/>
    </row>
    <row r="151" s="42" customFormat="true" ht="14.15" hidden="false" customHeight="true" outlineLevel="0" collapsed="false">
      <c r="A151" s="28" t="s">
        <v>1269</v>
      </c>
      <c r="B151" s="29" t="s">
        <v>1270</v>
      </c>
      <c r="C151" s="29" t="s">
        <v>1271</v>
      </c>
      <c r="D151" s="30" t="s">
        <v>112</v>
      </c>
      <c r="E151" s="31"/>
      <c r="F151" s="32" t="n">
        <v>74</v>
      </c>
      <c r="G151" s="31"/>
      <c r="H151" s="31" t="n">
        <v>1</v>
      </c>
      <c r="I151" s="30" t="s">
        <v>51</v>
      </c>
      <c r="J151" s="29" t="s">
        <v>850</v>
      </c>
      <c r="K151" s="29" t="s">
        <v>851</v>
      </c>
      <c r="L151" s="32" t="n">
        <v>178</v>
      </c>
      <c r="M151" s="33" t="s">
        <v>852</v>
      </c>
      <c r="N151" s="34" t="n">
        <v>75015</v>
      </c>
      <c r="O151" s="35" t="s">
        <v>55</v>
      </c>
      <c r="P151" s="36" t="s">
        <v>853</v>
      </c>
      <c r="Q151" s="36" t="n">
        <v>24</v>
      </c>
      <c r="R151" s="32" t="n">
        <v>250</v>
      </c>
      <c r="S151" s="32" t="n">
        <v>8</v>
      </c>
      <c r="T151" s="32"/>
      <c r="U151" s="32" t="n">
        <v>3</v>
      </c>
      <c r="V151" s="37" t="n">
        <v>3</v>
      </c>
      <c r="W151" s="32" t="n">
        <v>3</v>
      </c>
      <c r="X151" s="34"/>
      <c r="Y151" s="34" t="n">
        <v>2</v>
      </c>
      <c r="Z151" s="32"/>
      <c r="AA151" s="32" t="s">
        <v>1272</v>
      </c>
      <c r="AB151" s="32"/>
      <c r="AC151" s="38" t="str">
        <f aca="false">HYPERLINK("https://biocodex6--c.vf.force.com/0014L00000KFvVGQA1", "BLANC PELLET ANNE MARIE")</f>
        <v>BLANC PELLET ANNE MARIE</v>
      </c>
      <c r="AD151" s="38"/>
      <c r="AE151" s="39" t="n">
        <v>45429.7083333333</v>
      </c>
      <c r="AF151" s="40" t="s">
        <v>1273</v>
      </c>
      <c r="AG151" s="41"/>
      <c r="AH151" s="32"/>
      <c r="AI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XEY151" s="27"/>
      <c r="XEZ151" s="27"/>
      <c r="XFA151" s="27"/>
      <c r="XFB151" s="27"/>
      <c r="XFC151" s="27"/>
      <c r="XFD151" s="27"/>
    </row>
    <row r="152" s="42" customFormat="true" ht="14.15" hidden="false" customHeight="true" outlineLevel="0" collapsed="false">
      <c r="A152" s="28" t="s">
        <v>1274</v>
      </c>
      <c r="B152" s="29" t="s">
        <v>1275</v>
      </c>
      <c r="C152" s="29" t="s">
        <v>1276</v>
      </c>
      <c r="D152" s="30" t="s">
        <v>50</v>
      </c>
      <c r="E152" s="30" t="s">
        <v>1277</v>
      </c>
      <c r="F152" s="32" t="n">
        <v>65</v>
      </c>
      <c r="G152" s="31" t="s">
        <v>215</v>
      </c>
      <c r="H152" s="31" t="n">
        <v>1</v>
      </c>
      <c r="I152" s="31" t="s">
        <v>197</v>
      </c>
      <c r="J152" s="29"/>
      <c r="K152" s="29" t="s">
        <v>1278</v>
      </c>
      <c r="L152" s="32" t="n">
        <v>52</v>
      </c>
      <c r="M152" s="33" t="s">
        <v>646</v>
      </c>
      <c r="N152" s="34" t="n">
        <v>75017</v>
      </c>
      <c r="O152" s="35" t="s">
        <v>55</v>
      </c>
      <c r="P152" s="36" t="s">
        <v>1279</v>
      </c>
      <c r="Q152" s="36" t="n">
        <v>1</v>
      </c>
      <c r="R152" s="32" t="n">
        <v>244</v>
      </c>
      <c r="S152" s="32" t="n">
        <v>8</v>
      </c>
      <c r="T152" s="32"/>
      <c r="U152" s="32"/>
      <c r="V152" s="37"/>
      <c r="W152" s="32"/>
      <c r="X152" s="34"/>
      <c r="Y152" s="34"/>
      <c r="Z152" s="32"/>
      <c r="AA152" s="32" t="s">
        <v>1280</v>
      </c>
      <c r="AB152" s="32" t="s">
        <v>1281</v>
      </c>
      <c r="AC152" s="38" t="str">
        <f aca="false">HYPERLINK("https://biocodex6--c.vf.force.com/0014L00000KG4qIQAT", "VERSINI STEPHANE")</f>
        <v>VERSINI STEPHANE</v>
      </c>
      <c r="AD152" s="38" t="str">
        <f aca="false">HYPERLINK("https://annuairesante.ameli.fr/professionnels-de-sante/recherche/fiche-detaillee-B7c1ljo1MzOw.html", "VERSINI STEPHANE")</f>
        <v>VERSINI STEPHANE</v>
      </c>
      <c r="AE152" s="39"/>
      <c r="AF152" s="40"/>
      <c r="AG152" s="41"/>
      <c r="AH152" s="32"/>
      <c r="AI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XEY152" s="27"/>
      <c r="XEZ152" s="27"/>
      <c r="XFA152" s="27"/>
      <c r="XFB152" s="27"/>
      <c r="XFC152" s="27"/>
      <c r="XFD152" s="27"/>
    </row>
    <row r="153" s="42" customFormat="true" ht="14.15" hidden="false" customHeight="true" outlineLevel="0" collapsed="false">
      <c r="A153" s="28" t="s">
        <v>1282</v>
      </c>
      <c r="B153" s="29" t="s">
        <v>59</v>
      </c>
      <c r="C153" s="29" t="s">
        <v>1283</v>
      </c>
      <c r="D153" s="30" t="s">
        <v>112</v>
      </c>
      <c r="E153" s="31"/>
      <c r="F153" s="32" t="n">
        <v>70</v>
      </c>
      <c r="G153" s="31" t="s">
        <v>215</v>
      </c>
      <c r="H153" s="31" t="n">
        <v>3</v>
      </c>
      <c r="I153" s="31" t="s">
        <v>62</v>
      </c>
      <c r="J153" s="29"/>
      <c r="K153" s="29" t="s">
        <v>1284</v>
      </c>
      <c r="L153" s="32" t="n">
        <v>15</v>
      </c>
      <c r="M153" s="33" t="s">
        <v>1285</v>
      </c>
      <c r="N153" s="34" t="n">
        <v>75017</v>
      </c>
      <c r="O153" s="35" t="s">
        <v>55</v>
      </c>
      <c r="P153" s="36" t="s">
        <v>1286</v>
      </c>
      <c r="Q153" s="36" t="n">
        <v>1</v>
      </c>
      <c r="R153" s="32" t="n">
        <v>223</v>
      </c>
      <c r="S153" s="32" t="n">
        <v>8</v>
      </c>
      <c r="T153" s="32"/>
      <c r="U153" s="32"/>
      <c r="V153" s="37" t="n">
        <v>3</v>
      </c>
      <c r="W153" s="32"/>
      <c r="X153" s="34"/>
      <c r="Y153" s="34"/>
      <c r="Z153" s="32" t="s">
        <v>1287</v>
      </c>
      <c r="AA153" s="32" t="s">
        <v>1288</v>
      </c>
      <c r="AB153" s="32" t="s">
        <v>1289</v>
      </c>
      <c r="AC153" s="38" t="str">
        <f aca="false">HYPERLINK("https://biocodex6--c.vf.force.com/0014L00000KFszIQAT", "MOUY RICHARD")</f>
        <v>MOUY RICHARD</v>
      </c>
      <c r="AD153" s="38" t="str">
        <f aca="false">HYPERLINK("https://annuairesante.ameli.fr/professionnels-de-sante/recherche/fiche-detaillee-B7c1ljM0NTO2.html", "MOUY RICHARD")</f>
        <v>MOUY RICHARD</v>
      </c>
      <c r="AE153" s="39"/>
      <c r="AF153" s="40"/>
      <c r="AG153" s="41"/>
      <c r="AH153" s="32"/>
      <c r="AI153" s="32"/>
      <c r="AL153" s="43" t="s">
        <v>1290</v>
      </c>
      <c r="AM153" s="32"/>
      <c r="AN153" s="43" t="s">
        <v>1291</v>
      </c>
      <c r="AO153" s="43" t="s">
        <v>1292</v>
      </c>
      <c r="AP153" s="43" t="s">
        <v>735</v>
      </c>
      <c r="AQ153" s="32"/>
      <c r="AR153" s="43" t="s">
        <v>1290</v>
      </c>
      <c r="AS153" s="43" t="s">
        <v>1292</v>
      </c>
      <c r="AT153" s="43" t="s">
        <v>1290</v>
      </c>
      <c r="AU153" s="43" t="s">
        <v>1292</v>
      </c>
      <c r="XEY153" s="27"/>
      <c r="XEZ153" s="27"/>
      <c r="XFA153" s="27"/>
      <c r="XFB153" s="27"/>
      <c r="XFC153" s="27"/>
      <c r="XFD153" s="27"/>
    </row>
    <row r="154" s="42" customFormat="true" ht="14.15" hidden="false" customHeight="true" outlineLevel="0" collapsed="false">
      <c r="A154" s="28" t="s">
        <v>1293</v>
      </c>
      <c r="B154" s="29" t="s">
        <v>1294</v>
      </c>
      <c r="C154" s="29" t="s">
        <v>1295</v>
      </c>
      <c r="D154" s="30" t="s">
        <v>75</v>
      </c>
      <c r="E154" s="31"/>
      <c r="F154" s="32" t="n">
        <v>43</v>
      </c>
      <c r="G154" s="31" t="s">
        <v>215</v>
      </c>
      <c r="H154" s="31" t="n">
        <v>2</v>
      </c>
      <c r="I154" s="31" t="s">
        <v>77</v>
      </c>
      <c r="J154" s="29"/>
      <c r="K154" s="29" t="s">
        <v>1296</v>
      </c>
      <c r="L154" s="32" t="n">
        <v>169</v>
      </c>
      <c r="M154" s="33" t="s">
        <v>1297</v>
      </c>
      <c r="N154" s="34" t="n">
        <v>92200</v>
      </c>
      <c r="O154" s="35" t="s">
        <v>81</v>
      </c>
      <c r="P154" s="36" t="s">
        <v>1298</v>
      </c>
      <c r="Q154" s="36" t="n">
        <v>2</v>
      </c>
      <c r="R154" s="32" t="n">
        <v>212</v>
      </c>
      <c r="S154" s="32" t="n">
        <v>8</v>
      </c>
      <c r="T154" s="32"/>
      <c r="U154" s="32" t="n">
        <v>3</v>
      </c>
      <c r="V154" s="37" t="n">
        <v>2</v>
      </c>
      <c r="W154" s="32" t="n">
        <v>3</v>
      </c>
      <c r="X154" s="34"/>
      <c r="Y154" s="34" t="n">
        <v>2</v>
      </c>
      <c r="Z154" s="32"/>
      <c r="AA154" s="32" t="s">
        <v>1299</v>
      </c>
      <c r="AB154" s="32" t="s">
        <v>1300</v>
      </c>
      <c r="AC154" s="38" t="str">
        <f aca="false">HYPERLINK("https://biocodex6--c.vf.force.com/0014L00000KFhGaQAL", "GILLET ADELINE")</f>
        <v>GILLET ADELINE</v>
      </c>
      <c r="AD154" s="38" t="str">
        <f aca="false">HYPERLINK("https://annuairesante.ameli.fr/professionnels-de-sante/recherche/fiche-detaillee-CbA1kDMwNDOx.html", "GILLET ADELINE")</f>
        <v>GILLET ADELINE</v>
      </c>
      <c r="AE154" s="39" t="n">
        <v>45345.4375</v>
      </c>
      <c r="AF154" s="40"/>
      <c r="AG154" s="41"/>
      <c r="AH154" s="32"/>
      <c r="AI154" s="32"/>
      <c r="AL154" s="43" t="s">
        <v>1301</v>
      </c>
      <c r="AM154" s="32"/>
      <c r="AN154" s="43" t="s">
        <v>966</v>
      </c>
      <c r="AO154" s="43" t="s">
        <v>262</v>
      </c>
      <c r="AP154" s="43" t="s">
        <v>1302</v>
      </c>
      <c r="AQ154" s="32"/>
      <c r="AR154" s="43" t="s">
        <v>925</v>
      </c>
      <c r="AS154" s="43" t="s">
        <v>137</v>
      </c>
      <c r="AT154" s="43" t="s">
        <v>966</v>
      </c>
      <c r="AU154" s="43" t="s">
        <v>262</v>
      </c>
      <c r="XEY154" s="27"/>
      <c r="XEZ154" s="27"/>
      <c r="XFA154" s="27"/>
      <c r="XFB154" s="27"/>
      <c r="XFC154" s="27"/>
      <c r="XFD154" s="27"/>
    </row>
    <row r="155" s="42" customFormat="true" ht="14.15" hidden="false" customHeight="true" outlineLevel="0" collapsed="false">
      <c r="A155" s="28" t="s">
        <v>1303</v>
      </c>
      <c r="B155" s="29" t="s">
        <v>1304</v>
      </c>
      <c r="C155" s="29" t="s">
        <v>1305</v>
      </c>
      <c r="D155" s="30" t="s">
        <v>50</v>
      </c>
      <c r="E155" s="31"/>
      <c r="F155" s="32" t="n">
        <v>37</v>
      </c>
      <c r="G155" s="31" t="s">
        <v>98</v>
      </c>
      <c r="H155" s="31" t="n">
        <v>2</v>
      </c>
      <c r="I155" s="31" t="s">
        <v>387</v>
      </c>
      <c r="J155" s="29" t="s">
        <v>1306</v>
      </c>
      <c r="K155" s="29" t="s">
        <v>1307</v>
      </c>
      <c r="L155" s="32" t="n">
        <v>11</v>
      </c>
      <c r="M155" s="33" t="s">
        <v>1308</v>
      </c>
      <c r="N155" s="34" t="n">
        <v>75016</v>
      </c>
      <c r="O155" s="35" t="s">
        <v>55</v>
      </c>
      <c r="P155" s="36" t="s">
        <v>1309</v>
      </c>
      <c r="Q155" s="36" t="n">
        <v>9</v>
      </c>
      <c r="R155" s="32" t="n">
        <v>211</v>
      </c>
      <c r="S155" s="32" t="n">
        <v>8</v>
      </c>
      <c r="T155" s="32"/>
      <c r="U155" s="32"/>
      <c r="V155" s="37"/>
      <c r="W155" s="32"/>
      <c r="X155" s="34" t="n">
        <v>1</v>
      </c>
      <c r="Y155" s="34"/>
      <c r="Z155" s="32"/>
      <c r="AA155" s="32" t="s">
        <v>1310</v>
      </c>
      <c r="AB155" s="32" t="s">
        <v>1311</v>
      </c>
      <c r="AC155" s="38" t="str">
        <f aca="false">HYPERLINK("https://biocodex6--c.vf.force.com/0014L00000KFOOAQA5", "SCHILDT PAULINE")</f>
        <v>SCHILDT PAULINE</v>
      </c>
      <c r="AD155" s="38" t="str">
        <f aca="false">HYPERLINK("https://annuairesante.ameli.fr/professionnels-de-sante/recherche/fiche-detaillee-B7c1kjA1Mjuy.html", "SCHILDT PAULINE")</f>
        <v>SCHILDT PAULINE</v>
      </c>
      <c r="AE155" s="39" t="n">
        <v>45439.5416666667</v>
      </c>
      <c r="AF155" s="40" t="s">
        <v>1312</v>
      </c>
      <c r="AG155" s="41" t="s">
        <v>69</v>
      </c>
      <c r="AH155" s="32" t="s">
        <v>70</v>
      </c>
      <c r="AI155" s="32"/>
      <c r="AL155" s="43" t="s">
        <v>1268</v>
      </c>
      <c r="AM155" s="43" t="s">
        <v>534</v>
      </c>
      <c r="AN155" s="43" t="s">
        <v>1313</v>
      </c>
      <c r="AO155" s="43" t="s">
        <v>476</v>
      </c>
      <c r="AP155" s="32"/>
      <c r="AQ155" s="32"/>
      <c r="AR155" s="43" t="s">
        <v>1268</v>
      </c>
      <c r="AS155" s="43" t="s">
        <v>534</v>
      </c>
      <c r="AT155" s="43" t="s">
        <v>925</v>
      </c>
      <c r="AU155" s="43" t="s">
        <v>137</v>
      </c>
      <c r="XEY155" s="27"/>
      <c r="XEZ155" s="27"/>
      <c r="XFA155" s="27"/>
      <c r="XFB155" s="27"/>
      <c r="XFC155" s="27"/>
      <c r="XFD155" s="27"/>
    </row>
    <row r="156" s="42" customFormat="true" ht="14.15" hidden="false" customHeight="true" outlineLevel="0" collapsed="false">
      <c r="A156" s="28" t="s">
        <v>1314</v>
      </c>
      <c r="B156" s="29" t="s">
        <v>690</v>
      </c>
      <c r="C156" s="29" t="s">
        <v>1315</v>
      </c>
      <c r="D156" s="30" t="s">
        <v>112</v>
      </c>
      <c r="E156" s="31"/>
      <c r="F156" s="32" t="n">
        <v>64</v>
      </c>
      <c r="G156" s="31" t="s">
        <v>98</v>
      </c>
      <c r="H156" s="31" t="n">
        <v>1</v>
      </c>
      <c r="I156" s="31" t="s">
        <v>295</v>
      </c>
      <c r="J156" s="29"/>
      <c r="K156" s="29" t="s">
        <v>1316</v>
      </c>
      <c r="L156" s="32" t="n">
        <v>41</v>
      </c>
      <c r="M156" s="33" t="s">
        <v>1317</v>
      </c>
      <c r="N156" s="34" t="n">
        <v>92300</v>
      </c>
      <c r="O156" s="35" t="s">
        <v>298</v>
      </c>
      <c r="P156" s="36" t="s">
        <v>1318</v>
      </c>
      <c r="Q156" s="36" t="n">
        <v>1</v>
      </c>
      <c r="R156" s="32" t="n">
        <v>196</v>
      </c>
      <c r="S156" s="32" t="n">
        <v>8</v>
      </c>
      <c r="T156" s="32"/>
      <c r="U156" s="32" t="n">
        <v>3</v>
      </c>
      <c r="V156" s="37" t="n">
        <v>3</v>
      </c>
      <c r="W156" s="32" t="n">
        <v>3</v>
      </c>
      <c r="X156" s="34"/>
      <c r="Y156" s="34" t="n">
        <v>1</v>
      </c>
      <c r="Z156" s="32"/>
      <c r="AA156" s="32" t="s">
        <v>1319</v>
      </c>
      <c r="AB156" s="32" t="s">
        <v>1320</v>
      </c>
      <c r="AC156" s="38" t="str">
        <f aca="false">HYPERLINK("https://biocodex6--c.vf.force.com/0014L00000KG00uQAD", "SABAN ERIC")</f>
        <v>SABAN ERIC</v>
      </c>
      <c r="AD156" s="38" t="str">
        <f aca="false">HYPERLINK("https://annuairesante.ameli.fr/professionnels-de-sante/recherche/fiche-detaillee-CbA1kjs4MzK3.html", "SABAN ERIC")</f>
        <v>SABAN ERIC</v>
      </c>
      <c r="AE156" s="39" t="n">
        <v>45450.5833333333</v>
      </c>
      <c r="AF156" s="40"/>
      <c r="AG156" s="41"/>
      <c r="AH156" s="32"/>
      <c r="AI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XEY156" s="27"/>
      <c r="XEZ156" s="27"/>
      <c r="XFA156" s="27"/>
      <c r="XFB156" s="27"/>
      <c r="XFC156" s="27"/>
      <c r="XFD156" s="27"/>
    </row>
    <row r="157" s="42" customFormat="true" ht="14.15" hidden="false" customHeight="true" outlineLevel="0" collapsed="false">
      <c r="A157" s="28" t="s">
        <v>1321</v>
      </c>
      <c r="B157" s="29" t="s">
        <v>685</v>
      </c>
      <c r="C157" s="29" t="s">
        <v>1322</v>
      </c>
      <c r="D157" s="30" t="s">
        <v>112</v>
      </c>
      <c r="E157" s="31"/>
      <c r="F157" s="32" t="n">
        <v>44</v>
      </c>
      <c r="G157" s="31" t="s">
        <v>215</v>
      </c>
      <c r="H157" s="31" t="n">
        <v>1</v>
      </c>
      <c r="I157" s="31" t="s">
        <v>295</v>
      </c>
      <c r="J157" s="29"/>
      <c r="K157" s="29" t="s">
        <v>1323</v>
      </c>
      <c r="L157" s="32" t="n">
        <v>25</v>
      </c>
      <c r="M157" s="33" t="s">
        <v>1324</v>
      </c>
      <c r="N157" s="34" t="n">
        <v>92300</v>
      </c>
      <c r="O157" s="35" t="s">
        <v>298</v>
      </c>
      <c r="P157" s="36" t="s">
        <v>1325</v>
      </c>
      <c r="Q157" s="36" t="n">
        <v>1</v>
      </c>
      <c r="R157" s="32" t="n">
        <v>184</v>
      </c>
      <c r="S157" s="32" t="n">
        <v>8</v>
      </c>
      <c r="T157" s="32"/>
      <c r="U157" s="32" t="n">
        <v>3</v>
      </c>
      <c r="V157" s="37" t="n">
        <v>3</v>
      </c>
      <c r="W157" s="32" t="n">
        <v>3</v>
      </c>
      <c r="X157" s="34"/>
      <c r="Y157" s="34" t="n">
        <v>2</v>
      </c>
      <c r="Z157" s="32"/>
      <c r="AA157" s="32" t="s">
        <v>1326</v>
      </c>
      <c r="AB157" s="32" t="s">
        <v>1327</v>
      </c>
      <c r="AC157" s="38" t="str">
        <f aca="false">HYPERLINK("https://biocodex6--c.vf.force.com/0014L00000KFsLdQAL", "AYACHE MIMOUN MURIEL")</f>
        <v>AYACHE MIMOUN MURIEL</v>
      </c>
      <c r="AD157" s="38" t="str">
        <f aca="false">HYPERLINK("https://annuairesante.ameli.fr/professionnels-de-sante/recherche/fiche-detaillee-CbA1kDM4Nza1.html", "AYACHE MIMOUN MURIEL")</f>
        <v>AYACHE MIMOUN MURIEL</v>
      </c>
      <c r="AE157" s="39" t="n">
        <v>45429.375</v>
      </c>
      <c r="AF157" s="40" t="s">
        <v>1328</v>
      </c>
      <c r="AG157" s="41"/>
      <c r="AH157" s="32"/>
      <c r="AI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XEY157" s="27"/>
      <c r="XEZ157" s="27"/>
      <c r="XFA157" s="27"/>
      <c r="XFB157" s="27"/>
      <c r="XFC157" s="27"/>
      <c r="XFD157" s="27"/>
    </row>
    <row r="158" s="42" customFormat="true" ht="14.15" hidden="false" customHeight="true" outlineLevel="0" collapsed="false">
      <c r="A158" s="28" t="s">
        <v>1329</v>
      </c>
      <c r="B158" s="29" t="s">
        <v>727</v>
      </c>
      <c r="C158" s="29" t="s">
        <v>1330</v>
      </c>
      <c r="D158" s="30" t="s">
        <v>50</v>
      </c>
      <c r="E158" s="31"/>
      <c r="F158" s="32" t="n">
        <v>42</v>
      </c>
      <c r="G158" s="31" t="s">
        <v>98</v>
      </c>
      <c r="H158" s="31" t="n">
        <v>2</v>
      </c>
      <c r="I158" s="31" t="s">
        <v>173</v>
      </c>
      <c r="J158" s="29" t="s">
        <v>1331</v>
      </c>
      <c r="K158" s="29" t="s">
        <v>1332</v>
      </c>
      <c r="L158" s="32" t="n">
        <v>23</v>
      </c>
      <c r="M158" s="33" t="s">
        <v>1333</v>
      </c>
      <c r="N158" s="34" t="n">
        <v>75016</v>
      </c>
      <c r="O158" s="35" t="s">
        <v>55</v>
      </c>
      <c r="P158" s="36" t="s">
        <v>1334</v>
      </c>
      <c r="Q158" s="36" t="n">
        <v>3</v>
      </c>
      <c r="R158" s="32" t="n">
        <v>182</v>
      </c>
      <c r="S158" s="32" t="n">
        <v>8</v>
      </c>
      <c r="T158" s="32"/>
      <c r="U158" s="32"/>
      <c r="V158" s="37"/>
      <c r="W158" s="32"/>
      <c r="X158" s="34"/>
      <c r="Y158" s="34"/>
      <c r="Z158" s="32"/>
      <c r="AA158" s="32" t="s">
        <v>1335</v>
      </c>
      <c r="AB158" s="32" t="s">
        <v>1336</v>
      </c>
      <c r="AC158" s="38" t="str">
        <f aca="false">HYPERLINK("https://biocodex6--c.vf.force.com/0014L00000KG2qyQAD", "SUSSMANN NADJAR DEBORAH")</f>
        <v>SUSSMANN NADJAR DEBORAH</v>
      </c>
      <c r="AD158" s="38" t="str">
        <f aca="false">HYPERLINK("https://annuairesante.ameli.fr/professionnels-de-sante/recherche/fiche-detaillee-B7c1lTE4NDW3.html", "SUSSMANN NADJAR DEBORAH")</f>
        <v>SUSSMANN NADJAR DEBORAH</v>
      </c>
      <c r="AE158" s="39"/>
      <c r="AF158" s="40"/>
      <c r="AG158" s="41"/>
      <c r="AH158" s="32"/>
      <c r="AI158" s="32"/>
      <c r="AL158" s="32"/>
      <c r="AM158" s="32"/>
      <c r="AN158" s="43" t="s">
        <v>474</v>
      </c>
      <c r="AO158" s="43" t="s">
        <v>476</v>
      </c>
      <c r="AP158" s="32"/>
      <c r="AQ158" s="32"/>
      <c r="AR158" s="32"/>
      <c r="AS158" s="32"/>
      <c r="AT158" s="43" t="s">
        <v>474</v>
      </c>
      <c r="AU158" s="43" t="s">
        <v>476</v>
      </c>
      <c r="XEY158" s="27"/>
      <c r="XEZ158" s="27"/>
      <c r="XFA158" s="27"/>
      <c r="XFB158" s="27"/>
      <c r="XFC158" s="27"/>
      <c r="XFD158" s="27"/>
    </row>
    <row r="159" s="42" customFormat="true" ht="14.15" hidden="false" customHeight="true" outlineLevel="0" collapsed="false">
      <c r="A159" s="28" t="s">
        <v>1337</v>
      </c>
      <c r="B159" s="29" t="s">
        <v>560</v>
      </c>
      <c r="C159" s="29" t="s">
        <v>1338</v>
      </c>
      <c r="D159" s="30" t="s">
        <v>112</v>
      </c>
      <c r="E159" s="31"/>
      <c r="F159" s="32" t="n">
        <v>73</v>
      </c>
      <c r="G159" s="31" t="s">
        <v>215</v>
      </c>
      <c r="H159" s="31" t="n">
        <v>1</v>
      </c>
      <c r="I159" s="31" t="s">
        <v>173</v>
      </c>
      <c r="J159" s="29"/>
      <c r="K159" s="29" t="s">
        <v>1339</v>
      </c>
      <c r="L159" s="32" t="n">
        <v>121</v>
      </c>
      <c r="M159" s="33" t="s">
        <v>1340</v>
      </c>
      <c r="N159" s="34" t="n">
        <v>75016</v>
      </c>
      <c r="O159" s="35" t="s">
        <v>55</v>
      </c>
      <c r="P159" s="36" t="s">
        <v>1341</v>
      </c>
      <c r="Q159" s="36" t="n">
        <v>1</v>
      </c>
      <c r="R159" s="32" t="n">
        <v>175</v>
      </c>
      <c r="S159" s="32" t="n">
        <v>8</v>
      </c>
      <c r="T159" s="32"/>
      <c r="U159" s="32" t="n">
        <v>3</v>
      </c>
      <c r="V159" s="37" t="n">
        <v>3</v>
      </c>
      <c r="W159" s="32" t="n">
        <v>3</v>
      </c>
      <c r="X159" s="34" t="n">
        <v>2</v>
      </c>
      <c r="Y159" s="34" t="n">
        <v>2</v>
      </c>
      <c r="Z159" s="32"/>
      <c r="AA159" s="32" t="s">
        <v>1342</v>
      </c>
      <c r="AB159" s="32" t="s">
        <v>1343</v>
      </c>
      <c r="AC159" s="38" t="str">
        <f aca="false">HYPERLINK("https://biocodex6--c.vf.force.com/0014L00000KG330QAD", "THIEBAUT PEDRONO ELISABETH")</f>
        <v>THIEBAUT PEDRONO ELISABETH</v>
      </c>
      <c r="AD159" s="38" t="str">
        <f aca="false">HYPERLINK("https://annuairesante.ameli.fr/professionnels-de-sante/recherche/fiche-detaillee-B7c1ljc2NDS0.html", "THIEBAUT PEDRONO ELISABETH")</f>
        <v>THIEBAUT PEDRONO ELISABETH</v>
      </c>
      <c r="AE159" s="39" t="n">
        <v>45183.6666666667</v>
      </c>
      <c r="AF159" s="40" t="s">
        <v>1344</v>
      </c>
      <c r="AG159" s="41"/>
      <c r="AH159" s="32"/>
      <c r="AI159" s="32" t="s">
        <v>71</v>
      </c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XEY159" s="27"/>
      <c r="XEZ159" s="27"/>
      <c r="XFA159" s="27"/>
      <c r="XFB159" s="27"/>
      <c r="XFC159" s="27"/>
      <c r="XFD159" s="27"/>
    </row>
    <row r="160" s="42" customFormat="true" ht="14.15" hidden="false" customHeight="true" outlineLevel="0" collapsed="false">
      <c r="A160" s="28" t="s">
        <v>1345</v>
      </c>
      <c r="B160" s="29" t="s">
        <v>593</v>
      </c>
      <c r="C160" s="29" t="s">
        <v>1346</v>
      </c>
      <c r="D160" s="30" t="s">
        <v>75</v>
      </c>
      <c r="E160" s="31"/>
      <c r="F160" s="32" t="n">
        <v>34</v>
      </c>
      <c r="G160" s="31" t="s">
        <v>215</v>
      </c>
      <c r="H160" s="31" t="n">
        <v>1</v>
      </c>
      <c r="I160" s="31" t="s">
        <v>99</v>
      </c>
      <c r="J160" s="29"/>
      <c r="K160" s="29" t="s">
        <v>1347</v>
      </c>
      <c r="L160" s="32" t="n">
        <v>6</v>
      </c>
      <c r="M160" s="33" t="s">
        <v>1348</v>
      </c>
      <c r="N160" s="34" t="n">
        <v>75015</v>
      </c>
      <c r="O160" s="35" t="s">
        <v>55</v>
      </c>
      <c r="P160" s="36" t="s">
        <v>1349</v>
      </c>
      <c r="Q160" s="36" t="n">
        <v>1</v>
      </c>
      <c r="R160" s="32" t="n">
        <v>172</v>
      </c>
      <c r="S160" s="32" t="n">
        <v>8</v>
      </c>
      <c r="T160" s="32"/>
      <c r="U160" s="32"/>
      <c r="V160" s="37" t="n">
        <v>2</v>
      </c>
      <c r="W160" s="32"/>
      <c r="X160" s="34"/>
      <c r="Y160" s="34"/>
      <c r="Z160" s="32"/>
      <c r="AA160" s="32" t="s">
        <v>1350</v>
      </c>
      <c r="AB160" s="32" t="s">
        <v>1351</v>
      </c>
      <c r="AC160" s="38" t="str">
        <f aca="false">HYPERLINK("https://biocodex6--c.vf.force.com/0014L00000KGGeqQAH", "CHUPIN ANTOINE")</f>
        <v>CHUPIN ANTOINE</v>
      </c>
      <c r="AD160" s="38" t="str">
        <f aca="false">HYPERLINK("https://annuairesante.ameli.fr/professionnels-de-sante/recherche/fiche-detaillee-B7c1kzIyMDSy.html", "CHUPIN ANTOINE")</f>
        <v>CHUPIN ANTOINE</v>
      </c>
      <c r="AE160" s="39"/>
      <c r="AF160" s="40"/>
      <c r="AG160" s="41"/>
      <c r="AH160" s="32"/>
      <c r="AI160" s="32"/>
      <c r="AL160" s="43" t="s">
        <v>1352</v>
      </c>
      <c r="AM160" s="32"/>
      <c r="AN160" s="43" t="s">
        <v>85</v>
      </c>
      <c r="AO160" s="43" t="s">
        <v>661</v>
      </c>
      <c r="AP160" s="43" t="s">
        <v>474</v>
      </c>
      <c r="AQ160" s="43" t="s">
        <v>661</v>
      </c>
      <c r="AR160" s="32"/>
      <c r="AS160" s="43" t="s">
        <v>1353</v>
      </c>
      <c r="AT160" s="32"/>
      <c r="AU160" s="43" t="s">
        <v>1353</v>
      </c>
      <c r="XEY160" s="27"/>
      <c r="XEZ160" s="27"/>
      <c r="XFA160" s="27"/>
      <c r="XFB160" s="27"/>
      <c r="XFC160" s="27"/>
      <c r="XFD160" s="27"/>
    </row>
    <row r="161" s="42" customFormat="true" ht="14.15" hidden="false" customHeight="true" outlineLevel="0" collapsed="false">
      <c r="A161" s="28" t="s">
        <v>1354</v>
      </c>
      <c r="B161" s="29" t="s">
        <v>1355</v>
      </c>
      <c r="C161" s="29" t="s">
        <v>1356</v>
      </c>
      <c r="D161" s="30" t="s">
        <v>244</v>
      </c>
      <c r="E161" s="30" t="s">
        <v>245</v>
      </c>
      <c r="F161" s="32" t="n">
        <v>68</v>
      </c>
      <c r="G161" s="31"/>
      <c r="H161" s="31" t="n">
        <v>1</v>
      </c>
      <c r="I161" s="31" t="s">
        <v>572</v>
      </c>
      <c r="J161" s="29" t="s">
        <v>678</v>
      </c>
      <c r="K161" s="29" t="s">
        <v>679</v>
      </c>
      <c r="L161" s="32" t="n">
        <v>6</v>
      </c>
      <c r="M161" s="33" t="s">
        <v>680</v>
      </c>
      <c r="N161" s="34" t="n">
        <v>75008</v>
      </c>
      <c r="O161" s="35" t="s">
        <v>55</v>
      </c>
      <c r="P161" s="36" t="s">
        <v>870</v>
      </c>
      <c r="Q161" s="36" t="n">
        <v>43</v>
      </c>
      <c r="R161" s="32" t="n">
        <v>158</v>
      </c>
      <c r="S161" s="32" t="n">
        <v>8</v>
      </c>
      <c r="T161" s="32"/>
      <c r="U161" s="32" t="n">
        <v>3</v>
      </c>
      <c r="V161" s="37" t="n">
        <v>3</v>
      </c>
      <c r="W161" s="32" t="n">
        <v>3</v>
      </c>
      <c r="X161" s="34" t="n">
        <v>1</v>
      </c>
      <c r="Y161" s="34"/>
      <c r="Z161" s="32"/>
      <c r="AA161" s="32" t="s">
        <v>1357</v>
      </c>
      <c r="AB161" s="32"/>
      <c r="AC161" s="38" t="str">
        <f aca="false">HYPERLINK("https://biocodex6--c.vf.force.com/0014L00000KFlzJQAT", "LANZ MICHELE")</f>
        <v>LANZ MICHELE</v>
      </c>
      <c r="AD161" s="38"/>
      <c r="AE161" s="39" t="n">
        <v>45428.5625</v>
      </c>
      <c r="AF161" s="40" t="s">
        <v>1358</v>
      </c>
      <c r="AG161" s="41"/>
      <c r="AH161" s="32"/>
      <c r="AI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XEY161" s="27"/>
      <c r="XEZ161" s="27"/>
      <c r="XFA161" s="27"/>
      <c r="XFB161" s="27"/>
      <c r="XFC161" s="27"/>
      <c r="XFD161" s="27"/>
    </row>
    <row r="162" s="42" customFormat="true" ht="14.15" hidden="false" customHeight="true" outlineLevel="0" collapsed="false">
      <c r="A162" s="28" t="s">
        <v>1359</v>
      </c>
      <c r="B162" s="29" t="s">
        <v>709</v>
      </c>
      <c r="C162" s="29" t="s">
        <v>1360</v>
      </c>
      <c r="D162" s="30" t="s">
        <v>206</v>
      </c>
      <c r="E162" s="31"/>
      <c r="F162" s="32" t="n">
        <v>0</v>
      </c>
      <c r="G162" s="31"/>
      <c r="H162" s="31" t="n">
        <v>1</v>
      </c>
      <c r="I162" s="31" t="s">
        <v>572</v>
      </c>
      <c r="J162" s="29" t="s">
        <v>678</v>
      </c>
      <c r="K162" s="29" t="s">
        <v>679</v>
      </c>
      <c r="L162" s="32" t="n">
        <v>6</v>
      </c>
      <c r="M162" s="33" t="s">
        <v>680</v>
      </c>
      <c r="N162" s="34" t="n">
        <v>75008</v>
      </c>
      <c r="O162" s="35" t="s">
        <v>55</v>
      </c>
      <c r="P162" s="36" t="s">
        <v>870</v>
      </c>
      <c r="Q162" s="36" t="n">
        <v>43</v>
      </c>
      <c r="R162" s="32" t="n">
        <v>150</v>
      </c>
      <c r="S162" s="32" t="n">
        <v>8</v>
      </c>
      <c r="T162" s="32"/>
      <c r="U162" s="32" t="n">
        <v>3</v>
      </c>
      <c r="V162" s="37" t="n">
        <v>3</v>
      </c>
      <c r="W162" s="32" t="n">
        <v>3</v>
      </c>
      <c r="X162" s="34"/>
      <c r="Y162" s="34"/>
      <c r="Z162" s="32" t="s">
        <v>1361</v>
      </c>
      <c r="AA162" s="32" t="s">
        <v>1362</v>
      </c>
      <c r="AB162" s="32"/>
      <c r="AC162" s="38" t="str">
        <f aca="false">HYPERLINK("https://biocodex6--c.vf.force.com/0014L00000KFKEDQA5", "BOURY MARION")</f>
        <v>BOURY MARION</v>
      </c>
      <c r="AD162" s="38"/>
      <c r="AE162" s="39" t="n">
        <v>45349.6666666667</v>
      </c>
      <c r="AF162" s="40" t="s">
        <v>1363</v>
      </c>
      <c r="AG162" s="41"/>
      <c r="AH162" s="32"/>
      <c r="AI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XEY162" s="27"/>
      <c r="XEZ162" s="27"/>
      <c r="XFA162" s="27"/>
      <c r="XFB162" s="27"/>
      <c r="XFC162" s="27"/>
      <c r="XFD162" s="27"/>
    </row>
    <row r="163" s="42" customFormat="true" ht="14.15" hidden="false" customHeight="true" outlineLevel="0" collapsed="false">
      <c r="A163" s="28" t="s">
        <v>1364</v>
      </c>
      <c r="B163" s="29" t="s">
        <v>1365</v>
      </c>
      <c r="C163" s="29" t="s">
        <v>1366</v>
      </c>
      <c r="D163" s="30" t="s">
        <v>206</v>
      </c>
      <c r="E163" s="31"/>
      <c r="F163" s="32" t="n">
        <v>38</v>
      </c>
      <c r="G163" s="31"/>
      <c r="H163" s="31" t="n">
        <v>2</v>
      </c>
      <c r="I163" s="31" t="s">
        <v>572</v>
      </c>
      <c r="J163" s="29" t="s">
        <v>678</v>
      </c>
      <c r="K163" s="29" t="s">
        <v>679</v>
      </c>
      <c r="L163" s="32" t="n">
        <v>6</v>
      </c>
      <c r="M163" s="33" t="s">
        <v>680</v>
      </c>
      <c r="N163" s="34" t="n">
        <v>75008</v>
      </c>
      <c r="O163" s="35" t="s">
        <v>55</v>
      </c>
      <c r="P163" s="36" t="s">
        <v>870</v>
      </c>
      <c r="Q163" s="36" t="n">
        <v>43</v>
      </c>
      <c r="R163" s="32" t="n">
        <v>150</v>
      </c>
      <c r="S163" s="32" t="n">
        <v>8</v>
      </c>
      <c r="T163" s="32"/>
      <c r="U163" s="32" t="n">
        <v>3</v>
      </c>
      <c r="V163" s="37" t="n">
        <v>3</v>
      </c>
      <c r="W163" s="32" t="n">
        <v>2</v>
      </c>
      <c r="X163" s="34"/>
      <c r="Y163" s="34" t="n">
        <v>1</v>
      </c>
      <c r="Z163" s="32" t="s">
        <v>1367</v>
      </c>
      <c r="AA163" s="32" t="s">
        <v>1368</v>
      </c>
      <c r="AB163" s="32"/>
      <c r="AC163" s="38" t="str">
        <f aca="false">HYPERLINK("https://biocodex6--c.vf.force.com/0014L00000KFO3pQAH", "GUERIN CAPUCINE")</f>
        <v>GUERIN CAPUCINE</v>
      </c>
      <c r="AD163" s="38"/>
      <c r="AE163" s="39" t="n">
        <v>45338.5416666667</v>
      </c>
      <c r="AF163" s="40"/>
      <c r="AG163" s="41"/>
      <c r="AH163" s="32"/>
      <c r="AI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XEY163" s="27"/>
      <c r="XEZ163" s="27"/>
      <c r="XFA163" s="27"/>
      <c r="XFB163" s="27"/>
      <c r="XFC163" s="27"/>
      <c r="XFD163" s="27"/>
    </row>
    <row r="164" s="42" customFormat="true" ht="14.15" hidden="false" customHeight="true" outlineLevel="0" collapsed="false">
      <c r="A164" s="28" t="s">
        <v>1369</v>
      </c>
      <c r="B164" s="29" t="s">
        <v>1370</v>
      </c>
      <c r="C164" s="29" t="s">
        <v>1371</v>
      </c>
      <c r="D164" s="30" t="s">
        <v>50</v>
      </c>
      <c r="E164" s="31"/>
      <c r="F164" s="32" t="n">
        <v>38</v>
      </c>
      <c r="G164" s="31" t="s">
        <v>98</v>
      </c>
      <c r="H164" s="31" t="n">
        <v>1</v>
      </c>
      <c r="I164" s="31" t="s">
        <v>295</v>
      </c>
      <c r="J164" s="29"/>
      <c r="K164" s="29" t="s">
        <v>1372</v>
      </c>
      <c r="L164" s="32" t="n">
        <v>86</v>
      </c>
      <c r="M164" s="33" t="s">
        <v>722</v>
      </c>
      <c r="N164" s="34" t="n">
        <v>92300</v>
      </c>
      <c r="O164" s="35" t="s">
        <v>298</v>
      </c>
      <c r="P164" s="36" t="s">
        <v>1373</v>
      </c>
      <c r="Q164" s="36" t="n">
        <v>1</v>
      </c>
      <c r="R164" s="32" t="n">
        <v>150</v>
      </c>
      <c r="S164" s="32" t="n">
        <v>8</v>
      </c>
      <c r="T164" s="32"/>
      <c r="U164" s="32"/>
      <c r="V164" s="37"/>
      <c r="W164" s="32"/>
      <c r="X164" s="34"/>
      <c r="Y164" s="34"/>
      <c r="Z164" s="32"/>
      <c r="AA164" s="32" t="s">
        <v>1374</v>
      </c>
      <c r="AB164" s="32" t="s">
        <v>1375</v>
      </c>
      <c r="AC164" s="38" t="str">
        <f aca="false">HYPERLINK("https://biocodex6--c.vf.force.com/0014L00000KFOY7QAP", "GOTTHEFF SOUSSAN KEREN")</f>
        <v>GOTTHEFF SOUSSAN KEREN</v>
      </c>
      <c r="AD164" s="38" t="str">
        <f aca="false">HYPERLINK("https://annuairesante.ameli.fr/professionnels-de-sante/recherche/fiche-detaillee-CbA1lTMxNTK3.html", "GOTTHEFF SOUSSAN KEREN")</f>
        <v>GOTTHEFF SOUSSAN KEREN</v>
      </c>
      <c r="AE164" s="39"/>
      <c r="AF164" s="40"/>
      <c r="AG164" s="41"/>
      <c r="AH164" s="32"/>
      <c r="AI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XEY164" s="27"/>
      <c r="XEZ164" s="27"/>
      <c r="XFA164" s="27"/>
      <c r="XFB164" s="27"/>
      <c r="XFC164" s="27"/>
      <c r="XFD164" s="27"/>
    </row>
    <row r="165" s="42" customFormat="true" ht="14.15" hidden="false" customHeight="true" outlineLevel="0" collapsed="false">
      <c r="A165" s="28" t="s">
        <v>1376</v>
      </c>
      <c r="B165" s="29" t="s">
        <v>1377</v>
      </c>
      <c r="C165" s="29" t="s">
        <v>1378</v>
      </c>
      <c r="D165" s="30" t="s">
        <v>244</v>
      </c>
      <c r="E165" s="30" t="s">
        <v>741</v>
      </c>
      <c r="F165" s="32" t="n">
        <v>70</v>
      </c>
      <c r="G165" s="31" t="s">
        <v>215</v>
      </c>
      <c r="H165" s="31" t="n">
        <v>1</v>
      </c>
      <c r="I165" s="31" t="s">
        <v>572</v>
      </c>
      <c r="J165" s="29"/>
      <c r="K165" s="29" t="s">
        <v>596</v>
      </c>
      <c r="L165" s="32" t="n">
        <v>36</v>
      </c>
      <c r="M165" s="33" t="s">
        <v>1379</v>
      </c>
      <c r="N165" s="34" t="n">
        <v>75008</v>
      </c>
      <c r="O165" s="35" t="s">
        <v>55</v>
      </c>
      <c r="P165" s="36" t="s">
        <v>1380</v>
      </c>
      <c r="Q165" s="36" t="n">
        <v>2</v>
      </c>
      <c r="R165" s="32" t="n">
        <v>140</v>
      </c>
      <c r="S165" s="32" t="n">
        <v>8</v>
      </c>
      <c r="T165" s="32"/>
      <c r="U165" s="32" t="n">
        <v>3</v>
      </c>
      <c r="V165" s="37"/>
      <c r="W165" s="32" t="n">
        <v>3</v>
      </c>
      <c r="X165" s="34"/>
      <c r="Y165" s="34" t="n">
        <v>2</v>
      </c>
      <c r="Z165" s="32" t="s">
        <v>1381</v>
      </c>
      <c r="AA165" s="32" t="s">
        <v>1382</v>
      </c>
      <c r="AB165" s="32" t="s">
        <v>1383</v>
      </c>
      <c r="AC165" s="38" t="str">
        <f aca="false">HYPERLINK("https://biocodex6--c.vf.force.com/0014L00000KFU5rQAH", "BORNE HELENE")</f>
        <v>BORNE HELENE</v>
      </c>
      <c r="AD165" s="38" t="str">
        <f aca="false">HYPERLINK("https://annuairesante.ameli.fr/professionnels-de-sante/recherche/fiche-detaillee-B7c1mjI2NDK3.html", "BORNE HELENE")</f>
        <v>BORNE HELENE</v>
      </c>
      <c r="AE165" s="39" t="n">
        <v>45352.3958333333</v>
      </c>
      <c r="AF165" s="40"/>
      <c r="AG165" s="41"/>
      <c r="AH165" s="32"/>
      <c r="AI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XEY165" s="27"/>
      <c r="XEZ165" s="27"/>
      <c r="XFA165" s="27"/>
      <c r="XFB165" s="27"/>
      <c r="XFC165" s="27"/>
      <c r="XFD165" s="27"/>
    </row>
    <row r="166" s="42" customFormat="true" ht="14.15" hidden="false" customHeight="true" outlineLevel="0" collapsed="false">
      <c r="A166" s="28" t="s">
        <v>1384</v>
      </c>
      <c r="B166" s="29" t="s">
        <v>1385</v>
      </c>
      <c r="C166" s="29" t="s">
        <v>1386</v>
      </c>
      <c r="D166" s="30" t="s">
        <v>112</v>
      </c>
      <c r="E166" s="31"/>
      <c r="F166" s="32" t="n">
        <v>40</v>
      </c>
      <c r="G166" s="31"/>
      <c r="H166" s="31" t="n">
        <v>1</v>
      </c>
      <c r="I166" s="31" t="s">
        <v>51</v>
      </c>
      <c r="J166" s="29" t="s">
        <v>52</v>
      </c>
      <c r="K166" s="29" t="s">
        <v>53</v>
      </c>
      <c r="L166" s="32" t="n">
        <v>149</v>
      </c>
      <c r="M166" s="33" t="s">
        <v>54</v>
      </c>
      <c r="N166" s="34" t="n">
        <v>75015</v>
      </c>
      <c r="O166" s="35" t="s">
        <v>55</v>
      </c>
      <c r="P166" s="36" t="s">
        <v>1387</v>
      </c>
      <c r="Q166" s="36" t="n">
        <v>236</v>
      </c>
      <c r="R166" s="32" t="n">
        <v>134</v>
      </c>
      <c r="S166" s="32" t="n">
        <v>8</v>
      </c>
      <c r="T166" s="32"/>
      <c r="U166" s="32"/>
      <c r="V166" s="37"/>
      <c r="W166" s="32"/>
      <c r="X166" s="34"/>
      <c r="Y166" s="34"/>
      <c r="Z166" s="32"/>
      <c r="AA166" s="32" t="s">
        <v>1388</v>
      </c>
      <c r="AB166" s="32"/>
      <c r="AC166" s="38" t="str">
        <f aca="false">HYPERLINK("https://biocodex6--c.vf.force.com/0014L00000KFdTeQAL", "GODOT CECILE")</f>
        <v>GODOT CECILE</v>
      </c>
      <c r="AD166" s="38"/>
      <c r="AE166" s="39"/>
      <c r="AF166" s="40"/>
      <c r="AG166" s="41"/>
      <c r="AH166" s="32"/>
      <c r="AI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XEY166" s="27"/>
      <c r="XEZ166" s="27"/>
      <c r="XFA166" s="27"/>
      <c r="XFB166" s="27"/>
      <c r="XFC166" s="27"/>
      <c r="XFD166" s="27"/>
    </row>
    <row r="167" s="42" customFormat="true" ht="14.15" hidden="false" customHeight="true" outlineLevel="0" collapsed="false">
      <c r="A167" s="28" t="s">
        <v>1389</v>
      </c>
      <c r="B167" s="29" t="s">
        <v>204</v>
      </c>
      <c r="C167" s="29" t="s">
        <v>1390</v>
      </c>
      <c r="D167" s="30" t="s">
        <v>112</v>
      </c>
      <c r="E167" s="31"/>
      <c r="F167" s="32" t="n">
        <v>54</v>
      </c>
      <c r="G167" s="31" t="s">
        <v>215</v>
      </c>
      <c r="H167" s="31" t="n">
        <v>1</v>
      </c>
      <c r="I167" s="31" t="s">
        <v>295</v>
      </c>
      <c r="J167" s="29"/>
      <c r="K167" s="29" t="s">
        <v>1391</v>
      </c>
      <c r="L167" s="32" t="n">
        <v>92</v>
      </c>
      <c r="M167" s="33" t="s">
        <v>1392</v>
      </c>
      <c r="N167" s="34" t="n">
        <v>92300</v>
      </c>
      <c r="O167" s="35" t="s">
        <v>298</v>
      </c>
      <c r="P167" s="36" t="s">
        <v>1393</v>
      </c>
      <c r="Q167" s="36" t="n">
        <v>1</v>
      </c>
      <c r="R167" s="32" t="n">
        <v>127</v>
      </c>
      <c r="S167" s="32" t="n">
        <v>8</v>
      </c>
      <c r="T167" s="32"/>
      <c r="U167" s="32" t="n">
        <v>3</v>
      </c>
      <c r="V167" s="37" t="n">
        <v>3</v>
      </c>
      <c r="W167" s="32" t="n">
        <v>3</v>
      </c>
      <c r="X167" s="34"/>
      <c r="Y167" s="34" t="n">
        <v>2</v>
      </c>
      <c r="Z167" s="32"/>
      <c r="AA167" s="32" t="s">
        <v>1394</v>
      </c>
      <c r="AB167" s="32" t="s">
        <v>1395</v>
      </c>
      <c r="AC167" s="38" t="str">
        <f aca="false">HYPERLINK("https://biocodex6--c.vf.force.com/0014L00000KFxSlQAL", "PRAJS NATHALIE")</f>
        <v>PRAJS NATHALIE</v>
      </c>
      <c r="AD167" s="38" t="str">
        <f aca="false">HYPERLINK("https://annuairesante.ameli.fr/professionnels-de-sante/recherche/fiche-detaillee-CbA1lTI5NTuy.html", "PRAJS NATHALIE")</f>
        <v>PRAJS NATHALIE</v>
      </c>
      <c r="AE167" s="39"/>
      <c r="AF167" s="40"/>
      <c r="AG167" s="41"/>
      <c r="AH167" s="32"/>
      <c r="AI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XEY167" s="27"/>
      <c r="XEZ167" s="27"/>
      <c r="XFA167" s="27"/>
      <c r="XFB167" s="27"/>
      <c r="XFC167" s="27"/>
      <c r="XFD167" s="27"/>
    </row>
    <row r="168" s="42" customFormat="true" ht="14.15" hidden="false" customHeight="true" outlineLevel="0" collapsed="false">
      <c r="A168" s="28" t="s">
        <v>1396</v>
      </c>
      <c r="B168" s="29" t="s">
        <v>399</v>
      </c>
      <c r="C168" s="29" t="s">
        <v>1397</v>
      </c>
      <c r="D168" s="30" t="s">
        <v>112</v>
      </c>
      <c r="E168" s="31"/>
      <c r="F168" s="32" t="n">
        <v>66</v>
      </c>
      <c r="G168" s="31" t="s">
        <v>61</v>
      </c>
      <c r="H168" s="31" t="n">
        <v>1</v>
      </c>
      <c r="I168" s="31" t="s">
        <v>51</v>
      </c>
      <c r="J168" s="29"/>
      <c r="K168" s="29" t="s">
        <v>1398</v>
      </c>
      <c r="L168" s="32" t="n">
        <v>126</v>
      </c>
      <c r="M168" s="33" t="s">
        <v>588</v>
      </c>
      <c r="N168" s="34" t="n">
        <v>75015</v>
      </c>
      <c r="O168" s="35" t="s">
        <v>55</v>
      </c>
      <c r="P168" s="36" t="s">
        <v>1399</v>
      </c>
      <c r="Q168" s="36" t="n">
        <v>2</v>
      </c>
      <c r="R168" s="32" t="n">
        <v>117</v>
      </c>
      <c r="S168" s="32" t="n">
        <v>8</v>
      </c>
      <c r="T168" s="32"/>
      <c r="U168" s="32" t="n">
        <v>3</v>
      </c>
      <c r="V168" s="37" t="n">
        <v>3</v>
      </c>
      <c r="W168" s="32" t="n">
        <v>3</v>
      </c>
      <c r="X168" s="34" t="n">
        <v>1</v>
      </c>
      <c r="Y168" s="34" t="n">
        <v>1</v>
      </c>
      <c r="Z168" s="32"/>
      <c r="AA168" s="32" t="s">
        <v>1400</v>
      </c>
      <c r="AB168" s="32" t="s">
        <v>1401</v>
      </c>
      <c r="AC168" s="38" t="str">
        <f aca="false">HYPERLINK("https://biocodex6--c.vf.force.com/0014L00000KFzCXQA1", "ROMAIN OLIVIER")</f>
        <v>ROMAIN OLIVIER</v>
      </c>
      <c r="AD168" s="38" t="str">
        <f aca="false">HYPERLINK("https://annuairesante.ameli.fr/professionnels-de-sante/recherche/fiche-detaillee-B7c1lzI0NDOx.html", "ROMAIN OLIVIER")</f>
        <v>ROMAIN OLIVIER</v>
      </c>
      <c r="AE168" s="39" t="n">
        <v>45118.5833333333</v>
      </c>
      <c r="AF168" s="40"/>
      <c r="AG168" s="41"/>
      <c r="AH168" s="32"/>
      <c r="AI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XEY168" s="27"/>
      <c r="XEZ168" s="27"/>
      <c r="XFA168" s="27"/>
      <c r="XFB168" s="27"/>
      <c r="XFC168" s="27"/>
      <c r="XFD168" s="27"/>
    </row>
    <row r="169" s="42" customFormat="true" ht="14.15" hidden="false" customHeight="true" outlineLevel="0" collapsed="false">
      <c r="A169" s="28" t="s">
        <v>1402</v>
      </c>
      <c r="B169" s="29" t="s">
        <v>1403</v>
      </c>
      <c r="C169" s="29" t="s">
        <v>1404</v>
      </c>
      <c r="D169" s="30" t="s">
        <v>112</v>
      </c>
      <c r="E169" s="31"/>
      <c r="F169" s="32" t="n">
        <v>67</v>
      </c>
      <c r="G169" s="31" t="s">
        <v>215</v>
      </c>
      <c r="H169" s="31" t="n">
        <v>1</v>
      </c>
      <c r="I169" s="31" t="s">
        <v>77</v>
      </c>
      <c r="J169" s="29"/>
      <c r="K169" s="29" t="s">
        <v>805</v>
      </c>
      <c r="L169" s="32" t="n">
        <v>190</v>
      </c>
      <c r="M169" s="33" t="s">
        <v>806</v>
      </c>
      <c r="N169" s="34" t="n">
        <v>92200</v>
      </c>
      <c r="O169" s="35" t="s">
        <v>81</v>
      </c>
      <c r="P169" s="36" t="s">
        <v>807</v>
      </c>
      <c r="Q169" s="36" t="n">
        <v>2</v>
      </c>
      <c r="R169" s="32" t="n">
        <v>109</v>
      </c>
      <c r="S169" s="32" t="n">
        <v>8</v>
      </c>
      <c r="T169" s="32"/>
      <c r="U169" s="32" t="n">
        <v>3</v>
      </c>
      <c r="V169" s="37" t="n">
        <v>3</v>
      </c>
      <c r="W169" s="32" t="n">
        <v>3</v>
      </c>
      <c r="X169" s="34" t="n">
        <v>1</v>
      </c>
      <c r="Y169" s="34" t="n">
        <v>3</v>
      </c>
      <c r="Z169" s="32"/>
      <c r="AA169" s="32" t="s">
        <v>1405</v>
      </c>
      <c r="AB169" s="32" t="s">
        <v>1406</v>
      </c>
      <c r="AC169" s="38" t="str">
        <f aca="false">HYPERLINK("https://biocodex6--c.vf.force.com/0014L00000KFtgmQAD", "NISOLLE TAOUREL BRIGITTE")</f>
        <v>NISOLLE TAOUREL BRIGITTE</v>
      </c>
      <c r="AD169" s="38" t="str">
        <f aca="false">HYPERLINK("https://annuairesante.ameli.fr/professionnels-de-sante/recherche/fiche-detaillee-CbA1kjs0NjG2.html", "NISOLLE TAOUREL BRIGITTE")</f>
        <v>NISOLLE TAOUREL BRIGITTE</v>
      </c>
      <c r="AE169" s="39" t="n">
        <v>45428.7083333333</v>
      </c>
      <c r="AF169" s="40" t="s">
        <v>1407</v>
      </c>
      <c r="AG169" s="41"/>
      <c r="AH169" s="32"/>
      <c r="AI169" s="32"/>
      <c r="AL169" s="43" t="s">
        <v>169</v>
      </c>
      <c r="AM169" s="43" t="s">
        <v>126</v>
      </c>
      <c r="AN169" s="43" t="s">
        <v>169</v>
      </c>
      <c r="AO169" s="43" t="s">
        <v>126</v>
      </c>
      <c r="AP169" s="43" t="s">
        <v>169</v>
      </c>
      <c r="AQ169" s="43" t="s">
        <v>126</v>
      </c>
      <c r="AR169" s="32"/>
      <c r="AS169" s="32"/>
      <c r="AT169" s="43" t="s">
        <v>169</v>
      </c>
      <c r="AU169" s="43" t="s">
        <v>126</v>
      </c>
      <c r="XEY169" s="27"/>
      <c r="XEZ169" s="27"/>
      <c r="XFA169" s="27"/>
      <c r="XFB169" s="27"/>
      <c r="XFC169" s="27"/>
      <c r="XFD169" s="27"/>
    </row>
    <row r="170" s="42" customFormat="true" ht="14.15" hidden="false" customHeight="true" outlineLevel="0" collapsed="false">
      <c r="A170" s="28" t="s">
        <v>1408</v>
      </c>
      <c r="B170" s="29" t="s">
        <v>1409</v>
      </c>
      <c r="C170" s="29" t="s">
        <v>1410</v>
      </c>
      <c r="D170" s="30" t="s">
        <v>112</v>
      </c>
      <c r="E170" s="31"/>
      <c r="F170" s="32" t="n">
        <v>41</v>
      </c>
      <c r="G170" s="31" t="s">
        <v>215</v>
      </c>
      <c r="H170" s="31" t="n">
        <v>1</v>
      </c>
      <c r="I170" s="31" t="s">
        <v>173</v>
      </c>
      <c r="J170" s="29"/>
      <c r="K170" s="29" t="s">
        <v>1411</v>
      </c>
      <c r="L170" s="32" t="n">
        <v>4</v>
      </c>
      <c r="M170" s="33" t="s">
        <v>1412</v>
      </c>
      <c r="N170" s="34" t="n">
        <v>75016</v>
      </c>
      <c r="O170" s="35" t="s">
        <v>55</v>
      </c>
      <c r="P170" s="36" t="s">
        <v>1413</v>
      </c>
      <c r="Q170" s="36" t="n">
        <v>1</v>
      </c>
      <c r="R170" s="32" t="n">
        <v>99</v>
      </c>
      <c r="S170" s="32" t="n">
        <v>8</v>
      </c>
      <c r="T170" s="32"/>
      <c r="U170" s="32"/>
      <c r="V170" s="37" t="n">
        <v>3</v>
      </c>
      <c r="W170" s="32"/>
      <c r="X170" s="34"/>
      <c r="Y170" s="34"/>
      <c r="Z170" s="32"/>
      <c r="AA170" s="32" t="s">
        <v>1414</v>
      </c>
      <c r="AB170" s="32" t="s">
        <v>1415</v>
      </c>
      <c r="AC170" s="38" t="str">
        <f aca="false">HYPERLINK("https://biocodex6--c.vf.force.com/0014L00000KFOnuQAH", "ROMANELLO SILVIA")</f>
        <v>ROMANELLO SILVIA</v>
      </c>
      <c r="AD170" s="38" t="str">
        <f aca="false">HYPERLINK("https://annuairesante.ameli.fr/professionnels-de-sante/recherche/fiche-detaillee-B7c1lTY0MTe7.html", "ROMANELLO SILVIA")</f>
        <v>ROMANELLO SILVIA</v>
      </c>
      <c r="AE170" s="39" t="n">
        <v>45210.5625</v>
      </c>
      <c r="AF170" s="40"/>
      <c r="AG170" s="41"/>
      <c r="AH170" s="32"/>
      <c r="AI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XEY170" s="27"/>
      <c r="XEZ170" s="27"/>
      <c r="XFA170" s="27"/>
      <c r="XFB170" s="27"/>
      <c r="XFC170" s="27"/>
      <c r="XFD170" s="27"/>
    </row>
    <row r="171" s="42" customFormat="true" ht="14.15" hidden="false" customHeight="true" outlineLevel="0" collapsed="false">
      <c r="A171" s="28" t="s">
        <v>1416</v>
      </c>
      <c r="B171" s="29" t="s">
        <v>690</v>
      </c>
      <c r="C171" s="29" t="s">
        <v>1417</v>
      </c>
      <c r="D171" s="30" t="s">
        <v>112</v>
      </c>
      <c r="E171" s="31"/>
      <c r="F171" s="32" t="n">
        <v>75</v>
      </c>
      <c r="G171" s="31" t="s">
        <v>215</v>
      </c>
      <c r="H171" s="31" t="n">
        <v>1</v>
      </c>
      <c r="I171" s="31" t="s">
        <v>119</v>
      </c>
      <c r="J171" s="29"/>
      <c r="K171" s="29" t="s">
        <v>945</v>
      </c>
      <c r="L171" s="32" t="n">
        <v>41</v>
      </c>
      <c r="M171" s="33" t="s">
        <v>946</v>
      </c>
      <c r="N171" s="34" t="n">
        <v>75007</v>
      </c>
      <c r="O171" s="35" t="s">
        <v>55</v>
      </c>
      <c r="P171" s="36" t="s">
        <v>1418</v>
      </c>
      <c r="Q171" s="36" t="n">
        <v>2</v>
      </c>
      <c r="R171" s="32" t="n">
        <v>95</v>
      </c>
      <c r="S171" s="32" t="n">
        <v>8</v>
      </c>
      <c r="T171" s="32"/>
      <c r="U171" s="32" t="n">
        <v>3</v>
      </c>
      <c r="V171" s="37" t="n">
        <v>3</v>
      </c>
      <c r="W171" s="32" t="n">
        <v>3</v>
      </c>
      <c r="X171" s="34"/>
      <c r="Y171" s="34" t="n">
        <v>1</v>
      </c>
      <c r="Z171" s="32"/>
      <c r="AA171" s="32" t="s">
        <v>1419</v>
      </c>
      <c r="AB171" s="32" t="s">
        <v>1420</v>
      </c>
      <c r="AC171" s="38" t="str">
        <f aca="false">HYPERLINK("https://biocodex6--c.vf.force.com/0014L00000KFUEsQAP", "BOUDOT DE LA MOTTE ERIC")</f>
        <v>BOUDOT DE LA MOTTE ERIC</v>
      </c>
      <c r="AD171" s="38" t="str">
        <f aca="false">HYPERLINK("https://annuairesante.ameli.fr/professionnels-de-sante/recherche/fiche-detaillee-B7c1lTIyNDCw.html", "BOUDOT DE LA MOTTE ERIC")</f>
        <v>BOUDOT DE LA MOTTE ERIC</v>
      </c>
      <c r="AE171" s="39" t="n">
        <v>45429.6458333333</v>
      </c>
      <c r="AF171" s="40" t="s">
        <v>1421</v>
      </c>
      <c r="AG171" s="41"/>
      <c r="AH171" s="32"/>
      <c r="AI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XEY171" s="27"/>
      <c r="XEZ171" s="27"/>
      <c r="XFA171" s="27"/>
      <c r="XFB171" s="27"/>
      <c r="XFC171" s="27"/>
      <c r="XFD171" s="27"/>
    </row>
    <row r="172" s="42" customFormat="true" ht="14.15" hidden="false" customHeight="true" outlineLevel="0" collapsed="false">
      <c r="A172" s="28" t="s">
        <v>1422</v>
      </c>
      <c r="B172" s="29" t="s">
        <v>1423</v>
      </c>
      <c r="C172" s="29" t="s">
        <v>1424</v>
      </c>
      <c r="D172" s="30" t="s">
        <v>244</v>
      </c>
      <c r="E172" s="30" t="s">
        <v>245</v>
      </c>
      <c r="F172" s="32" t="n">
        <v>71</v>
      </c>
      <c r="G172" s="31" t="s">
        <v>98</v>
      </c>
      <c r="H172" s="31" t="n">
        <v>2</v>
      </c>
      <c r="I172" s="31" t="s">
        <v>295</v>
      </c>
      <c r="J172" s="29"/>
      <c r="K172" s="29" t="s">
        <v>1425</v>
      </c>
      <c r="L172" s="32" t="n">
        <v>9</v>
      </c>
      <c r="M172" s="33" t="s">
        <v>1426</v>
      </c>
      <c r="N172" s="34" t="n">
        <v>92300</v>
      </c>
      <c r="O172" s="35" t="s">
        <v>298</v>
      </c>
      <c r="P172" s="36" t="s">
        <v>1427</v>
      </c>
      <c r="Q172" s="36" t="n">
        <v>4</v>
      </c>
      <c r="R172" s="32" t="n">
        <v>59</v>
      </c>
      <c r="S172" s="32" t="n">
        <v>8</v>
      </c>
      <c r="T172" s="32"/>
      <c r="U172" s="32"/>
      <c r="V172" s="37"/>
      <c r="W172" s="32" t="n">
        <v>4</v>
      </c>
      <c r="X172" s="34"/>
      <c r="Y172" s="34"/>
      <c r="Z172" s="32"/>
      <c r="AA172" s="32" t="s">
        <v>1428</v>
      </c>
      <c r="AB172" s="32" t="s">
        <v>1429</v>
      </c>
      <c r="AC172" s="38" t="str">
        <f aca="false">HYPERLINK("https://biocodex6--c.vf.force.com/0014L00000KFuiUQAT", "PARTOUCHE ELIE")</f>
        <v>PARTOUCHE ELIE</v>
      </c>
      <c r="AD172" s="38" t="str">
        <f aca="false">HYPERLINK("https://annuairesante.ameli.fr/professionnels-de-sante/recherche/fiche-detaillee-CbA1kzAzNDK2.html", "PARTOUCHE ELIE")</f>
        <v>PARTOUCHE ELIE</v>
      </c>
      <c r="AE172" s="39"/>
      <c r="AF172" s="40"/>
      <c r="AG172" s="41"/>
      <c r="AH172" s="32"/>
      <c r="AI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XEY172" s="27"/>
      <c r="XEZ172" s="27"/>
      <c r="XFA172" s="27"/>
      <c r="XFB172" s="27"/>
      <c r="XFC172" s="27"/>
      <c r="XFD172" s="27"/>
    </row>
    <row r="173" s="42" customFormat="true" ht="14.15" hidden="false" customHeight="true" outlineLevel="0" collapsed="false">
      <c r="A173" s="28" t="s">
        <v>1430</v>
      </c>
      <c r="B173" s="29" t="s">
        <v>1275</v>
      </c>
      <c r="C173" s="29" t="s">
        <v>1431</v>
      </c>
      <c r="D173" s="30" t="s">
        <v>172</v>
      </c>
      <c r="E173" s="30" t="s">
        <v>1432</v>
      </c>
      <c r="F173" s="32" t="n">
        <v>50</v>
      </c>
      <c r="G173" s="31"/>
      <c r="H173" s="31" t="n">
        <v>1</v>
      </c>
      <c r="I173" s="31" t="s">
        <v>572</v>
      </c>
      <c r="J173" s="29"/>
      <c r="K173" s="29" t="s">
        <v>1433</v>
      </c>
      <c r="L173" s="32" t="n">
        <v>21</v>
      </c>
      <c r="M173" s="33" t="s">
        <v>1434</v>
      </c>
      <c r="N173" s="34" t="n">
        <v>75008</v>
      </c>
      <c r="O173" s="35" t="s">
        <v>55</v>
      </c>
      <c r="P173" s="36" t="s">
        <v>1435</v>
      </c>
      <c r="Q173" s="36" t="n">
        <v>1</v>
      </c>
      <c r="R173" s="32" t="n">
        <v>55</v>
      </c>
      <c r="S173" s="32" t="n">
        <v>8</v>
      </c>
      <c r="T173" s="43" t="s">
        <v>316</v>
      </c>
      <c r="U173" s="32"/>
      <c r="V173" s="37"/>
      <c r="W173" s="32"/>
      <c r="X173" s="34"/>
      <c r="Y173" s="34"/>
      <c r="Z173" s="32"/>
      <c r="AA173" s="32" t="s">
        <v>1436</v>
      </c>
      <c r="AB173" s="32"/>
      <c r="AC173" s="38" t="str">
        <f aca="false">HYPERLINK("https://biocodex6--c.vf.force.com/0014L00000KFehvQAD", "CHEMLA STEPHANE")</f>
        <v>CHEMLA STEPHANE</v>
      </c>
      <c r="AD173" s="38"/>
      <c r="AE173" s="39"/>
      <c r="AF173" s="40"/>
      <c r="AG173" s="41"/>
      <c r="AH173" s="32"/>
      <c r="AI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XEY173" s="27"/>
      <c r="XEZ173" s="27"/>
      <c r="XFA173" s="27"/>
      <c r="XFB173" s="27"/>
      <c r="XFC173" s="27"/>
      <c r="XFD173" s="27"/>
    </row>
    <row r="174" s="42" customFormat="true" ht="14.15" hidden="false" customHeight="true" outlineLevel="0" collapsed="false">
      <c r="A174" s="28" t="s">
        <v>1437</v>
      </c>
      <c r="B174" s="29" t="s">
        <v>1438</v>
      </c>
      <c r="C174" s="29" t="s">
        <v>1439</v>
      </c>
      <c r="D174" s="30" t="s">
        <v>50</v>
      </c>
      <c r="E174" s="31"/>
      <c r="F174" s="32" t="n">
        <v>35</v>
      </c>
      <c r="G174" s="31" t="s">
        <v>98</v>
      </c>
      <c r="H174" s="31" t="n">
        <v>1</v>
      </c>
      <c r="I174" s="31" t="s">
        <v>119</v>
      </c>
      <c r="J174" s="29"/>
      <c r="K174" s="29" t="s">
        <v>144</v>
      </c>
      <c r="L174" s="32" t="n">
        <v>19</v>
      </c>
      <c r="M174" s="33" t="s">
        <v>145</v>
      </c>
      <c r="N174" s="34" t="n">
        <v>75007</v>
      </c>
      <c r="O174" s="35" t="s">
        <v>55</v>
      </c>
      <c r="P174" s="36" t="s">
        <v>1440</v>
      </c>
      <c r="Q174" s="36" t="n">
        <v>3</v>
      </c>
      <c r="R174" s="32"/>
      <c r="S174" s="32" t="n">
        <v>8</v>
      </c>
      <c r="T174" s="32"/>
      <c r="U174" s="32"/>
      <c r="V174" s="37"/>
      <c r="W174" s="32"/>
      <c r="X174" s="34"/>
      <c r="Y174" s="34"/>
      <c r="Z174" s="32"/>
      <c r="AA174" s="32" t="s">
        <v>1441</v>
      </c>
      <c r="AB174" s="32" t="s">
        <v>1442</v>
      </c>
      <c r="AC174" s="38" t="str">
        <f aca="false">HYPERLINK("https://biocodex6--c.vf.force.com/0014L00000kRGfaQAG", "BONET JULIE")</f>
        <v>BONET JULIE</v>
      </c>
      <c r="AD174" s="38" t="str">
        <f aca="false">HYPERLINK("https://annuairesante.ameli.fr/professionnels-de-sante/recherche/fiche-detaillee-B7c1kzM5NTa6.html", "BONET JULIE")</f>
        <v>BONET JULIE</v>
      </c>
      <c r="AE174" s="39" t="n">
        <v>45314.5416666667</v>
      </c>
      <c r="AF174" s="40"/>
      <c r="AG174" s="41" t="s">
        <v>69</v>
      </c>
      <c r="AH174" s="32" t="s">
        <v>70</v>
      </c>
      <c r="AI174" s="32"/>
      <c r="AL174" s="43" t="s">
        <v>1067</v>
      </c>
      <c r="AM174" s="43" t="s">
        <v>1443</v>
      </c>
      <c r="AN174" s="43" t="s">
        <v>1444</v>
      </c>
      <c r="AO174" s="43" t="s">
        <v>1445</v>
      </c>
      <c r="AP174" s="43" t="s">
        <v>1446</v>
      </c>
      <c r="AQ174" s="43" t="s">
        <v>924</v>
      </c>
      <c r="AR174" s="43" t="s">
        <v>1444</v>
      </c>
      <c r="AS174" s="43" t="s">
        <v>1445</v>
      </c>
      <c r="AT174" s="43" t="s">
        <v>1446</v>
      </c>
      <c r="AU174" s="43" t="s">
        <v>924</v>
      </c>
      <c r="XEY174" s="27"/>
      <c r="XEZ174" s="27"/>
      <c r="XFA174" s="27"/>
      <c r="XFB174" s="27"/>
      <c r="XFC174" s="27"/>
      <c r="XFD174" s="27"/>
    </row>
    <row r="175" s="42" customFormat="true" ht="14.15" hidden="false" customHeight="true" outlineLevel="0" collapsed="false">
      <c r="A175" s="28" t="s">
        <v>1447</v>
      </c>
      <c r="B175" s="29" t="s">
        <v>1396</v>
      </c>
      <c r="C175" s="29" t="s">
        <v>1448</v>
      </c>
      <c r="D175" s="30" t="s">
        <v>50</v>
      </c>
      <c r="E175" s="30" t="s">
        <v>344</v>
      </c>
      <c r="F175" s="32" t="n">
        <v>35</v>
      </c>
      <c r="G175" s="31" t="s">
        <v>98</v>
      </c>
      <c r="H175" s="31" t="n">
        <v>1</v>
      </c>
      <c r="I175" s="31" t="s">
        <v>435</v>
      </c>
      <c r="J175" s="29"/>
      <c r="K175" s="29" t="s">
        <v>1449</v>
      </c>
      <c r="L175" s="32" t="n">
        <v>14</v>
      </c>
      <c r="M175" s="33" t="s">
        <v>1450</v>
      </c>
      <c r="N175" s="34" t="n">
        <v>75016</v>
      </c>
      <c r="O175" s="35" t="s">
        <v>55</v>
      </c>
      <c r="P175" s="36" t="s">
        <v>1451</v>
      </c>
      <c r="Q175" s="36" t="n">
        <v>1</v>
      </c>
      <c r="R175" s="32"/>
      <c r="S175" s="32" t="n">
        <v>8</v>
      </c>
      <c r="T175" s="32"/>
      <c r="U175" s="32"/>
      <c r="V175" s="37"/>
      <c r="W175" s="32"/>
      <c r="X175" s="34"/>
      <c r="Y175" s="34"/>
      <c r="Z175" s="32"/>
      <c r="AA175" s="32" t="s">
        <v>1452</v>
      </c>
      <c r="AB175" s="32" t="s">
        <v>1453</v>
      </c>
      <c r="AC175" s="38" t="str">
        <f aca="false">HYPERLINK("https://biocodex6--c.vf.force.com/0014L00000KGETzQAP", "GANEM ROMAIN")</f>
        <v>GANEM ROMAIN</v>
      </c>
      <c r="AD175" s="38" t="str">
        <f aca="false">HYPERLINK("https://annuairesante.ameli.fr/professionnels-de-sante/recherche/fiche-detaillee-B7c1kzMwNTO7.html", "GANEM ROMAIN")</f>
        <v>GANEM ROMAIN</v>
      </c>
      <c r="AE175" s="39"/>
      <c r="AF175" s="40"/>
      <c r="AG175" s="41"/>
      <c r="AH175" s="32"/>
      <c r="AI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XEY175" s="27"/>
      <c r="XEZ175" s="27"/>
      <c r="XFA175" s="27"/>
      <c r="XFB175" s="27"/>
      <c r="XFC175" s="27"/>
      <c r="XFD175" s="27"/>
    </row>
    <row r="176" s="42" customFormat="true" ht="14.15" hidden="false" customHeight="true" outlineLevel="0" collapsed="false">
      <c r="A176" s="28" t="s">
        <v>1454</v>
      </c>
      <c r="B176" s="29" t="s">
        <v>1455</v>
      </c>
      <c r="C176" s="29" t="s">
        <v>1456</v>
      </c>
      <c r="D176" s="30" t="s">
        <v>50</v>
      </c>
      <c r="E176" s="30" t="s">
        <v>1432</v>
      </c>
      <c r="F176" s="32" t="n">
        <v>36</v>
      </c>
      <c r="G176" s="31" t="s">
        <v>98</v>
      </c>
      <c r="H176" s="31" t="n">
        <v>1</v>
      </c>
      <c r="I176" s="31" t="s">
        <v>295</v>
      </c>
      <c r="J176" s="29"/>
      <c r="K176" s="29" t="s">
        <v>296</v>
      </c>
      <c r="L176" s="32" t="n">
        <v>29</v>
      </c>
      <c r="M176" s="33" t="s">
        <v>297</v>
      </c>
      <c r="N176" s="34" t="n">
        <v>92300</v>
      </c>
      <c r="O176" s="35" t="s">
        <v>298</v>
      </c>
      <c r="P176" s="36" t="s">
        <v>299</v>
      </c>
      <c r="Q176" s="36" t="n">
        <v>2</v>
      </c>
      <c r="R176" s="32"/>
      <c r="S176" s="32" t="n">
        <v>8</v>
      </c>
      <c r="T176" s="32"/>
      <c r="U176" s="32"/>
      <c r="V176" s="37"/>
      <c r="W176" s="32"/>
      <c r="X176" s="34"/>
      <c r="Y176" s="34"/>
      <c r="Z176" s="32"/>
      <c r="AA176" s="32" t="s">
        <v>1457</v>
      </c>
      <c r="AB176" s="32" t="s">
        <v>1458</v>
      </c>
      <c r="AC176" s="38" t="str">
        <f aca="false">HYPERLINK("https://biocodex6--c.vf.force.com/0014L00000KJ73YQAT", "CHEMLA PERETZ MYRIAM")</f>
        <v>CHEMLA PERETZ MYRIAM</v>
      </c>
      <c r="AD176" s="38" t="str">
        <f aca="false">HYPERLINK("https://annuairesante.ameli.fr/professionnels-de-sante/recherche/fiche-detaillee-CbA1kjY2OTO0.html", "CHEMLA PERETZ MYRIAM")</f>
        <v>CHEMLA PERETZ MYRIAM</v>
      </c>
      <c r="AE176" s="39"/>
      <c r="AF176" s="40"/>
      <c r="AG176" s="41"/>
      <c r="AH176" s="32"/>
      <c r="AI176" s="32"/>
      <c r="AL176" s="43" t="s">
        <v>1301</v>
      </c>
      <c r="AM176" s="43" t="s">
        <v>476</v>
      </c>
      <c r="AN176" s="43" t="s">
        <v>1301</v>
      </c>
      <c r="AO176" s="43" t="s">
        <v>476</v>
      </c>
      <c r="AP176" s="43" t="s">
        <v>1301</v>
      </c>
      <c r="AQ176" s="43" t="s">
        <v>476</v>
      </c>
      <c r="AR176" s="43" t="s">
        <v>1301</v>
      </c>
      <c r="AS176" s="43" t="s">
        <v>476</v>
      </c>
      <c r="AT176" s="43" t="s">
        <v>1301</v>
      </c>
      <c r="AU176" s="43" t="s">
        <v>262</v>
      </c>
      <c r="XEY176" s="27"/>
      <c r="XEZ176" s="27"/>
      <c r="XFA176" s="27"/>
      <c r="XFB176" s="27"/>
      <c r="XFC176" s="27"/>
      <c r="XFD176" s="27"/>
    </row>
    <row r="177" s="42" customFormat="true" ht="14.15" hidden="false" customHeight="true" outlineLevel="0" collapsed="false">
      <c r="A177" s="28" t="s">
        <v>1459</v>
      </c>
      <c r="B177" s="29" t="s">
        <v>1460</v>
      </c>
      <c r="C177" s="29" t="s">
        <v>1461</v>
      </c>
      <c r="D177" s="30" t="s">
        <v>244</v>
      </c>
      <c r="E177" s="30" t="s">
        <v>245</v>
      </c>
      <c r="F177" s="32" t="n">
        <v>34</v>
      </c>
      <c r="G177" s="31"/>
      <c r="H177" s="31" t="n">
        <v>1</v>
      </c>
      <c r="I177" s="31" t="s">
        <v>77</v>
      </c>
      <c r="J177" s="29" t="s">
        <v>246</v>
      </c>
      <c r="K177" s="29" t="s">
        <v>247</v>
      </c>
      <c r="L177" s="32" t="n">
        <v>36</v>
      </c>
      <c r="M177" s="33" t="s">
        <v>248</v>
      </c>
      <c r="N177" s="34" t="n">
        <v>92200</v>
      </c>
      <c r="O177" s="35" t="s">
        <v>81</v>
      </c>
      <c r="P177" s="36" t="s">
        <v>614</v>
      </c>
      <c r="Q177" s="36" t="n">
        <v>49</v>
      </c>
      <c r="R177" s="32"/>
      <c r="S177" s="32" t="n">
        <v>8</v>
      </c>
      <c r="T177" s="32"/>
      <c r="U177" s="32"/>
      <c r="V177" s="37"/>
      <c r="W177" s="32" t="n">
        <v>3</v>
      </c>
      <c r="X177" s="34"/>
      <c r="Y177" s="34" t="n">
        <v>3</v>
      </c>
      <c r="Z177" s="32"/>
      <c r="AA177" s="32" t="s">
        <v>1462</v>
      </c>
      <c r="AB177" s="32"/>
      <c r="AC177" s="38" t="str">
        <f aca="false">HYPERLINK("https://biocodex6--c.vf.force.com/0014L00000KGEYSQA5", "PROUHEZE AUDREY")</f>
        <v>PROUHEZE AUDREY</v>
      </c>
      <c r="AD177" s="38"/>
      <c r="AE177" s="39"/>
      <c r="AF177" s="40"/>
      <c r="AG177" s="41"/>
      <c r="AH177" s="32"/>
      <c r="AI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XEY177" s="27"/>
      <c r="XEZ177" s="27"/>
      <c r="XFA177" s="27"/>
      <c r="XFB177" s="27"/>
      <c r="XFC177" s="27"/>
      <c r="XFD177" s="27"/>
    </row>
    <row r="178" s="42" customFormat="true" ht="14.15" hidden="false" customHeight="true" outlineLevel="0" collapsed="false">
      <c r="A178" s="28" t="s">
        <v>1463</v>
      </c>
      <c r="B178" s="29" t="s">
        <v>1464</v>
      </c>
      <c r="C178" s="29" t="s">
        <v>1465</v>
      </c>
      <c r="D178" s="30" t="s">
        <v>50</v>
      </c>
      <c r="E178" s="30" t="s">
        <v>76</v>
      </c>
      <c r="F178" s="32" t="n">
        <v>59</v>
      </c>
      <c r="G178" s="31" t="s">
        <v>1466</v>
      </c>
      <c r="H178" s="31" t="n">
        <v>2</v>
      </c>
      <c r="I178" s="31" t="s">
        <v>99</v>
      </c>
      <c r="J178" s="29"/>
      <c r="K178" s="29" t="s">
        <v>334</v>
      </c>
      <c r="L178" s="32" t="n">
        <v>65</v>
      </c>
      <c r="M178" s="33" t="s">
        <v>186</v>
      </c>
      <c r="N178" s="34" t="n">
        <v>75015</v>
      </c>
      <c r="O178" s="35" t="s">
        <v>55</v>
      </c>
      <c r="P178" s="36" t="s">
        <v>1467</v>
      </c>
      <c r="Q178" s="36" t="n">
        <v>2</v>
      </c>
      <c r="R178" s="32" t="n">
        <v>414</v>
      </c>
      <c r="S178" s="32" t="n">
        <v>7</v>
      </c>
      <c r="T178" s="32"/>
      <c r="U178" s="32"/>
      <c r="V178" s="37"/>
      <c r="W178" s="32"/>
      <c r="X178" s="34"/>
      <c r="Y178" s="34"/>
      <c r="Z178" s="32"/>
      <c r="AA178" s="32" t="s">
        <v>1468</v>
      </c>
      <c r="AB178" s="32" t="s">
        <v>1469</v>
      </c>
      <c r="AC178" s="38" t="str">
        <f aca="false">HYPERLINK("https://biocodex6--c.vf.force.com/0014L00000KFWsRQAX", "CLAVERO JOSE")</f>
        <v>CLAVERO JOSE</v>
      </c>
      <c r="AD178" s="38" t="str">
        <f aca="false">HYPERLINK("https://annuairesante.ameli.fr/professionnels-de-sante/recherche/fiche-detaillee-B7c1lTI4MzK2.html", "CLAVERO JOSE")</f>
        <v>CLAVERO JOSE</v>
      </c>
      <c r="AE178" s="39"/>
      <c r="AF178" s="40"/>
      <c r="AG178" s="41"/>
      <c r="AH178" s="32"/>
      <c r="AI178" s="32"/>
      <c r="AL178" s="43" t="s">
        <v>1470</v>
      </c>
      <c r="AM178" s="32"/>
      <c r="AN178" s="43" t="s">
        <v>1470</v>
      </c>
      <c r="AO178" s="43" t="s">
        <v>534</v>
      </c>
      <c r="AP178" s="43" t="s">
        <v>1470</v>
      </c>
      <c r="AQ178" s="43" t="s">
        <v>534</v>
      </c>
      <c r="AR178" s="43" t="s">
        <v>1470</v>
      </c>
      <c r="AS178" s="43" t="s">
        <v>534</v>
      </c>
      <c r="AT178" s="43" t="s">
        <v>1470</v>
      </c>
      <c r="AU178" s="43" t="s">
        <v>534</v>
      </c>
      <c r="XEY178" s="27"/>
      <c r="XEZ178" s="27"/>
      <c r="XFA178" s="27"/>
      <c r="XFB178" s="27"/>
      <c r="XFC178" s="27"/>
      <c r="XFD178" s="27"/>
    </row>
    <row r="179" s="42" customFormat="true" ht="14.15" hidden="false" customHeight="true" outlineLevel="0" collapsed="false">
      <c r="A179" s="28" t="s">
        <v>1471</v>
      </c>
      <c r="B179" s="29" t="s">
        <v>151</v>
      </c>
      <c r="C179" s="29" t="s">
        <v>1472</v>
      </c>
      <c r="D179" s="30" t="s">
        <v>50</v>
      </c>
      <c r="E179" s="30" t="s">
        <v>916</v>
      </c>
      <c r="F179" s="32" t="n">
        <v>63</v>
      </c>
      <c r="G179" s="31" t="s">
        <v>98</v>
      </c>
      <c r="H179" s="31" t="n">
        <v>1</v>
      </c>
      <c r="I179" s="31" t="s">
        <v>99</v>
      </c>
      <c r="J179" s="29"/>
      <c r="K179" s="29" t="s">
        <v>1473</v>
      </c>
      <c r="L179" s="32" t="n">
        <v>23</v>
      </c>
      <c r="M179" s="33" t="s">
        <v>1474</v>
      </c>
      <c r="N179" s="34" t="n">
        <v>75015</v>
      </c>
      <c r="O179" s="35" t="s">
        <v>55</v>
      </c>
      <c r="P179" s="36" t="s">
        <v>1475</v>
      </c>
      <c r="Q179" s="36" t="n">
        <v>1</v>
      </c>
      <c r="R179" s="32" t="n">
        <v>386</v>
      </c>
      <c r="S179" s="32" t="n">
        <v>7</v>
      </c>
      <c r="T179" s="32"/>
      <c r="U179" s="32"/>
      <c r="V179" s="37"/>
      <c r="W179" s="32"/>
      <c r="X179" s="34"/>
      <c r="Y179" s="34"/>
      <c r="Z179" s="32"/>
      <c r="AA179" s="32" t="s">
        <v>1476</v>
      </c>
      <c r="AB179" s="32" t="s">
        <v>1477</v>
      </c>
      <c r="AC179" s="38" t="str">
        <f aca="false">HYPERLINK("https://biocodex6--c.vf.force.com/0014L00000KFqGjQAL", "MAYER FREDERIC")</f>
        <v>MAYER FREDERIC</v>
      </c>
      <c r="AD179" s="38" t="str">
        <f aca="false">HYPERLINK("https://annuairesante.ameli.fr/professionnels-de-sante/recherche/fiche-detaillee-B7c1lzU1NDKz.html", "MAYER FREDERIC")</f>
        <v>MAYER FREDERIC</v>
      </c>
      <c r="AE179" s="39"/>
      <c r="AF179" s="40"/>
      <c r="AG179" s="41"/>
      <c r="AH179" s="32"/>
      <c r="AI179" s="32"/>
      <c r="AL179" s="43" t="s">
        <v>338</v>
      </c>
      <c r="AM179" s="43" t="s">
        <v>661</v>
      </c>
      <c r="AN179" s="43" t="s">
        <v>338</v>
      </c>
      <c r="AO179" s="43" t="s">
        <v>661</v>
      </c>
      <c r="AP179" s="43" t="s">
        <v>338</v>
      </c>
      <c r="AQ179" s="43" t="s">
        <v>661</v>
      </c>
      <c r="AR179" s="43" t="s">
        <v>966</v>
      </c>
      <c r="AS179" s="43" t="s">
        <v>661</v>
      </c>
      <c r="AT179" s="43" t="s">
        <v>338</v>
      </c>
      <c r="AU179" s="43" t="s">
        <v>661</v>
      </c>
      <c r="XEY179" s="27"/>
      <c r="XEZ179" s="27"/>
      <c r="XFA179" s="27"/>
      <c r="XFB179" s="27"/>
      <c r="XFC179" s="27"/>
      <c r="XFD179" s="27"/>
    </row>
    <row r="180" s="42" customFormat="true" ht="14.15" hidden="false" customHeight="true" outlineLevel="0" collapsed="false">
      <c r="A180" s="28" t="s">
        <v>1478</v>
      </c>
      <c r="B180" s="29" t="s">
        <v>1479</v>
      </c>
      <c r="C180" s="29" t="s">
        <v>1480</v>
      </c>
      <c r="D180" s="30" t="s">
        <v>50</v>
      </c>
      <c r="E180" s="31"/>
      <c r="F180" s="32" t="n">
        <v>76</v>
      </c>
      <c r="G180" s="31" t="s">
        <v>98</v>
      </c>
      <c r="H180" s="31" t="n">
        <v>2</v>
      </c>
      <c r="I180" s="31" t="s">
        <v>295</v>
      </c>
      <c r="J180" s="29"/>
      <c r="K180" s="29" t="s">
        <v>1481</v>
      </c>
      <c r="L180" s="32" t="n">
        <v>4</v>
      </c>
      <c r="M180" s="33" t="s">
        <v>1482</v>
      </c>
      <c r="N180" s="34" t="n">
        <v>92300</v>
      </c>
      <c r="O180" s="35" t="s">
        <v>298</v>
      </c>
      <c r="P180" s="36" t="s">
        <v>1483</v>
      </c>
      <c r="Q180" s="36" t="n">
        <v>1</v>
      </c>
      <c r="R180" s="32" t="n">
        <v>362</v>
      </c>
      <c r="S180" s="32" t="n">
        <v>7</v>
      </c>
      <c r="T180" s="32"/>
      <c r="U180" s="32"/>
      <c r="V180" s="37"/>
      <c r="W180" s="32"/>
      <c r="X180" s="34"/>
      <c r="Y180" s="34"/>
      <c r="Z180" s="32"/>
      <c r="AA180" s="32" t="s">
        <v>1484</v>
      </c>
      <c r="AB180" s="32" t="s">
        <v>1485</v>
      </c>
      <c r="AC180" s="38" t="str">
        <f aca="false">HYPERLINK("https://biocodex6--c.vf.force.com/0014L00000KFj2tQAD", "HOLLOS JUDITH")</f>
        <v>HOLLOS JUDITH</v>
      </c>
      <c r="AD180" s="38" t="str">
        <f aca="false">HYPERLINK("https://annuairesante.ameli.fr/professionnels-de-sante/recherche/fiche-detaillee-CbA1kjE5MTe2.html", "HOLLOS JUDITH")</f>
        <v>HOLLOS JUDITH</v>
      </c>
      <c r="AE180" s="39" t="n">
        <v>45219.6041666667</v>
      </c>
      <c r="AF180" s="40"/>
      <c r="AG180" s="41"/>
      <c r="AH180" s="32"/>
      <c r="AI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XEY180" s="27"/>
      <c r="XEZ180" s="27"/>
      <c r="XFA180" s="27"/>
      <c r="XFB180" s="27"/>
      <c r="XFC180" s="27"/>
      <c r="XFD180" s="27"/>
    </row>
    <row r="181" s="42" customFormat="true" ht="14.15" hidden="false" customHeight="true" outlineLevel="0" collapsed="false">
      <c r="A181" s="28" t="s">
        <v>1486</v>
      </c>
      <c r="B181" s="29" t="s">
        <v>1101</v>
      </c>
      <c r="C181" s="29" t="s">
        <v>1487</v>
      </c>
      <c r="D181" s="30" t="s">
        <v>244</v>
      </c>
      <c r="E181" s="30" t="s">
        <v>741</v>
      </c>
      <c r="F181" s="32" t="n">
        <v>65</v>
      </c>
      <c r="G181" s="31" t="s">
        <v>215</v>
      </c>
      <c r="H181" s="31" t="n">
        <v>2</v>
      </c>
      <c r="I181" s="31" t="s">
        <v>62</v>
      </c>
      <c r="J181" s="29"/>
      <c r="K181" s="29" t="s">
        <v>1488</v>
      </c>
      <c r="L181" s="32" t="n">
        <v>11</v>
      </c>
      <c r="M181" s="33" t="s">
        <v>1489</v>
      </c>
      <c r="N181" s="34" t="n">
        <v>75017</v>
      </c>
      <c r="O181" s="35" t="s">
        <v>55</v>
      </c>
      <c r="P181" s="36" t="s">
        <v>1490</v>
      </c>
      <c r="Q181" s="36" t="n">
        <v>1</v>
      </c>
      <c r="R181" s="32" t="n">
        <v>311</v>
      </c>
      <c r="S181" s="32" t="n">
        <v>7</v>
      </c>
      <c r="T181" s="32"/>
      <c r="U181" s="32" t="n">
        <v>3</v>
      </c>
      <c r="V181" s="37" t="n">
        <v>3</v>
      </c>
      <c r="W181" s="32" t="n">
        <v>3</v>
      </c>
      <c r="X181" s="34" t="n">
        <v>1</v>
      </c>
      <c r="Y181" s="34" t="n">
        <v>2</v>
      </c>
      <c r="Z181" s="32" t="s">
        <v>1491</v>
      </c>
      <c r="AA181" s="32" t="s">
        <v>1492</v>
      </c>
      <c r="AB181" s="32" t="s">
        <v>1493</v>
      </c>
      <c r="AC181" s="38" t="str">
        <f aca="false">HYPERLINK("https://biocodex6--c.vf.force.com/0014L00000KFrRjQAL", "MERIGNARGUES ISABELLE")</f>
        <v>MERIGNARGUES ISABELLE</v>
      </c>
      <c r="AD181" s="38" t="str">
        <f aca="false">HYPERLINK("https://annuairesante.ameli.fr/professionnels-de-sante/recherche/fiche-detaillee-B7c1lzY4MzOw.html", "MERIGNARGUES ISABELLE")</f>
        <v>MERIGNARGUES ISABELLE</v>
      </c>
      <c r="AE181" s="39" t="n">
        <v>45281.5208333333</v>
      </c>
      <c r="AF181" s="40" t="s">
        <v>1494</v>
      </c>
      <c r="AG181" s="41"/>
      <c r="AH181" s="32"/>
      <c r="AI181" s="32" t="s">
        <v>157</v>
      </c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XEY181" s="27"/>
      <c r="XEZ181" s="27"/>
      <c r="XFA181" s="27"/>
      <c r="XFB181" s="27"/>
      <c r="XFC181" s="27"/>
      <c r="XFD181" s="27"/>
    </row>
    <row r="182" s="42" customFormat="true" ht="14.15" hidden="false" customHeight="true" outlineLevel="0" collapsed="false">
      <c r="A182" s="28" t="s">
        <v>1495</v>
      </c>
      <c r="B182" s="29" t="s">
        <v>332</v>
      </c>
      <c r="C182" s="29" t="s">
        <v>1496</v>
      </c>
      <c r="D182" s="30" t="s">
        <v>50</v>
      </c>
      <c r="E182" s="31"/>
      <c r="F182" s="32" t="n">
        <v>60</v>
      </c>
      <c r="G182" s="31" t="s">
        <v>98</v>
      </c>
      <c r="H182" s="31" t="n">
        <v>1</v>
      </c>
      <c r="I182" s="31" t="s">
        <v>233</v>
      </c>
      <c r="J182" s="29"/>
      <c r="K182" s="29" t="s">
        <v>1497</v>
      </c>
      <c r="L182" s="32" t="n">
        <v>175</v>
      </c>
      <c r="M182" s="33" t="s">
        <v>1002</v>
      </c>
      <c r="N182" s="34" t="n">
        <v>75015</v>
      </c>
      <c r="O182" s="35" t="s">
        <v>55</v>
      </c>
      <c r="P182" s="36" t="s">
        <v>1498</v>
      </c>
      <c r="Q182" s="36" t="n">
        <v>2</v>
      </c>
      <c r="R182" s="32" t="n">
        <v>283</v>
      </c>
      <c r="S182" s="32" t="n">
        <v>7</v>
      </c>
      <c r="T182" s="32"/>
      <c r="U182" s="32"/>
      <c r="V182" s="37"/>
      <c r="W182" s="32"/>
      <c r="X182" s="34"/>
      <c r="Y182" s="34"/>
      <c r="Z182" s="36"/>
      <c r="AA182" s="32" t="s">
        <v>1499</v>
      </c>
      <c r="AB182" s="32" t="s">
        <v>1500</v>
      </c>
      <c r="AC182" s="38" t="str">
        <f aca="false">HYPERLINK("https://biocodex6--c.vf.force.com/0014L00000KFc6GQAT", "DUPUY CATHERINE")</f>
        <v>DUPUY CATHERINE</v>
      </c>
      <c r="AD182" s="38" t="str">
        <f aca="false">HYPERLINK("https://annuairesante.ameli.fr/professionnels-de-sante/recherche/fiche-detaillee-B7c1lDQ2MTWz.html", "DUPUY CATHERINE")</f>
        <v>DUPUY CATHERINE</v>
      </c>
      <c r="AE182" s="39"/>
      <c r="AF182" s="40"/>
      <c r="AG182" s="41"/>
      <c r="AH182" s="32" t="s">
        <v>179</v>
      </c>
      <c r="AI182" s="32"/>
      <c r="AL182" s="43" t="s">
        <v>85</v>
      </c>
      <c r="AM182" s="43" t="s">
        <v>518</v>
      </c>
      <c r="AN182" s="43" t="s">
        <v>85</v>
      </c>
      <c r="AO182" s="43" t="s">
        <v>137</v>
      </c>
      <c r="AP182" s="32"/>
      <c r="AQ182" s="32"/>
      <c r="AR182" s="43" t="s">
        <v>85</v>
      </c>
      <c r="AS182" s="43" t="s">
        <v>137</v>
      </c>
      <c r="AT182" s="43" t="s">
        <v>85</v>
      </c>
      <c r="AU182" s="43" t="s">
        <v>262</v>
      </c>
      <c r="XEY182" s="27"/>
      <c r="XEZ182" s="27"/>
      <c r="XFA182" s="27"/>
      <c r="XFB182" s="27"/>
      <c r="XFC182" s="27"/>
      <c r="XFD182" s="27"/>
    </row>
    <row r="183" s="42" customFormat="true" ht="14.15" hidden="false" customHeight="true" outlineLevel="0" collapsed="false">
      <c r="A183" s="28" t="s">
        <v>1501</v>
      </c>
      <c r="B183" s="29" t="s">
        <v>1502</v>
      </c>
      <c r="C183" s="29" t="s">
        <v>1503</v>
      </c>
      <c r="D183" s="30" t="s">
        <v>50</v>
      </c>
      <c r="E183" s="30" t="s">
        <v>386</v>
      </c>
      <c r="F183" s="32" t="n">
        <v>74</v>
      </c>
      <c r="G183" s="31" t="s">
        <v>215</v>
      </c>
      <c r="H183" s="31" t="n">
        <v>1</v>
      </c>
      <c r="I183" s="31" t="s">
        <v>197</v>
      </c>
      <c r="J183" s="29"/>
      <c r="K183" s="29" t="s">
        <v>1504</v>
      </c>
      <c r="L183" s="32" t="n">
        <v>6</v>
      </c>
      <c r="M183" s="33" t="s">
        <v>1505</v>
      </c>
      <c r="N183" s="34" t="n">
        <v>75017</v>
      </c>
      <c r="O183" s="35" t="s">
        <v>55</v>
      </c>
      <c r="P183" s="36" t="s">
        <v>1506</v>
      </c>
      <c r="Q183" s="36" t="n">
        <v>1</v>
      </c>
      <c r="R183" s="32" t="n">
        <v>234</v>
      </c>
      <c r="S183" s="32" t="n">
        <v>7</v>
      </c>
      <c r="T183" s="32"/>
      <c r="U183" s="32"/>
      <c r="V183" s="37"/>
      <c r="W183" s="32"/>
      <c r="X183" s="34"/>
      <c r="Y183" s="34"/>
      <c r="Z183" s="32"/>
      <c r="AA183" s="32" t="s">
        <v>1507</v>
      </c>
      <c r="AB183" s="32" t="s">
        <v>1508</v>
      </c>
      <c r="AC183" s="38" t="str">
        <f aca="false">HYPERLINK("https://biocodex6--c.vf.force.com/0014L00000KFQEyQAP", "ALLEMANDI JEAN LUC")</f>
        <v>ALLEMANDI JEAN LUC</v>
      </c>
      <c r="AD183" s="38" t="str">
        <f aca="false">HYPERLINK("https://annuairesante.ameli.fr/professionnels-de-sante/recherche/fiche-detaillee-B7c1lTI3MTux.html", "ALLEMANDI JEAN LUC")</f>
        <v>ALLEMANDI JEAN LUC</v>
      </c>
      <c r="AE183" s="39"/>
      <c r="AF183" s="40"/>
      <c r="AG183" s="41"/>
      <c r="AH183" s="32"/>
      <c r="AI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XEY183" s="27"/>
      <c r="XEZ183" s="27"/>
      <c r="XFA183" s="27"/>
      <c r="XFB183" s="27"/>
      <c r="XFC183" s="27"/>
      <c r="XFD183" s="27"/>
    </row>
    <row r="184" s="42" customFormat="true" ht="14.15" hidden="false" customHeight="true" outlineLevel="0" collapsed="false">
      <c r="A184" s="28" t="s">
        <v>1509</v>
      </c>
      <c r="B184" s="29" t="s">
        <v>1510</v>
      </c>
      <c r="C184" s="29" t="s">
        <v>1511</v>
      </c>
      <c r="D184" s="30" t="s">
        <v>75</v>
      </c>
      <c r="E184" s="31"/>
      <c r="F184" s="32" t="n">
        <v>40</v>
      </c>
      <c r="G184" s="31"/>
      <c r="H184" s="31" t="n">
        <v>2</v>
      </c>
      <c r="I184" s="31" t="s">
        <v>295</v>
      </c>
      <c r="J184" s="29" t="s">
        <v>489</v>
      </c>
      <c r="K184" s="29" t="s">
        <v>1183</v>
      </c>
      <c r="L184" s="32" t="n">
        <v>4</v>
      </c>
      <c r="M184" s="33" t="s">
        <v>297</v>
      </c>
      <c r="N184" s="34" t="n">
        <v>92300</v>
      </c>
      <c r="O184" s="35" t="s">
        <v>298</v>
      </c>
      <c r="P184" s="36" t="s">
        <v>1512</v>
      </c>
      <c r="Q184" s="36" t="n">
        <v>27</v>
      </c>
      <c r="R184" s="32" t="n">
        <v>230</v>
      </c>
      <c r="S184" s="32" t="n">
        <v>7</v>
      </c>
      <c r="T184" s="32"/>
      <c r="U184" s="32"/>
      <c r="V184" s="37" t="n">
        <v>2</v>
      </c>
      <c r="W184" s="32"/>
      <c r="X184" s="34"/>
      <c r="Y184" s="34"/>
      <c r="Z184" s="32"/>
      <c r="AA184" s="32" t="s">
        <v>1513</v>
      </c>
      <c r="AB184" s="32"/>
      <c r="AC184" s="38" t="str">
        <f aca="false">HYPERLINK("https://biocodex6--c.vf.force.com/0014L00000KG9mhQAD", "BOUAMOUD MOUNA")</f>
        <v>BOUAMOUD MOUNA</v>
      </c>
      <c r="AD184" s="38"/>
      <c r="AE184" s="39" t="n">
        <v>45246.6041666667</v>
      </c>
      <c r="AF184" s="40"/>
      <c r="AG184" s="41"/>
      <c r="AH184" s="32"/>
      <c r="AI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XEY184" s="27"/>
      <c r="XEZ184" s="27"/>
      <c r="XFA184" s="27"/>
      <c r="XFB184" s="27"/>
      <c r="XFC184" s="27"/>
      <c r="XFD184" s="27"/>
    </row>
    <row r="185" s="42" customFormat="true" ht="14.15" hidden="false" customHeight="true" outlineLevel="0" collapsed="false">
      <c r="A185" s="28" t="s">
        <v>1514</v>
      </c>
      <c r="B185" s="29" t="s">
        <v>685</v>
      </c>
      <c r="C185" s="29" t="s">
        <v>1515</v>
      </c>
      <c r="D185" s="30" t="s">
        <v>112</v>
      </c>
      <c r="E185" s="31"/>
      <c r="F185" s="32" t="n">
        <v>55</v>
      </c>
      <c r="G185" s="31" t="s">
        <v>98</v>
      </c>
      <c r="H185" s="31" t="n">
        <v>1</v>
      </c>
      <c r="I185" s="31" t="s">
        <v>99</v>
      </c>
      <c r="J185" s="29"/>
      <c r="K185" s="29" t="s">
        <v>1516</v>
      </c>
      <c r="L185" s="32" t="n">
        <v>354</v>
      </c>
      <c r="M185" s="33" t="s">
        <v>236</v>
      </c>
      <c r="N185" s="34" t="n">
        <v>75015</v>
      </c>
      <c r="O185" s="35" t="s">
        <v>55</v>
      </c>
      <c r="P185" s="36" t="s">
        <v>1517</v>
      </c>
      <c r="Q185" s="36" t="n">
        <v>1</v>
      </c>
      <c r="R185" s="32" t="n">
        <v>203</v>
      </c>
      <c r="S185" s="32" t="n">
        <v>7</v>
      </c>
      <c r="T185" s="32"/>
      <c r="U185" s="32" t="n">
        <v>3</v>
      </c>
      <c r="V185" s="37" t="n">
        <v>3</v>
      </c>
      <c r="W185" s="32" t="n">
        <v>3</v>
      </c>
      <c r="X185" s="34" t="n">
        <v>1</v>
      </c>
      <c r="Y185" s="34" t="n">
        <v>1</v>
      </c>
      <c r="Z185" s="32"/>
      <c r="AA185" s="32" t="s">
        <v>1518</v>
      </c>
      <c r="AB185" s="32" t="s">
        <v>1519</v>
      </c>
      <c r="AC185" s="38" t="str">
        <f aca="false">HYPERLINK("https://biocodex6--c.vf.force.com/0014L00000KFZWkQAP", "DUPUIS MURIEL")</f>
        <v>DUPUIS MURIEL</v>
      </c>
      <c r="AD185" s="38" t="str">
        <f aca="false">HYPERLINK("https://annuairesante.ameli.fr/professionnels-de-sante/recherche/fiche-detaillee-B7c1mzY0MDO3.html", "DUPUIS MURIEL")</f>
        <v>DUPUIS MURIEL</v>
      </c>
      <c r="AE185" s="39" t="n">
        <v>45351.4791666667</v>
      </c>
      <c r="AF185" s="40" t="s">
        <v>1520</v>
      </c>
      <c r="AG185" s="41"/>
      <c r="AH185" s="32"/>
      <c r="AI185" s="32"/>
      <c r="AL185" s="43" t="s">
        <v>657</v>
      </c>
      <c r="AM185" s="43" t="s">
        <v>534</v>
      </c>
      <c r="AN185" s="43" t="s">
        <v>657</v>
      </c>
      <c r="AO185" s="43" t="s">
        <v>534</v>
      </c>
      <c r="AP185" s="32"/>
      <c r="AQ185" s="43" t="s">
        <v>534</v>
      </c>
      <c r="AR185" s="43" t="s">
        <v>657</v>
      </c>
      <c r="AS185" s="43" t="s">
        <v>534</v>
      </c>
      <c r="AT185" s="43" t="s">
        <v>657</v>
      </c>
      <c r="AU185" s="43" t="s">
        <v>534</v>
      </c>
      <c r="XEY185" s="27"/>
      <c r="XEZ185" s="27"/>
      <c r="XFA185" s="27"/>
      <c r="XFB185" s="27"/>
      <c r="XFC185" s="27"/>
      <c r="XFD185" s="27"/>
    </row>
    <row r="186" s="42" customFormat="true" ht="14.15" hidden="false" customHeight="true" outlineLevel="0" collapsed="false">
      <c r="A186" s="28" t="s">
        <v>1521</v>
      </c>
      <c r="B186" s="29" t="s">
        <v>1522</v>
      </c>
      <c r="C186" s="29" t="s">
        <v>1523</v>
      </c>
      <c r="D186" s="30" t="s">
        <v>75</v>
      </c>
      <c r="E186" s="31"/>
      <c r="F186" s="32" t="n">
        <v>0</v>
      </c>
      <c r="G186" s="31"/>
      <c r="H186" s="31" t="n">
        <v>1</v>
      </c>
      <c r="I186" s="31" t="s">
        <v>99</v>
      </c>
      <c r="J186" s="29" t="s">
        <v>595</v>
      </c>
      <c r="K186" s="29" t="s">
        <v>596</v>
      </c>
      <c r="L186" s="32" t="n">
        <v>20</v>
      </c>
      <c r="M186" s="33" t="s">
        <v>597</v>
      </c>
      <c r="N186" s="34" t="n">
        <v>75015</v>
      </c>
      <c r="O186" s="35" t="s">
        <v>55</v>
      </c>
      <c r="P186" s="36" t="s">
        <v>673</v>
      </c>
      <c r="Q186" s="36" t="n">
        <v>90</v>
      </c>
      <c r="R186" s="32" t="n">
        <v>202</v>
      </c>
      <c r="S186" s="32" t="n">
        <v>7</v>
      </c>
      <c r="T186" s="32"/>
      <c r="U186" s="32"/>
      <c r="V186" s="37"/>
      <c r="W186" s="32"/>
      <c r="X186" s="34"/>
      <c r="Y186" s="34"/>
      <c r="Z186" s="32"/>
      <c r="AA186" s="32" t="s">
        <v>1524</v>
      </c>
      <c r="AB186" s="32"/>
      <c r="AC186" s="38" t="str">
        <f aca="false">HYPERLINK("https://biocodex6--c.vf.force.com/0014L00000KGMUXQA5", "AL RIDA AIDIBI ALI")</f>
        <v>AL RIDA AIDIBI ALI</v>
      </c>
      <c r="AD186" s="38"/>
      <c r="AE186" s="39"/>
      <c r="AF186" s="40"/>
      <c r="AG186" s="41"/>
      <c r="AH186" s="32"/>
      <c r="AI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XEY186" s="27"/>
      <c r="XEZ186" s="27"/>
      <c r="XFA186" s="27"/>
      <c r="XFB186" s="27"/>
      <c r="XFC186" s="27"/>
      <c r="XFD186" s="27"/>
    </row>
    <row r="187" s="42" customFormat="true" ht="14.15" hidden="false" customHeight="true" outlineLevel="0" collapsed="false">
      <c r="A187" s="28" t="s">
        <v>1525</v>
      </c>
      <c r="B187" s="29" t="s">
        <v>1526</v>
      </c>
      <c r="C187" s="29" t="s">
        <v>1527</v>
      </c>
      <c r="D187" s="30" t="s">
        <v>50</v>
      </c>
      <c r="E187" s="31"/>
      <c r="F187" s="32" t="n">
        <v>46</v>
      </c>
      <c r="G187" s="31"/>
      <c r="H187" s="31" t="n">
        <v>1</v>
      </c>
      <c r="I187" s="31" t="s">
        <v>77</v>
      </c>
      <c r="J187" s="29" t="s">
        <v>1528</v>
      </c>
      <c r="K187" s="29" t="s">
        <v>1529</v>
      </c>
      <c r="L187" s="32" t="n">
        <v>58</v>
      </c>
      <c r="M187" s="33" t="s">
        <v>1530</v>
      </c>
      <c r="N187" s="34" t="n">
        <v>92200</v>
      </c>
      <c r="O187" s="35" t="s">
        <v>81</v>
      </c>
      <c r="P187" s="36" t="s">
        <v>1531</v>
      </c>
      <c r="Q187" s="36" t="n">
        <v>6</v>
      </c>
      <c r="R187" s="32" t="n">
        <v>201</v>
      </c>
      <c r="S187" s="32" t="n">
        <v>7</v>
      </c>
      <c r="T187" s="32"/>
      <c r="U187" s="32"/>
      <c r="V187" s="37"/>
      <c r="W187" s="32"/>
      <c r="X187" s="34"/>
      <c r="Y187" s="34"/>
      <c r="Z187" s="32"/>
      <c r="AA187" s="32" t="s">
        <v>1532</v>
      </c>
      <c r="AB187" s="32"/>
      <c r="AC187" s="38" t="str">
        <f aca="false">HYPERLINK("https://biocodex6--c.vf.force.com/0014L00000KFjXlQAL", "QUITTELIER REGIS")</f>
        <v>QUITTELIER REGIS</v>
      </c>
      <c r="AD187" s="38"/>
      <c r="AE187" s="39"/>
      <c r="AF187" s="40"/>
      <c r="AG187" s="41"/>
      <c r="AH187" s="32"/>
      <c r="AI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XEY187" s="27"/>
      <c r="XEZ187" s="27"/>
      <c r="XFA187" s="27"/>
      <c r="XFB187" s="27"/>
      <c r="XFC187" s="27"/>
      <c r="XFD187" s="27"/>
    </row>
    <row r="188" s="42" customFormat="true" ht="14.15" hidden="false" customHeight="true" outlineLevel="0" collapsed="false">
      <c r="A188" s="28" t="s">
        <v>1533</v>
      </c>
      <c r="B188" s="29" t="s">
        <v>1534</v>
      </c>
      <c r="C188" s="29" t="s">
        <v>1535</v>
      </c>
      <c r="D188" s="30" t="s">
        <v>50</v>
      </c>
      <c r="E188" s="30" t="s">
        <v>255</v>
      </c>
      <c r="F188" s="32" t="n">
        <v>72</v>
      </c>
      <c r="G188" s="31"/>
      <c r="H188" s="31" t="n">
        <v>1</v>
      </c>
      <c r="I188" s="31" t="s">
        <v>77</v>
      </c>
      <c r="J188" s="29" t="s">
        <v>580</v>
      </c>
      <c r="K188" s="29" t="s">
        <v>581</v>
      </c>
      <c r="L188" s="32" t="n">
        <v>63</v>
      </c>
      <c r="M188" s="33" t="s">
        <v>80</v>
      </c>
      <c r="N188" s="34" t="n">
        <v>92200</v>
      </c>
      <c r="O188" s="35" t="s">
        <v>81</v>
      </c>
      <c r="P188" s="36" t="s">
        <v>1536</v>
      </c>
      <c r="Q188" s="36" t="n">
        <v>39</v>
      </c>
      <c r="R188" s="32" t="n">
        <v>201</v>
      </c>
      <c r="S188" s="32" t="n">
        <v>7</v>
      </c>
      <c r="T188" s="32"/>
      <c r="U188" s="32"/>
      <c r="V188" s="37"/>
      <c r="W188" s="32"/>
      <c r="X188" s="34"/>
      <c r="Y188" s="34"/>
      <c r="Z188" s="32"/>
      <c r="AA188" s="32" t="s">
        <v>1537</v>
      </c>
      <c r="AB188" s="32"/>
      <c r="AC188" s="38" t="str">
        <f aca="false">HYPERLINK("https://biocodex6--c.vf.force.com/0014L00000KFkihQAD", "KHAYAT GERARD")</f>
        <v>KHAYAT GERARD</v>
      </c>
      <c r="AD188" s="38"/>
      <c r="AE188" s="39"/>
      <c r="AF188" s="40"/>
      <c r="AG188" s="41"/>
      <c r="AH188" s="32"/>
      <c r="AI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XEY188" s="27"/>
      <c r="XEZ188" s="27"/>
      <c r="XFA188" s="27"/>
      <c r="XFB188" s="27"/>
      <c r="XFC188" s="27"/>
      <c r="XFD188" s="27"/>
    </row>
    <row r="189" s="42" customFormat="true" ht="14.15" hidden="false" customHeight="true" outlineLevel="0" collapsed="false">
      <c r="A189" s="28" t="s">
        <v>1538</v>
      </c>
      <c r="B189" s="29" t="s">
        <v>1539</v>
      </c>
      <c r="C189" s="29" t="s">
        <v>1540</v>
      </c>
      <c r="D189" s="30" t="s">
        <v>75</v>
      </c>
      <c r="E189" s="31"/>
      <c r="F189" s="32" t="n">
        <v>43</v>
      </c>
      <c r="G189" s="31" t="s">
        <v>215</v>
      </c>
      <c r="H189" s="31" t="n">
        <v>1</v>
      </c>
      <c r="I189" s="31" t="s">
        <v>62</v>
      </c>
      <c r="J189" s="29"/>
      <c r="K189" s="49" t="s">
        <v>917</v>
      </c>
      <c r="L189" s="32" t="n">
        <v>10</v>
      </c>
      <c r="M189" s="33" t="s">
        <v>918</v>
      </c>
      <c r="N189" s="34" t="n">
        <v>75017</v>
      </c>
      <c r="O189" s="35" t="s">
        <v>55</v>
      </c>
      <c r="P189" s="36" t="s">
        <v>919</v>
      </c>
      <c r="Q189" s="36" t="n">
        <v>2</v>
      </c>
      <c r="R189" s="32" t="n">
        <v>198</v>
      </c>
      <c r="S189" s="32" t="n">
        <v>7</v>
      </c>
      <c r="T189" s="32"/>
      <c r="U189" s="32" t="n">
        <v>3</v>
      </c>
      <c r="V189" s="37" t="n">
        <v>2</v>
      </c>
      <c r="W189" s="32" t="n">
        <v>3</v>
      </c>
      <c r="X189" s="34"/>
      <c r="Y189" s="34" t="n">
        <v>1</v>
      </c>
      <c r="Z189" s="32"/>
      <c r="AA189" s="32" t="s">
        <v>1541</v>
      </c>
      <c r="AB189" s="32" t="s">
        <v>1542</v>
      </c>
      <c r="AC189" s="38" t="str">
        <f aca="false">HYPERLINK("https://biocodex6--c.vf.force.com/0014L00000KG6XzQAL", "VIENNOT STEPHANIE")</f>
        <v>VIENNOT STEPHANIE</v>
      </c>
      <c r="AD189" s="38" t="str">
        <f aca="false">HYPERLINK("https://annuairesante.ameli.fr/professionnels-de-sante/recherche/fiche-detaillee-B7c1kzA3NDuz.html", "VIENNOT STEPHANIE")</f>
        <v>VIENNOT STEPHANIE</v>
      </c>
      <c r="AE189" s="39" t="n">
        <v>45359.6041666667</v>
      </c>
      <c r="AF189" s="40" t="s">
        <v>1543</v>
      </c>
      <c r="AG189" s="41" t="s">
        <v>69</v>
      </c>
      <c r="AH189" s="32" t="s">
        <v>70</v>
      </c>
      <c r="AI189" s="32" t="s">
        <v>71</v>
      </c>
      <c r="AL189" s="43" t="s">
        <v>966</v>
      </c>
      <c r="AM189" s="32"/>
      <c r="AN189" s="32"/>
      <c r="AO189" s="32"/>
      <c r="AP189" s="43" t="s">
        <v>338</v>
      </c>
      <c r="AQ189" s="32"/>
      <c r="AR189" s="43" t="s">
        <v>657</v>
      </c>
      <c r="AS189" s="43" t="s">
        <v>534</v>
      </c>
      <c r="AT189" s="43" t="s">
        <v>338</v>
      </c>
      <c r="AU189" s="32"/>
      <c r="XEY189" s="27"/>
      <c r="XEZ189" s="27"/>
      <c r="XFA189" s="27"/>
      <c r="XFB189" s="27"/>
      <c r="XFC189" s="27"/>
      <c r="XFD189" s="27"/>
    </row>
    <row r="190" s="42" customFormat="true" ht="14.15" hidden="false" customHeight="true" outlineLevel="0" collapsed="false">
      <c r="A190" s="28" t="s">
        <v>1544</v>
      </c>
      <c r="B190" s="29" t="s">
        <v>117</v>
      </c>
      <c r="C190" s="29" t="s">
        <v>1545</v>
      </c>
      <c r="D190" s="30" t="s">
        <v>112</v>
      </c>
      <c r="E190" s="31"/>
      <c r="F190" s="32" t="n">
        <v>66</v>
      </c>
      <c r="G190" s="31" t="s">
        <v>98</v>
      </c>
      <c r="H190" s="31" t="n">
        <v>1</v>
      </c>
      <c r="I190" s="31" t="s">
        <v>197</v>
      </c>
      <c r="J190" s="29"/>
      <c r="K190" s="29" t="s">
        <v>1546</v>
      </c>
      <c r="L190" s="32" t="n">
        <v>17</v>
      </c>
      <c r="M190" s="33" t="s">
        <v>1547</v>
      </c>
      <c r="N190" s="34" t="n">
        <v>75017</v>
      </c>
      <c r="O190" s="35" t="s">
        <v>55</v>
      </c>
      <c r="P190" s="36" t="s">
        <v>1548</v>
      </c>
      <c r="Q190" s="36" t="n">
        <v>1</v>
      </c>
      <c r="R190" s="32" t="n">
        <v>191</v>
      </c>
      <c r="S190" s="32" t="n">
        <v>7</v>
      </c>
      <c r="T190" s="32"/>
      <c r="U190" s="32" t="n">
        <v>3</v>
      </c>
      <c r="V190" s="37" t="n">
        <v>3</v>
      </c>
      <c r="W190" s="32" t="n">
        <v>3</v>
      </c>
      <c r="X190" s="34"/>
      <c r="Y190" s="34" t="n">
        <v>2</v>
      </c>
      <c r="Z190" s="32"/>
      <c r="AA190" s="32" t="s">
        <v>1549</v>
      </c>
      <c r="AB190" s="32" t="s">
        <v>1550</v>
      </c>
      <c r="AC190" s="38" t="str">
        <f aca="false">HYPERLINK("https://biocodex6--c.vf.force.com/0014L00000KFxuDQAT", "PIOCHE DOMINIQUE")</f>
        <v>PIOCHE DOMINIQUE</v>
      </c>
      <c r="AD190" s="38" t="str">
        <f aca="false">HYPERLINK("https://annuairesante.ameli.fr/professionnels-de-sante/recherche/fiche-detaillee-B7c1lzUxNDC3.html", "PIOCHE DOMINIQUE")</f>
        <v>PIOCHE DOMINIQUE</v>
      </c>
      <c r="AE190" s="39"/>
      <c r="AF190" s="40"/>
      <c r="AG190" s="41"/>
      <c r="AH190" s="32"/>
      <c r="AI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XEY190" s="27"/>
      <c r="XEZ190" s="27"/>
      <c r="XFA190" s="27"/>
      <c r="XFB190" s="27"/>
      <c r="XFC190" s="27"/>
      <c r="XFD190" s="27"/>
    </row>
    <row r="191" s="42" customFormat="true" ht="14.15" hidden="false" customHeight="true" outlineLevel="0" collapsed="false">
      <c r="A191" s="28" t="s">
        <v>1551</v>
      </c>
      <c r="B191" s="29" t="s">
        <v>1552</v>
      </c>
      <c r="C191" s="29" t="s">
        <v>1553</v>
      </c>
      <c r="D191" s="30" t="s">
        <v>75</v>
      </c>
      <c r="E191" s="30" t="s">
        <v>1554</v>
      </c>
      <c r="F191" s="32" t="n">
        <v>45</v>
      </c>
      <c r="G191" s="31" t="s">
        <v>215</v>
      </c>
      <c r="H191" s="31" t="n">
        <v>1</v>
      </c>
      <c r="I191" s="31" t="s">
        <v>77</v>
      </c>
      <c r="J191" s="29" t="s">
        <v>580</v>
      </c>
      <c r="K191" s="29" t="s">
        <v>581</v>
      </c>
      <c r="L191" s="32" t="n">
        <v>63</v>
      </c>
      <c r="M191" s="33" t="s">
        <v>80</v>
      </c>
      <c r="N191" s="34" t="n">
        <v>92200</v>
      </c>
      <c r="O191" s="35" t="s">
        <v>81</v>
      </c>
      <c r="P191" s="36" t="s">
        <v>1555</v>
      </c>
      <c r="Q191" s="36" t="n">
        <v>39</v>
      </c>
      <c r="R191" s="32" t="n">
        <v>185</v>
      </c>
      <c r="S191" s="32" t="n">
        <v>7</v>
      </c>
      <c r="T191" s="32"/>
      <c r="U191" s="32"/>
      <c r="V191" s="37"/>
      <c r="W191" s="32"/>
      <c r="X191" s="34"/>
      <c r="Y191" s="34"/>
      <c r="Z191" s="32"/>
      <c r="AA191" s="32" t="s">
        <v>1556</v>
      </c>
      <c r="AB191" s="32" t="s">
        <v>1557</v>
      </c>
      <c r="AC191" s="38" t="str">
        <f aca="false">HYPERLINK("https://biocodex6--c.vf.force.com/0014L00000KG1gHQAT", "SAMAHA ELIA")</f>
        <v>SAMAHA ELIA</v>
      </c>
      <c r="AD191" s="38" t="str">
        <f aca="false">HYPERLINK("https://annuairesante.ameli.fr/professionnels-de-sante/recherche/fiche-detaillee-B7c1kjA4MDS1.html", "SAMAHA ELIA")</f>
        <v>SAMAHA ELIA</v>
      </c>
      <c r="AE191" s="39"/>
      <c r="AF191" s="40"/>
      <c r="AG191" s="41"/>
      <c r="AH191" s="32"/>
      <c r="AI191" s="32"/>
      <c r="AL191" s="43" t="s">
        <v>338</v>
      </c>
      <c r="AM191" s="32"/>
      <c r="AN191" s="32"/>
      <c r="AO191" s="32"/>
      <c r="AP191" s="32"/>
      <c r="AQ191" s="32"/>
      <c r="AR191" s="32"/>
      <c r="AS191" s="32"/>
      <c r="AT191" s="32"/>
      <c r="AU191" s="32"/>
      <c r="XEY191" s="27"/>
      <c r="XEZ191" s="27"/>
      <c r="XFA191" s="27"/>
      <c r="XFB191" s="27"/>
      <c r="XFC191" s="27"/>
      <c r="XFD191" s="27"/>
    </row>
    <row r="192" s="42" customFormat="true" ht="14.15" hidden="false" customHeight="true" outlineLevel="0" collapsed="false">
      <c r="A192" s="28" t="s">
        <v>1558</v>
      </c>
      <c r="B192" s="29" t="s">
        <v>1559</v>
      </c>
      <c r="C192" s="29" t="s">
        <v>1560</v>
      </c>
      <c r="D192" s="30" t="s">
        <v>244</v>
      </c>
      <c r="E192" s="30" t="s">
        <v>245</v>
      </c>
      <c r="F192" s="32" t="n">
        <v>76</v>
      </c>
      <c r="G192" s="31"/>
      <c r="H192" s="31" t="n">
        <v>1</v>
      </c>
      <c r="I192" s="31" t="s">
        <v>572</v>
      </c>
      <c r="J192" s="29" t="s">
        <v>678</v>
      </c>
      <c r="K192" s="29" t="s">
        <v>679</v>
      </c>
      <c r="L192" s="32" t="n">
        <v>6</v>
      </c>
      <c r="M192" s="33" t="s">
        <v>680</v>
      </c>
      <c r="N192" s="34" t="n">
        <v>75008</v>
      </c>
      <c r="O192" s="35" t="s">
        <v>55</v>
      </c>
      <c r="P192" s="36" t="s">
        <v>870</v>
      </c>
      <c r="Q192" s="36" t="n">
        <v>43</v>
      </c>
      <c r="R192" s="32" t="n">
        <v>171</v>
      </c>
      <c r="S192" s="32" t="n">
        <v>7</v>
      </c>
      <c r="T192" s="32"/>
      <c r="U192" s="32"/>
      <c r="V192" s="37"/>
      <c r="W192" s="32"/>
      <c r="X192" s="34" t="n">
        <v>1</v>
      </c>
      <c r="Y192" s="34"/>
      <c r="Z192" s="32"/>
      <c r="AA192" s="32" t="s">
        <v>1561</v>
      </c>
      <c r="AB192" s="32"/>
      <c r="AC192" s="38" t="str">
        <f aca="false">HYPERLINK("https://biocodex6--c.vf.force.com/0014L00000KG0tWQAT", "SCHNEIDER LUCIEN")</f>
        <v>SCHNEIDER LUCIEN</v>
      </c>
      <c r="AD192" s="38"/>
      <c r="AE192" s="39" t="n">
        <v>45321.4375</v>
      </c>
      <c r="AF192" s="40" t="s">
        <v>1562</v>
      </c>
      <c r="AG192" s="41"/>
      <c r="AH192" s="32"/>
      <c r="AI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XEY192" s="27"/>
      <c r="XEZ192" s="27"/>
      <c r="XFA192" s="27"/>
      <c r="XFB192" s="27"/>
      <c r="XFC192" s="27"/>
      <c r="XFD192" s="27"/>
    </row>
    <row r="193" s="42" customFormat="true" ht="14.15" hidden="false" customHeight="true" outlineLevel="0" collapsed="false">
      <c r="A193" s="28" t="s">
        <v>1563</v>
      </c>
      <c r="B193" s="29" t="s">
        <v>1564</v>
      </c>
      <c r="C193" s="29" t="s">
        <v>1565</v>
      </c>
      <c r="D193" s="30" t="s">
        <v>50</v>
      </c>
      <c r="E193" s="31"/>
      <c r="F193" s="32" t="n">
        <v>34</v>
      </c>
      <c r="G193" s="31"/>
      <c r="H193" s="31" t="n">
        <v>2</v>
      </c>
      <c r="I193" s="31" t="s">
        <v>295</v>
      </c>
      <c r="J193" s="29" t="s">
        <v>489</v>
      </c>
      <c r="K193" s="29" t="s">
        <v>490</v>
      </c>
      <c r="L193" s="32" t="n">
        <v>3</v>
      </c>
      <c r="M193" s="33" t="s">
        <v>491</v>
      </c>
      <c r="N193" s="34" t="n">
        <v>92300</v>
      </c>
      <c r="O193" s="35" t="s">
        <v>298</v>
      </c>
      <c r="P193" s="36"/>
      <c r="Q193" s="36" t="n">
        <v>26</v>
      </c>
      <c r="R193" s="32" t="n">
        <v>161</v>
      </c>
      <c r="S193" s="32" t="n">
        <v>7</v>
      </c>
      <c r="T193" s="32"/>
      <c r="U193" s="32"/>
      <c r="V193" s="37"/>
      <c r="W193" s="32"/>
      <c r="X193" s="34"/>
      <c r="Y193" s="34" t="n">
        <v>1</v>
      </c>
      <c r="Z193" s="32"/>
      <c r="AA193" s="32" t="s">
        <v>1566</v>
      </c>
      <c r="AB193" s="32"/>
      <c r="AC193" s="38" t="str">
        <f aca="false">HYPERLINK("https://biocodex6--c.vf.force.com/0014L00000KGEf8QAH", "VERBEQUE ASTRID")</f>
        <v>VERBEQUE ASTRID</v>
      </c>
      <c r="AD193" s="38"/>
      <c r="AE193" s="39" t="n">
        <v>45245.625</v>
      </c>
      <c r="AF193" s="40"/>
      <c r="AG193" s="41"/>
      <c r="AH193" s="32"/>
      <c r="AI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XEY193" s="27"/>
      <c r="XEZ193" s="27"/>
      <c r="XFA193" s="27"/>
      <c r="XFB193" s="27"/>
      <c r="XFC193" s="27"/>
      <c r="XFD193" s="27"/>
    </row>
    <row r="194" s="42" customFormat="true" ht="14.15" hidden="false" customHeight="true" outlineLevel="0" collapsed="false">
      <c r="A194" s="28" t="s">
        <v>1567</v>
      </c>
      <c r="B194" s="29" t="s">
        <v>1568</v>
      </c>
      <c r="C194" s="29" t="s">
        <v>1569</v>
      </c>
      <c r="D194" s="30" t="s">
        <v>50</v>
      </c>
      <c r="E194" s="31"/>
      <c r="F194" s="32" t="n">
        <v>0</v>
      </c>
      <c r="G194" s="31"/>
      <c r="H194" s="31" t="n">
        <v>1</v>
      </c>
      <c r="I194" s="31" t="s">
        <v>572</v>
      </c>
      <c r="J194" s="29" t="s">
        <v>678</v>
      </c>
      <c r="K194" s="29" t="s">
        <v>679</v>
      </c>
      <c r="L194" s="32" t="n">
        <v>6</v>
      </c>
      <c r="M194" s="33" t="s">
        <v>680</v>
      </c>
      <c r="N194" s="34" t="n">
        <v>75008</v>
      </c>
      <c r="O194" s="35" t="s">
        <v>55</v>
      </c>
      <c r="P194" s="36" t="s">
        <v>870</v>
      </c>
      <c r="Q194" s="36" t="n">
        <v>43</v>
      </c>
      <c r="R194" s="32" t="n">
        <v>150</v>
      </c>
      <c r="S194" s="32" t="n">
        <v>7</v>
      </c>
      <c r="T194" s="32"/>
      <c r="U194" s="32" t="n">
        <v>3</v>
      </c>
      <c r="V194" s="37"/>
      <c r="W194" s="32" t="n">
        <v>3</v>
      </c>
      <c r="X194" s="34"/>
      <c r="Y194" s="34" t="n">
        <v>1</v>
      </c>
      <c r="Z194" s="32" t="s">
        <v>1570</v>
      </c>
      <c r="AA194" s="32" t="s">
        <v>1571</v>
      </c>
      <c r="AB194" s="32"/>
      <c r="AC194" s="38" t="str">
        <f aca="false">HYPERLINK("https://biocodex6--c.vf.force.com/0014L00000KFQnzQAH", "ENRICO JULIETTE")</f>
        <v>ENRICO JULIETTE</v>
      </c>
      <c r="AD194" s="38"/>
      <c r="AE194" s="39" t="n">
        <v>45351.3958333333</v>
      </c>
      <c r="AF194" s="40" t="s">
        <v>1572</v>
      </c>
      <c r="AG194" s="41"/>
      <c r="AH194" s="32"/>
      <c r="AI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XEY194" s="27"/>
      <c r="XEZ194" s="27"/>
      <c r="XFA194" s="27"/>
      <c r="XFB194" s="27"/>
      <c r="XFC194" s="27"/>
      <c r="XFD194" s="27"/>
    </row>
    <row r="195" s="42" customFormat="true" ht="14.15" hidden="false" customHeight="true" outlineLevel="0" collapsed="false">
      <c r="A195" s="28" t="s">
        <v>1573</v>
      </c>
      <c r="B195" s="29" t="s">
        <v>958</v>
      </c>
      <c r="C195" s="29" t="s">
        <v>1574</v>
      </c>
      <c r="D195" s="30" t="s">
        <v>244</v>
      </c>
      <c r="E195" s="30" t="s">
        <v>245</v>
      </c>
      <c r="F195" s="32" t="n">
        <v>71</v>
      </c>
      <c r="G195" s="31" t="s">
        <v>215</v>
      </c>
      <c r="H195" s="31" t="n">
        <v>1</v>
      </c>
      <c r="I195" s="31" t="s">
        <v>119</v>
      </c>
      <c r="J195" s="29"/>
      <c r="K195" s="29" t="s">
        <v>1575</v>
      </c>
      <c r="L195" s="32" t="n">
        <v>25</v>
      </c>
      <c r="M195" s="33" t="s">
        <v>1576</v>
      </c>
      <c r="N195" s="34" t="n">
        <v>75007</v>
      </c>
      <c r="O195" s="35" t="s">
        <v>55</v>
      </c>
      <c r="P195" s="36" t="s">
        <v>1577</v>
      </c>
      <c r="Q195" s="36" t="n">
        <v>2</v>
      </c>
      <c r="R195" s="32" t="n">
        <v>119</v>
      </c>
      <c r="S195" s="32" t="n">
        <v>7</v>
      </c>
      <c r="T195" s="32"/>
      <c r="U195" s="32" t="n">
        <v>3</v>
      </c>
      <c r="V195" s="37"/>
      <c r="W195" s="32" t="n">
        <v>3</v>
      </c>
      <c r="X195" s="34"/>
      <c r="Y195" s="34" t="n">
        <v>2</v>
      </c>
      <c r="Z195" s="32"/>
      <c r="AA195" s="32" t="s">
        <v>1578</v>
      </c>
      <c r="AB195" s="32" t="s">
        <v>1579</v>
      </c>
      <c r="AC195" s="38" t="str">
        <f aca="false">HYPERLINK("https://biocodex6--c.vf.force.com/0014L00000KFVrrQAH", "CERF PATRICK")</f>
        <v>CERF PATRICK</v>
      </c>
      <c r="AD195" s="38" t="str">
        <f aca="false">HYPERLINK("https://annuairesante.ameli.fr/professionnels-de-sante/recherche/fiche-detaillee-B7c1lTY1MTq0.html", "CERF PATRICK")</f>
        <v>CERF PATRICK</v>
      </c>
      <c r="AE195" s="39" t="n">
        <v>45376.4791666667</v>
      </c>
      <c r="AF195" s="40"/>
      <c r="AG195" s="41"/>
      <c r="AH195" s="32"/>
      <c r="AI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XEY195" s="27"/>
      <c r="XEZ195" s="27"/>
      <c r="XFA195" s="27"/>
      <c r="XFB195" s="27"/>
      <c r="XFC195" s="27"/>
      <c r="XFD195" s="27"/>
    </row>
    <row r="196" s="42" customFormat="true" ht="14.15" hidden="false" customHeight="true" outlineLevel="0" collapsed="false">
      <c r="A196" s="28" t="s">
        <v>1580</v>
      </c>
      <c r="B196" s="29" t="s">
        <v>1581</v>
      </c>
      <c r="C196" s="29" t="s">
        <v>1582</v>
      </c>
      <c r="D196" s="30" t="s">
        <v>206</v>
      </c>
      <c r="E196" s="31"/>
      <c r="F196" s="32"/>
      <c r="G196" s="31"/>
      <c r="H196" s="31" t="n">
        <v>2</v>
      </c>
      <c r="I196" s="31" t="s">
        <v>295</v>
      </c>
      <c r="J196" s="29" t="s">
        <v>489</v>
      </c>
      <c r="K196" s="29" t="s">
        <v>490</v>
      </c>
      <c r="L196" s="32" t="n">
        <v>3</v>
      </c>
      <c r="M196" s="33" t="s">
        <v>491</v>
      </c>
      <c r="N196" s="34" t="n">
        <v>92300</v>
      </c>
      <c r="O196" s="35" t="s">
        <v>298</v>
      </c>
      <c r="P196" s="36" t="s">
        <v>492</v>
      </c>
      <c r="Q196" s="36" t="n">
        <v>26</v>
      </c>
      <c r="R196" s="32" t="n">
        <v>102</v>
      </c>
      <c r="S196" s="32" t="n">
        <v>7</v>
      </c>
      <c r="T196" s="32"/>
      <c r="U196" s="32" t="n">
        <v>3</v>
      </c>
      <c r="V196" s="37" t="n">
        <v>3</v>
      </c>
      <c r="W196" s="32" t="n">
        <v>3</v>
      </c>
      <c r="X196" s="34" t="n">
        <v>1</v>
      </c>
      <c r="Y196" s="34" t="n">
        <v>4</v>
      </c>
      <c r="Z196" s="32"/>
      <c r="AA196" s="32" t="s">
        <v>1583</v>
      </c>
      <c r="AB196" s="32"/>
      <c r="AC196" s="42" t="str">
        <f aca="false">HYPERLINK("https://biocodex6--c.vf.force.com/0014L00000KG9yxQAD", "PETIT ERIN")</f>
        <v>PETIT ERIN</v>
      </c>
      <c r="AD196" s="32"/>
      <c r="AE196" s="39" t="n">
        <v>45183.4791666667</v>
      </c>
      <c r="AF196" s="40"/>
      <c r="AG196" s="41"/>
      <c r="AH196" s="32"/>
      <c r="AI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XEY196" s="27"/>
      <c r="XEZ196" s="27"/>
      <c r="XFA196" s="27"/>
      <c r="XFB196" s="27"/>
      <c r="XFC196" s="27"/>
      <c r="XFD196" s="27"/>
    </row>
    <row r="197" s="42" customFormat="true" ht="14.15" hidden="false" customHeight="true" outlineLevel="0" collapsed="false">
      <c r="A197" s="28" t="s">
        <v>1580</v>
      </c>
      <c r="B197" s="29" t="s">
        <v>1584</v>
      </c>
      <c r="C197" s="29" t="s">
        <v>1585</v>
      </c>
      <c r="D197" s="30" t="s">
        <v>172</v>
      </c>
      <c r="E197" s="31"/>
      <c r="F197" s="32" t="n">
        <v>46</v>
      </c>
      <c r="G197" s="31"/>
      <c r="H197" s="31" t="n">
        <v>1</v>
      </c>
      <c r="I197" s="31" t="s">
        <v>295</v>
      </c>
      <c r="J197" s="29"/>
      <c r="K197" s="29" t="s">
        <v>1586</v>
      </c>
      <c r="L197" s="32" t="n">
        <v>86</v>
      </c>
      <c r="M197" s="33" t="s">
        <v>1050</v>
      </c>
      <c r="N197" s="34" t="n">
        <v>92300</v>
      </c>
      <c r="O197" s="35" t="s">
        <v>298</v>
      </c>
      <c r="P197" s="36" t="s">
        <v>1587</v>
      </c>
      <c r="Q197" s="36" t="n">
        <v>3</v>
      </c>
      <c r="R197" s="32" t="n">
        <v>97</v>
      </c>
      <c r="S197" s="32" t="n">
        <v>7</v>
      </c>
      <c r="T197" s="43" t="s">
        <v>316</v>
      </c>
      <c r="U197" s="32"/>
      <c r="V197" s="37"/>
      <c r="W197" s="32"/>
      <c r="X197" s="34"/>
      <c r="Y197" s="34"/>
      <c r="Z197" s="36"/>
      <c r="AA197" s="32" t="s">
        <v>1588</v>
      </c>
      <c r="AB197" s="32"/>
      <c r="AC197" s="38" t="str">
        <f aca="false">HYPERLINK("https://biocodex6--c.vf.force.com/0014L00000KFvyfQAD", "PETIT LAURENCE")</f>
        <v>PETIT LAURENCE</v>
      </c>
      <c r="AD197" s="38"/>
      <c r="AE197" s="39"/>
      <c r="AF197" s="40"/>
      <c r="AG197" s="41"/>
      <c r="AH197" s="32" t="s">
        <v>179</v>
      </c>
      <c r="AI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XEY197" s="27"/>
      <c r="XEZ197" s="27"/>
      <c r="XFA197" s="27"/>
      <c r="XFB197" s="27"/>
      <c r="XFC197" s="27"/>
      <c r="XFD197" s="27"/>
    </row>
    <row r="198" s="42" customFormat="true" ht="14.15" hidden="false" customHeight="true" outlineLevel="0" collapsed="false">
      <c r="A198" s="28" t="s">
        <v>1589</v>
      </c>
      <c r="B198" s="29" t="s">
        <v>1590</v>
      </c>
      <c r="C198" s="29" t="s">
        <v>1591</v>
      </c>
      <c r="D198" s="30" t="s">
        <v>112</v>
      </c>
      <c r="E198" s="31"/>
      <c r="F198" s="32" t="n">
        <v>46</v>
      </c>
      <c r="G198" s="31"/>
      <c r="H198" s="31" t="n">
        <v>1</v>
      </c>
      <c r="I198" s="31" t="s">
        <v>295</v>
      </c>
      <c r="J198" s="29" t="s">
        <v>489</v>
      </c>
      <c r="K198" s="29" t="s">
        <v>490</v>
      </c>
      <c r="L198" s="32" t="n">
        <v>3</v>
      </c>
      <c r="M198" s="33" t="s">
        <v>491</v>
      </c>
      <c r="N198" s="34" t="n">
        <v>92300</v>
      </c>
      <c r="O198" s="35" t="s">
        <v>298</v>
      </c>
      <c r="P198" s="36" t="s">
        <v>1592</v>
      </c>
      <c r="Q198" s="36" t="n">
        <v>26</v>
      </c>
      <c r="R198" s="32" t="n">
        <v>80</v>
      </c>
      <c r="S198" s="32" t="n">
        <v>7</v>
      </c>
      <c r="T198" s="32"/>
      <c r="U198" s="32"/>
      <c r="V198" s="37" t="n">
        <v>3</v>
      </c>
      <c r="W198" s="32"/>
      <c r="X198" s="34"/>
      <c r="Y198" s="34"/>
      <c r="Z198" s="32"/>
      <c r="AA198" s="32" t="s">
        <v>1593</v>
      </c>
      <c r="AB198" s="32"/>
      <c r="AC198" s="38" t="str">
        <f aca="false">HYPERLINK("https://biocodex6--c.vf.force.com/0014L00000KFVY9QAP", "BOUADAM HANA")</f>
        <v>BOUADAM HANA</v>
      </c>
      <c r="AD198" s="38"/>
      <c r="AE198" s="39" t="n">
        <v>45224.7083333333</v>
      </c>
      <c r="AF198" s="40"/>
      <c r="AG198" s="41"/>
      <c r="AH198" s="32"/>
      <c r="AI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XEY198" s="27"/>
      <c r="XEZ198" s="27"/>
      <c r="XFA198" s="27"/>
      <c r="XFB198" s="27"/>
      <c r="XFC198" s="27"/>
      <c r="XFD198" s="27"/>
    </row>
    <row r="199" s="42" customFormat="true" ht="14.15" hidden="false" customHeight="true" outlineLevel="0" collapsed="false">
      <c r="A199" s="28" t="s">
        <v>1594</v>
      </c>
      <c r="B199" s="29" t="s">
        <v>128</v>
      </c>
      <c r="C199" s="29" t="s">
        <v>1595</v>
      </c>
      <c r="D199" s="30" t="s">
        <v>244</v>
      </c>
      <c r="E199" s="30" t="s">
        <v>245</v>
      </c>
      <c r="F199" s="32" t="n">
        <v>66</v>
      </c>
      <c r="G199" s="31"/>
      <c r="H199" s="31" t="n">
        <v>2</v>
      </c>
      <c r="I199" s="31" t="s">
        <v>295</v>
      </c>
      <c r="J199" s="29"/>
      <c r="K199" s="29" t="s">
        <v>1596</v>
      </c>
      <c r="L199" s="32" t="n">
        <v>12</v>
      </c>
      <c r="M199" s="33" t="s">
        <v>491</v>
      </c>
      <c r="N199" s="34" t="n">
        <v>92300</v>
      </c>
      <c r="O199" s="35" t="s">
        <v>298</v>
      </c>
      <c r="P199" s="36" t="s">
        <v>1597</v>
      </c>
      <c r="Q199" s="36" t="n">
        <v>2</v>
      </c>
      <c r="R199" s="32" t="n">
        <v>59</v>
      </c>
      <c r="S199" s="32" t="n">
        <v>7</v>
      </c>
      <c r="T199" s="32"/>
      <c r="U199" s="32"/>
      <c r="V199" s="37" t="n">
        <v>3</v>
      </c>
      <c r="W199" s="32" t="n">
        <v>3</v>
      </c>
      <c r="X199" s="34"/>
      <c r="Y199" s="34" t="n">
        <v>3</v>
      </c>
      <c r="Z199" s="32"/>
      <c r="AA199" s="32" t="s">
        <v>1598</v>
      </c>
      <c r="AB199" s="32"/>
      <c r="AC199" s="38" t="str">
        <f aca="false">HYPERLINK("https://biocodex6--c.vf.force.com/0014L00000KFjSnQAL", "ISSARTEL FRANCOISE")</f>
        <v>ISSARTEL FRANCOISE</v>
      </c>
      <c r="AD199" s="38"/>
      <c r="AE199" s="39" t="n">
        <v>45198.4166666667</v>
      </c>
      <c r="AF199" s="40"/>
      <c r="AG199" s="41"/>
      <c r="AH199" s="32"/>
      <c r="AI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XEY199" s="27"/>
      <c r="XEZ199" s="27"/>
      <c r="XFA199" s="27"/>
      <c r="XFB199" s="27"/>
      <c r="XFC199" s="27"/>
      <c r="XFD199" s="27"/>
    </row>
    <row r="200" s="42" customFormat="true" ht="14.15" hidden="false" customHeight="true" outlineLevel="0" collapsed="false">
      <c r="A200" s="28" t="s">
        <v>1599</v>
      </c>
      <c r="B200" s="29" t="s">
        <v>1600</v>
      </c>
      <c r="C200" s="29" t="s">
        <v>1601</v>
      </c>
      <c r="D200" s="30" t="s">
        <v>244</v>
      </c>
      <c r="E200" s="30" t="s">
        <v>1602</v>
      </c>
      <c r="F200" s="32" t="n">
        <v>46</v>
      </c>
      <c r="G200" s="31" t="s">
        <v>215</v>
      </c>
      <c r="H200" s="31" t="n">
        <v>1</v>
      </c>
      <c r="I200" s="31" t="s">
        <v>295</v>
      </c>
      <c r="J200" s="29" t="s">
        <v>489</v>
      </c>
      <c r="K200" s="29" t="s">
        <v>490</v>
      </c>
      <c r="L200" s="32" t="n">
        <v>3</v>
      </c>
      <c r="M200" s="33" t="s">
        <v>491</v>
      </c>
      <c r="N200" s="34" t="n">
        <v>92300</v>
      </c>
      <c r="O200" s="35" t="s">
        <v>298</v>
      </c>
      <c r="P200" s="36" t="s">
        <v>1603</v>
      </c>
      <c r="Q200" s="36" t="n">
        <v>26</v>
      </c>
      <c r="R200" s="32" t="n">
        <v>59</v>
      </c>
      <c r="S200" s="32" t="n">
        <v>7</v>
      </c>
      <c r="T200" s="32"/>
      <c r="U200" s="32"/>
      <c r="V200" s="37" t="n">
        <v>3</v>
      </c>
      <c r="W200" s="32"/>
      <c r="X200" s="34"/>
      <c r="Y200" s="34"/>
      <c r="Z200" s="32" t="s">
        <v>1604</v>
      </c>
      <c r="AA200" s="32" t="s">
        <v>1605</v>
      </c>
      <c r="AB200" s="32" t="s">
        <v>1606</v>
      </c>
      <c r="AC200" s="38" t="str">
        <f aca="false">HYPERLINK("https://biocodex6--c.vf.force.com/0014L00000KG4OzQAL", "TRICHOT CAROLINE")</f>
        <v>TRICHOT CAROLINE</v>
      </c>
      <c r="AD200" s="38" t="str">
        <f aca="false">HYPERLINK("https://annuairesante.ameli.fr/professionnels-de-sante/recherche/fiche-detaillee-B7c1mzY4NDSw.html", "TRICHOT CAROLINE")</f>
        <v>TRICHOT CAROLINE</v>
      </c>
      <c r="AE200" s="39"/>
      <c r="AF200" s="40"/>
      <c r="AG200" s="41"/>
      <c r="AH200" s="32"/>
      <c r="AI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XEY200" s="27"/>
      <c r="XEZ200" s="27"/>
      <c r="XFA200" s="27"/>
      <c r="XFB200" s="27"/>
      <c r="XFC200" s="27"/>
      <c r="XFD200" s="27"/>
    </row>
    <row r="201" s="42" customFormat="true" ht="14.15" hidden="false" customHeight="true" outlineLevel="0" collapsed="false">
      <c r="A201" s="28" t="s">
        <v>1607</v>
      </c>
      <c r="B201" s="29" t="s">
        <v>1304</v>
      </c>
      <c r="C201" s="29" t="s">
        <v>1608</v>
      </c>
      <c r="D201" s="30" t="s">
        <v>1103</v>
      </c>
      <c r="E201" s="31"/>
      <c r="F201" s="32" t="n">
        <v>46</v>
      </c>
      <c r="G201" s="31"/>
      <c r="H201" s="31" t="n">
        <v>2</v>
      </c>
      <c r="I201" s="31" t="s">
        <v>51</v>
      </c>
      <c r="J201" s="29" t="s">
        <v>52</v>
      </c>
      <c r="K201" s="29" t="s">
        <v>53</v>
      </c>
      <c r="L201" s="32" t="n">
        <v>149</v>
      </c>
      <c r="M201" s="33" t="s">
        <v>54</v>
      </c>
      <c r="N201" s="34" t="n">
        <v>75015</v>
      </c>
      <c r="O201" s="35" t="s">
        <v>55</v>
      </c>
      <c r="P201" s="36" t="s">
        <v>1609</v>
      </c>
      <c r="Q201" s="36" t="n">
        <v>236</v>
      </c>
      <c r="R201" s="32" t="n">
        <v>34</v>
      </c>
      <c r="S201" s="32" t="n">
        <v>7</v>
      </c>
      <c r="T201" s="43" t="s">
        <v>1610</v>
      </c>
      <c r="U201" s="32"/>
      <c r="V201" s="37"/>
      <c r="W201" s="32"/>
      <c r="X201" s="34"/>
      <c r="Y201" s="34"/>
      <c r="Z201" s="32"/>
      <c r="AA201" s="32" t="s">
        <v>1611</v>
      </c>
      <c r="AB201" s="32"/>
      <c r="AC201" s="38" t="str">
        <f aca="false">HYPERLINK("https://biocodex6--c.vf.force.com/0014L00000KFfR5QAL", "CHASTE PAULINE")</f>
        <v>CHASTE PAULINE</v>
      </c>
      <c r="AD201" s="38"/>
      <c r="AE201" s="39"/>
      <c r="AF201" s="40"/>
      <c r="AG201" s="41"/>
      <c r="AH201" s="32"/>
      <c r="AI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XEY201" s="27"/>
      <c r="XEZ201" s="27"/>
      <c r="XFA201" s="27"/>
      <c r="XFB201" s="27"/>
      <c r="XFC201" s="27"/>
      <c r="XFD201" s="27"/>
    </row>
    <row r="202" s="42" customFormat="true" ht="14.15" hidden="false" customHeight="true" outlineLevel="0" collapsed="false">
      <c r="A202" s="28" t="s">
        <v>1612</v>
      </c>
      <c r="B202" s="29" t="s">
        <v>1613</v>
      </c>
      <c r="C202" s="29" t="s">
        <v>1614</v>
      </c>
      <c r="D202" s="30" t="s">
        <v>50</v>
      </c>
      <c r="E202" s="30" t="s">
        <v>344</v>
      </c>
      <c r="F202" s="32"/>
      <c r="G202" s="31"/>
      <c r="H202" s="31" t="n">
        <v>1</v>
      </c>
      <c r="I202" s="31" t="s">
        <v>173</v>
      </c>
      <c r="J202" s="29"/>
      <c r="K202" s="29" t="s">
        <v>1615</v>
      </c>
      <c r="L202" s="32" t="n">
        <v>5</v>
      </c>
      <c r="M202" s="33" t="s">
        <v>1616</v>
      </c>
      <c r="N202" s="34" t="n">
        <v>75016</v>
      </c>
      <c r="O202" s="35" t="s">
        <v>55</v>
      </c>
      <c r="P202" s="36" t="s">
        <v>1617</v>
      </c>
      <c r="Q202" s="36" t="n">
        <v>2</v>
      </c>
      <c r="R202" s="32" t="n">
        <v>20</v>
      </c>
      <c r="S202" s="32" t="n">
        <v>7</v>
      </c>
      <c r="T202" s="32"/>
      <c r="U202" s="32"/>
      <c r="V202" s="37"/>
      <c r="W202" s="32"/>
      <c r="X202" s="34"/>
      <c r="Y202" s="34"/>
      <c r="Z202" s="32"/>
      <c r="AA202" s="32" t="s">
        <v>1618</v>
      </c>
      <c r="AB202" s="32"/>
      <c r="AC202" s="38" t="str">
        <f aca="false">HYPERLINK("https://biocodex6--c.vf.force.com/0014L00000kSSGDQA4", "LUPINSKA BOURGEOIS MAGDALENA")</f>
        <v>LUPINSKA BOURGEOIS MAGDALENA</v>
      </c>
      <c r="AD202" s="38"/>
      <c r="AE202" s="39"/>
      <c r="AF202" s="40"/>
      <c r="AG202" s="41"/>
      <c r="AH202" s="32"/>
      <c r="AI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XEY202" s="27"/>
      <c r="XEZ202" s="27"/>
      <c r="XFA202" s="27"/>
      <c r="XFB202" s="27"/>
      <c r="XFC202" s="27"/>
      <c r="XFD202" s="27"/>
    </row>
    <row r="203" s="42" customFormat="true" ht="14.15" hidden="false" customHeight="true" outlineLevel="0" collapsed="false">
      <c r="A203" s="28" t="s">
        <v>1619</v>
      </c>
      <c r="B203" s="29" t="s">
        <v>643</v>
      </c>
      <c r="C203" s="29" t="s">
        <v>1620</v>
      </c>
      <c r="D203" s="30" t="s">
        <v>50</v>
      </c>
      <c r="E203" s="31"/>
      <c r="F203" s="32" t="n">
        <v>60</v>
      </c>
      <c r="G203" s="31" t="s">
        <v>98</v>
      </c>
      <c r="H203" s="31" t="n">
        <v>1</v>
      </c>
      <c r="I203" s="31" t="s">
        <v>295</v>
      </c>
      <c r="J203" s="29"/>
      <c r="K203" s="29" t="s">
        <v>634</v>
      </c>
      <c r="L203" s="32" t="n">
        <v>89</v>
      </c>
      <c r="M203" s="33" t="s">
        <v>635</v>
      </c>
      <c r="N203" s="34" t="n">
        <v>92300</v>
      </c>
      <c r="O203" s="35" t="s">
        <v>298</v>
      </c>
      <c r="P203" s="36" t="s">
        <v>1621</v>
      </c>
      <c r="Q203" s="36" t="n">
        <v>3</v>
      </c>
      <c r="R203" s="32" t="n">
        <v>369</v>
      </c>
      <c r="S203" s="32" t="n">
        <v>6</v>
      </c>
      <c r="T203" s="32"/>
      <c r="U203" s="32"/>
      <c r="V203" s="37"/>
      <c r="W203" s="32"/>
      <c r="X203" s="34"/>
      <c r="Y203" s="34"/>
      <c r="Z203" s="32"/>
      <c r="AA203" s="32" t="s">
        <v>1622</v>
      </c>
      <c r="AB203" s="32" t="s">
        <v>1623</v>
      </c>
      <c r="AC203" s="38" t="str">
        <f aca="false">HYPERLINK("https://biocodex6--c.vf.force.com/0014L00000KFp51QAD", "LUQUET PIERRE")</f>
        <v>LUQUET PIERRE</v>
      </c>
      <c r="AD203" s="38" t="str">
        <f aca="false">HYPERLINK("https://annuairesante.ameli.fr/professionnels-de-sante/recherche/fiche-detaillee-CbA1kzE4NTu6.html", "LUQUET PIERRE")</f>
        <v>LUQUET PIERRE</v>
      </c>
      <c r="AE203" s="39" t="n">
        <v>45224.6458333333</v>
      </c>
      <c r="AF203" s="40"/>
      <c r="AG203" s="41"/>
      <c r="AH203" s="32"/>
      <c r="AI203" s="32"/>
      <c r="AL203" s="43" t="s">
        <v>474</v>
      </c>
      <c r="AM203" s="43" t="s">
        <v>328</v>
      </c>
      <c r="AN203" s="43" t="s">
        <v>474</v>
      </c>
      <c r="AO203" s="43" t="s">
        <v>328</v>
      </c>
      <c r="AP203" s="32"/>
      <c r="AQ203" s="32"/>
      <c r="AR203" s="43" t="s">
        <v>474</v>
      </c>
      <c r="AS203" s="43" t="s">
        <v>328</v>
      </c>
      <c r="AT203" s="43" t="s">
        <v>474</v>
      </c>
      <c r="AU203" s="43" t="s">
        <v>328</v>
      </c>
      <c r="XEY203" s="27"/>
      <c r="XEZ203" s="27"/>
      <c r="XFA203" s="27"/>
      <c r="XFB203" s="27"/>
      <c r="XFC203" s="27"/>
      <c r="XFD203" s="27"/>
    </row>
    <row r="204" s="42" customFormat="true" ht="14.15" hidden="false" customHeight="true" outlineLevel="0" collapsed="false">
      <c r="A204" s="28" t="s">
        <v>1624</v>
      </c>
      <c r="B204" s="29" t="s">
        <v>142</v>
      </c>
      <c r="C204" s="29" t="s">
        <v>1625</v>
      </c>
      <c r="D204" s="30" t="s">
        <v>50</v>
      </c>
      <c r="E204" s="31"/>
      <c r="F204" s="32" t="n">
        <v>74</v>
      </c>
      <c r="G204" s="31" t="s">
        <v>215</v>
      </c>
      <c r="H204" s="31" t="n">
        <v>1</v>
      </c>
      <c r="I204" s="31" t="s">
        <v>387</v>
      </c>
      <c r="J204" s="29"/>
      <c r="K204" s="29" t="s">
        <v>1626</v>
      </c>
      <c r="L204" s="32" t="n">
        <v>74</v>
      </c>
      <c r="M204" s="33" t="s">
        <v>1627</v>
      </c>
      <c r="N204" s="34" t="n">
        <v>75016</v>
      </c>
      <c r="O204" s="35" t="s">
        <v>55</v>
      </c>
      <c r="P204" s="36" t="s">
        <v>1628</v>
      </c>
      <c r="Q204" s="36" t="n">
        <v>1</v>
      </c>
      <c r="R204" s="32" t="n">
        <v>329</v>
      </c>
      <c r="S204" s="32" t="n">
        <v>6</v>
      </c>
      <c r="T204" s="32"/>
      <c r="U204" s="32" t="n">
        <v>3</v>
      </c>
      <c r="V204" s="37"/>
      <c r="W204" s="32" t="n">
        <v>2</v>
      </c>
      <c r="X204" s="34" t="n">
        <v>1</v>
      </c>
      <c r="Y204" s="34" t="n">
        <v>1</v>
      </c>
      <c r="Z204" s="32"/>
      <c r="AA204" s="32" t="s">
        <v>1629</v>
      </c>
      <c r="AB204" s="44" t="s">
        <v>1630</v>
      </c>
      <c r="AC204" s="38" t="str">
        <f aca="false">HYPERLINK("https://biocodex6--c.vf.force.com/0014L00000KFayoQAD", "DIZIN MICHEL")</f>
        <v>DIZIN MICHEL</v>
      </c>
      <c r="AD204" s="38" t="str">
        <f aca="false">HYPERLINK("https://annuairesante.ameli.fr/professionnels-de-sante/recherche/fiche-detaillee-B7c1kTc3MjK3.html", "DIZIN MICHEL")</f>
        <v>DIZIN MICHEL</v>
      </c>
      <c r="AE204" s="39" t="n">
        <v>45433.6458333333</v>
      </c>
      <c r="AF204" s="40" t="s">
        <v>1631</v>
      </c>
      <c r="AG204" s="41"/>
      <c r="AH204" s="32" t="s">
        <v>70</v>
      </c>
      <c r="AI204" s="32" t="s">
        <v>71</v>
      </c>
      <c r="AJ204" s="42" t="s">
        <v>1632</v>
      </c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XEY204" s="27"/>
      <c r="XEZ204" s="27"/>
      <c r="XFA204" s="27"/>
      <c r="XFB204" s="27"/>
      <c r="XFC204" s="27"/>
      <c r="XFD204" s="27"/>
    </row>
    <row r="205" s="42" customFormat="true" ht="14.15" hidden="false" customHeight="true" outlineLevel="0" collapsed="false">
      <c r="A205" s="28" t="s">
        <v>1633</v>
      </c>
      <c r="B205" s="29" t="s">
        <v>142</v>
      </c>
      <c r="C205" s="29" t="s">
        <v>1634</v>
      </c>
      <c r="D205" s="30" t="s">
        <v>244</v>
      </c>
      <c r="E205" s="30" t="s">
        <v>1635</v>
      </c>
      <c r="F205" s="32" t="n">
        <v>65</v>
      </c>
      <c r="G205" s="31" t="s">
        <v>215</v>
      </c>
      <c r="H205" s="31" t="n">
        <v>2</v>
      </c>
      <c r="I205" s="31" t="s">
        <v>173</v>
      </c>
      <c r="J205" s="29"/>
      <c r="K205" s="29" t="s">
        <v>1636</v>
      </c>
      <c r="L205" s="32" t="n">
        <v>44</v>
      </c>
      <c r="M205" s="33" t="s">
        <v>1637</v>
      </c>
      <c r="N205" s="34" t="n">
        <v>75016</v>
      </c>
      <c r="O205" s="35" t="s">
        <v>55</v>
      </c>
      <c r="P205" s="36" t="s">
        <v>1638</v>
      </c>
      <c r="Q205" s="36" t="n">
        <v>3</v>
      </c>
      <c r="R205" s="32" t="n">
        <v>327</v>
      </c>
      <c r="S205" s="32" t="n">
        <v>6</v>
      </c>
      <c r="T205" s="32"/>
      <c r="U205" s="32" t="n">
        <v>3</v>
      </c>
      <c r="V205" s="37" t="n">
        <v>3</v>
      </c>
      <c r="W205" s="32" t="n">
        <v>3</v>
      </c>
      <c r="X205" s="34" t="n">
        <v>1</v>
      </c>
      <c r="Y205" s="34" t="n">
        <v>2</v>
      </c>
      <c r="Z205" s="32"/>
      <c r="AA205" s="32" t="s">
        <v>1639</v>
      </c>
      <c r="AB205" s="32" t="s">
        <v>1640</v>
      </c>
      <c r="AC205" s="38" t="str">
        <f aca="false">HYPERLINK("https://biocodex6--c.vf.force.com/0014L00000KFtZQQA1", "MOULY MICHEL")</f>
        <v>MOULY MICHEL</v>
      </c>
      <c r="AD205" s="38" t="str">
        <f aca="false">HYPERLINK("https://annuairesante.ameli.fr/professionnels-de-sante/recherche/fiche-detaillee-B7c1lTEwMDq2.html", "MOULY MICHEL")</f>
        <v>MOULY MICHEL</v>
      </c>
      <c r="AE205" s="39" t="n">
        <v>45107.5833333333</v>
      </c>
      <c r="AF205" s="40"/>
      <c r="AG205" s="41" t="n">
        <v>45474.625</v>
      </c>
      <c r="AH205" s="32" t="s">
        <v>70</v>
      </c>
      <c r="AI205" s="32" t="s">
        <v>71</v>
      </c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XEY205" s="27"/>
      <c r="XEZ205" s="27"/>
      <c r="XFA205" s="27"/>
      <c r="XFB205" s="27"/>
      <c r="XFC205" s="27"/>
      <c r="XFD205" s="27"/>
    </row>
    <row r="206" s="42" customFormat="true" ht="14.15" hidden="false" customHeight="true" outlineLevel="0" collapsed="false">
      <c r="A206" s="28" t="s">
        <v>1641</v>
      </c>
      <c r="B206" s="29" t="s">
        <v>1642</v>
      </c>
      <c r="C206" s="29" t="s">
        <v>1643</v>
      </c>
      <c r="D206" s="30" t="s">
        <v>112</v>
      </c>
      <c r="E206" s="31"/>
      <c r="F206" s="32" t="n">
        <v>64</v>
      </c>
      <c r="G206" s="31" t="s">
        <v>98</v>
      </c>
      <c r="H206" s="31" t="n">
        <v>1</v>
      </c>
      <c r="I206" s="31" t="s">
        <v>51</v>
      </c>
      <c r="J206" s="29"/>
      <c r="K206" s="29" t="s">
        <v>1644</v>
      </c>
      <c r="L206" s="32" t="n">
        <v>76</v>
      </c>
      <c r="M206" s="33" t="s">
        <v>236</v>
      </c>
      <c r="N206" s="34" t="n">
        <v>75015</v>
      </c>
      <c r="O206" s="35" t="s">
        <v>55</v>
      </c>
      <c r="P206" s="36" t="s">
        <v>1645</v>
      </c>
      <c r="Q206" s="36" t="n">
        <v>3</v>
      </c>
      <c r="R206" s="32" t="n">
        <v>313</v>
      </c>
      <c r="S206" s="32" t="n">
        <v>6</v>
      </c>
      <c r="T206" s="32"/>
      <c r="U206" s="32" t="n">
        <v>3</v>
      </c>
      <c r="V206" s="37" t="n">
        <v>3</v>
      </c>
      <c r="W206" s="32" t="n">
        <v>3</v>
      </c>
      <c r="X206" s="34" t="n">
        <v>1</v>
      </c>
      <c r="Y206" s="34" t="n">
        <v>2</v>
      </c>
      <c r="Z206" s="32" t="s">
        <v>1646</v>
      </c>
      <c r="AA206" s="32" t="s">
        <v>1647</v>
      </c>
      <c r="AB206" s="32" t="s">
        <v>1648</v>
      </c>
      <c r="AC206" s="38" t="str">
        <f aca="false">HYPERLINK("https://biocodex6--c.vf.force.com/0014L00000KFRCOQA5", "AZZI NAYLA")</f>
        <v>AZZI NAYLA</v>
      </c>
      <c r="AD206" s="38" t="str">
        <f aca="false">HYPERLINK("https://annuairesante.ameli.fr/professionnels-de-sante/recherche/fiche-detaillee-B7c1lDI2Mjuw.html", "AZZI NAYLA")</f>
        <v>AZZI NAYLA</v>
      </c>
      <c r="AE206" s="39" t="n">
        <v>45355.4583333333</v>
      </c>
      <c r="AF206" s="40" t="s">
        <v>1649</v>
      </c>
      <c r="AG206" s="41"/>
      <c r="AH206" s="32"/>
      <c r="AI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XEY206" s="27"/>
      <c r="XEZ206" s="27"/>
      <c r="XFA206" s="27"/>
      <c r="XFB206" s="27"/>
      <c r="XFC206" s="27"/>
      <c r="XFD206" s="27"/>
    </row>
    <row r="207" s="42" customFormat="true" ht="14.15" hidden="false" customHeight="true" outlineLevel="0" collapsed="false">
      <c r="A207" s="28" t="s">
        <v>1650</v>
      </c>
      <c r="B207" s="29" t="s">
        <v>332</v>
      </c>
      <c r="C207" s="29" t="s">
        <v>1651</v>
      </c>
      <c r="D207" s="30" t="s">
        <v>244</v>
      </c>
      <c r="E207" s="30" t="s">
        <v>245</v>
      </c>
      <c r="F207" s="32" t="n">
        <v>62</v>
      </c>
      <c r="G207" s="31" t="s">
        <v>61</v>
      </c>
      <c r="H207" s="31" t="n">
        <v>1</v>
      </c>
      <c r="I207" s="31" t="s">
        <v>62</v>
      </c>
      <c r="J207" s="29"/>
      <c r="K207" s="29" t="s">
        <v>1652</v>
      </c>
      <c r="L207" s="32" t="n">
        <v>54</v>
      </c>
      <c r="M207" s="33" t="s">
        <v>1653</v>
      </c>
      <c r="N207" s="34" t="n">
        <v>75017</v>
      </c>
      <c r="O207" s="35" t="s">
        <v>55</v>
      </c>
      <c r="P207" s="36" t="s">
        <v>1654</v>
      </c>
      <c r="Q207" s="36" t="n">
        <v>3</v>
      </c>
      <c r="R207" s="32" t="n">
        <v>287</v>
      </c>
      <c r="S207" s="32" t="n">
        <v>6</v>
      </c>
      <c r="T207" s="32"/>
      <c r="U207" s="32" t="n">
        <v>3</v>
      </c>
      <c r="V207" s="37" t="n">
        <v>3</v>
      </c>
      <c r="W207" s="32" t="n">
        <v>4</v>
      </c>
      <c r="X207" s="34" t="n">
        <v>1</v>
      </c>
      <c r="Y207" s="34" t="n">
        <v>4</v>
      </c>
      <c r="Z207" s="32" t="s">
        <v>1655</v>
      </c>
      <c r="AA207" s="32" t="s">
        <v>1656</v>
      </c>
      <c r="AB207" s="32" t="s">
        <v>1657</v>
      </c>
      <c r="AC207" s="42" t="str">
        <f aca="false">HYPERLINK("https://biocodex6--c.vf.force.com/0014L00000KFmLWQA1", "LAUNOIS LANBA CATHERINE")</f>
        <v>LAUNOIS LANBA CATHERINE</v>
      </c>
      <c r="AD207" s="32" t="str">
        <f aca="false">HYPERLINK("https://annuairesante.ameli.fr/professionnels-de-sante/recherche/fiche-detaillee-B7c1lDI4OTC0.html", "LAUNOIS LANBA CATHERINE")</f>
        <v>LAUNOIS LANBA CATHERINE</v>
      </c>
      <c r="AE207" s="39" t="n">
        <v>45126.5208333333</v>
      </c>
      <c r="AF207" s="40"/>
      <c r="AG207" s="41"/>
      <c r="AH207" s="32"/>
      <c r="AI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XEY207" s="27"/>
      <c r="XEZ207" s="27"/>
      <c r="XFA207" s="27"/>
      <c r="XFB207" s="27"/>
      <c r="XFC207" s="27"/>
      <c r="XFD207" s="27"/>
    </row>
    <row r="208" s="42" customFormat="true" ht="14.15" hidden="false" customHeight="true" outlineLevel="0" collapsed="false">
      <c r="A208" s="28" t="s">
        <v>1658</v>
      </c>
      <c r="B208" s="29" t="s">
        <v>578</v>
      </c>
      <c r="C208" s="29" t="s">
        <v>1659</v>
      </c>
      <c r="D208" s="30" t="s">
        <v>50</v>
      </c>
      <c r="E208" s="30" t="s">
        <v>890</v>
      </c>
      <c r="F208" s="32" t="n">
        <v>72</v>
      </c>
      <c r="G208" s="31" t="s">
        <v>61</v>
      </c>
      <c r="H208" s="31" t="n">
        <v>1</v>
      </c>
      <c r="I208" s="31" t="s">
        <v>62</v>
      </c>
      <c r="J208" s="29"/>
      <c r="K208" s="29" t="s">
        <v>1660</v>
      </c>
      <c r="L208" s="32" t="n">
        <v>147</v>
      </c>
      <c r="M208" s="33" t="s">
        <v>1661</v>
      </c>
      <c r="N208" s="34" t="n">
        <v>75017</v>
      </c>
      <c r="O208" s="35" t="s">
        <v>55</v>
      </c>
      <c r="P208" s="36" t="s">
        <v>1662</v>
      </c>
      <c r="Q208" s="36" t="n">
        <v>1</v>
      </c>
      <c r="R208" s="32" t="n">
        <v>272</v>
      </c>
      <c r="S208" s="32" t="n">
        <v>6</v>
      </c>
      <c r="T208" s="32"/>
      <c r="U208" s="32"/>
      <c r="V208" s="37"/>
      <c r="W208" s="32"/>
      <c r="X208" s="34"/>
      <c r="Y208" s="34"/>
      <c r="Z208" s="32"/>
      <c r="AA208" s="32" t="s">
        <v>1663</v>
      </c>
      <c r="AB208" s="32" t="s">
        <v>1664</v>
      </c>
      <c r="AC208" s="38" t="str">
        <f aca="false">HYPERLINK("https://biocodex6--c.vf.force.com/0014L00000KFzuvQAD", "RUDOWSKI HERVE")</f>
        <v>RUDOWSKI HERVE</v>
      </c>
      <c r="AD208" s="38" t="str">
        <f aca="false">HYPERLINK("https://annuairesante.ameli.fr/professionnels-de-sante/recherche/fiche-detaillee-B7c1ljI5MjCy.html", "RUDOWSKI HERVE")</f>
        <v>RUDOWSKI HERVE</v>
      </c>
      <c r="AE208" s="39"/>
      <c r="AF208" s="40"/>
      <c r="AG208" s="41"/>
      <c r="AH208" s="32"/>
      <c r="AI208" s="32"/>
      <c r="AL208" s="43" t="s">
        <v>657</v>
      </c>
      <c r="AM208" s="43" t="s">
        <v>262</v>
      </c>
      <c r="AN208" s="43" t="s">
        <v>657</v>
      </c>
      <c r="AO208" s="43" t="s">
        <v>262</v>
      </c>
      <c r="AP208" s="43" t="s">
        <v>657</v>
      </c>
      <c r="AQ208" s="43" t="s">
        <v>262</v>
      </c>
      <c r="AR208" s="43" t="s">
        <v>338</v>
      </c>
      <c r="AS208" s="32"/>
      <c r="AT208" s="43" t="s">
        <v>657</v>
      </c>
      <c r="AU208" s="43" t="s">
        <v>262</v>
      </c>
      <c r="XEY208" s="27"/>
      <c r="XEZ208" s="27"/>
      <c r="XFA208" s="27"/>
      <c r="XFB208" s="27"/>
      <c r="XFC208" s="27"/>
      <c r="XFD208" s="27"/>
    </row>
    <row r="209" s="42" customFormat="true" ht="14.15" hidden="false" customHeight="true" outlineLevel="0" collapsed="false">
      <c r="A209" s="28" t="s">
        <v>1665</v>
      </c>
      <c r="B209" s="29" t="s">
        <v>1460</v>
      </c>
      <c r="C209" s="29" t="s">
        <v>1666</v>
      </c>
      <c r="D209" s="30" t="s">
        <v>50</v>
      </c>
      <c r="E209" s="31"/>
      <c r="F209" s="32" t="n">
        <v>41</v>
      </c>
      <c r="G209" s="31" t="s">
        <v>98</v>
      </c>
      <c r="H209" s="31" t="n">
        <v>4</v>
      </c>
      <c r="I209" s="31" t="s">
        <v>387</v>
      </c>
      <c r="J209" s="29" t="s">
        <v>1306</v>
      </c>
      <c r="K209" s="29" t="s">
        <v>1307</v>
      </c>
      <c r="L209" s="32" t="n">
        <v>11</v>
      </c>
      <c r="M209" s="33" t="s">
        <v>1308</v>
      </c>
      <c r="N209" s="34" t="n">
        <v>75016</v>
      </c>
      <c r="O209" s="35" t="s">
        <v>55</v>
      </c>
      <c r="P209" s="50" t="s">
        <v>1309</v>
      </c>
      <c r="Q209" s="36" t="n">
        <v>9</v>
      </c>
      <c r="R209" s="32" t="n">
        <v>266</v>
      </c>
      <c r="S209" s="32" t="n">
        <v>6</v>
      </c>
      <c r="T209" s="32"/>
      <c r="U209" s="32"/>
      <c r="V209" s="37"/>
      <c r="W209" s="32"/>
      <c r="X209" s="34" t="n">
        <v>1</v>
      </c>
      <c r="Y209" s="34"/>
      <c r="Z209" s="32"/>
      <c r="AA209" s="32" t="s">
        <v>1667</v>
      </c>
      <c r="AB209" s="32" t="s">
        <v>1668</v>
      </c>
      <c r="AC209" s="38" t="str">
        <f aca="false">HYPERLINK("https://biocodex6--c.vf.force.com/0014L00000KFR6uQAH", "HADDAD AUDREY")</f>
        <v>HADDAD AUDREY</v>
      </c>
      <c r="AD209" s="38" t="str">
        <f aca="false">HYPERLINK("https://annuairesante.ameli.fr/professionnels-de-sante/recherche/fiche-detaillee-B7c1kjMyMzS6.html", "HADDAD AUDREY")</f>
        <v>HADDAD AUDREY</v>
      </c>
      <c r="AE209" s="39" t="n">
        <v>45439.5833333333</v>
      </c>
      <c r="AF209" s="40" t="s">
        <v>1669</v>
      </c>
      <c r="AG209" s="41" t="s">
        <v>69</v>
      </c>
      <c r="AH209" s="32" t="s">
        <v>70</v>
      </c>
      <c r="AI209" s="32"/>
      <c r="AL209" s="43" t="s">
        <v>1313</v>
      </c>
      <c r="AM209" s="32"/>
      <c r="AN209" s="43" t="s">
        <v>1313</v>
      </c>
      <c r="AO209" s="43" t="s">
        <v>1670</v>
      </c>
      <c r="AP209" s="43" t="s">
        <v>1313</v>
      </c>
      <c r="AQ209" s="32"/>
      <c r="AR209" s="43" t="s">
        <v>1313</v>
      </c>
      <c r="AS209" s="43" t="s">
        <v>1671</v>
      </c>
      <c r="AT209" s="43" t="s">
        <v>1313</v>
      </c>
      <c r="AU209" s="32"/>
      <c r="XEY209" s="27"/>
      <c r="XEZ209" s="27"/>
      <c r="XFA209" s="27"/>
      <c r="XFB209" s="27"/>
      <c r="XFC209" s="27"/>
      <c r="XFD209" s="27"/>
    </row>
    <row r="210" s="42" customFormat="true" ht="14.15" hidden="false" customHeight="true" outlineLevel="0" collapsed="false">
      <c r="A210" s="28" t="s">
        <v>1672</v>
      </c>
      <c r="B210" s="29" t="s">
        <v>399</v>
      </c>
      <c r="C210" s="49" t="s">
        <v>1673</v>
      </c>
      <c r="D210" s="30" t="s">
        <v>75</v>
      </c>
      <c r="E210" s="30" t="s">
        <v>916</v>
      </c>
      <c r="F210" s="32" t="n">
        <v>62</v>
      </c>
      <c r="G210" s="31" t="s">
        <v>215</v>
      </c>
      <c r="H210" s="31" t="n">
        <v>3</v>
      </c>
      <c r="I210" s="30" t="s">
        <v>77</v>
      </c>
      <c r="J210" s="49" t="s">
        <v>580</v>
      </c>
      <c r="K210" s="49" t="s">
        <v>581</v>
      </c>
      <c r="L210" s="32" t="n">
        <v>63</v>
      </c>
      <c r="M210" s="33" t="s">
        <v>80</v>
      </c>
      <c r="N210" s="34" t="n">
        <v>75016</v>
      </c>
      <c r="O210" s="35" t="s">
        <v>55</v>
      </c>
      <c r="P210" s="36" t="s">
        <v>1674</v>
      </c>
      <c r="Q210" s="36" t="n">
        <v>1</v>
      </c>
      <c r="R210" s="32" t="n">
        <v>260</v>
      </c>
      <c r="S210" s="32" t="n">
        <v>6</v>
      </c>
      <c r="T210" s="32"/>
      <c r="U210" s="32"/>
      <c r="V210" s="37"/>
      <c r="W210" s="32"/>
      <c r="X210" s="34"/>
      <c r="Y210" s="34" t="n">
        <v>2</v>
      </c>
      <c r="Z210" s="32"/>
      <c r="AA210" s="32" t="s">
        <v>1675</v>
      </c>
      <c r="AB210" s="32" t="s">
        <v>1676</v>
      </c>
      <c r="AC210" s="38" t="str">
        <f aca="false">HYPERLINK("https://biocodex6--c.vf.force.com/0014L00000KG24dQAD", "SPATZIERER OLIVIER")</f>
        <v>SPATZIERER OLIVIER</v>
      </c>
      <c r="AD210" s="38" t="str">
        <f aca="false">HYPERLINK("https://annuairesante.ameli.fr/professionnels-de-sante/recherche/fiche-detaillee-B7c1lzQwODq1.html", "SPATZIERER OLIVIER")</f>
        <v>SPATZIERER OLIVIER</v>
      </c>
      <c r="AE210" s="39"/>
      <c r="AF210" s="40"/>
      <c r="AG210" s="41"/>
      <c r="AH210" s="32"/>
      <c r="AI210" s="32"/>
      <c r="AJ210" s="42" t="s">
        <v>191</v>
      </c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XEY210" s="27"/>
      <c r="XEZ210" s="27"/>
      <c r="XFA210" s="27"/>
      <c r="XFB210" s="27"/>
      <c r="XFC210" s="27"/>
      <c r="XFD210" s="27"/>
    </row>
    <row r="211" s="42" customFormat="true" ht="14.15" hidden="false" customHeight="true" outlineLevel="0" collapsed="false">
      <c r="A211" s="28" t="s">
        <v>1677</v>
      </c>
      <c r="B211" s="29" t="s">
        <v>353</v>
      </c>
      <c r="C211" s="29" t="s">
        <v>1678</v>
      </c>
      <c r="D211" s="30" t="s">
        <v>50</v>
      </c>
      <c r="E211" s="31"/>
      <c r="F211" s="32" t="n">
        <v>69</v>
      </c>
      <c r="G211" s="31" t="s">
        <v>61</v>
      </c>
      <c r="H211" s="31" t="n">
        <v>1</v>
      </c>
      <c r="I211" s="31" t="s">
        <v>197</v>
      </c>
      <c r="J211" s="29"/>
      <c r="K211" s="29" t="s">
        <v>1679</v>
      </c>
      <c r="L211" s="32" t="n">
        <v>30</v>
      </c>
      <c r="M211" s="33" t="s">
        <v>1505</v>
      </c>
      <c r="N211" s="34" t="n">
        <v>75017</v>
      </c>
      <c r="O211" s="35" t="s">
        <v>55</v>
      </c>
      <c r="P211" s="36" t="s">
        <v>1680</v>
      </c>
      <c r="Q211" s="36" t="n">
        <v>1</v>
      </c>
      <c r="R211" s="32" t="n">
        <v>254</v>
      </c>
      <c r="S211" s="32" t="n">
        <v>6</v>
      </c>
      <c r="T211" s="32"/>
      <c r="U211" s="32"/>
      <c r="V211" s="37"/>
      <c r="W211" s="32"/>
      <c r="X211" s="34"/>
      <c r="Y211" s="34"/>
      <c r="Z211" s="32"/>
      <c r="AA211" s="32" t="s">
        <v>1681</v>
      </c>
      <c r="AB211" s="32" t="s">
        <v>1682</v>
      </c>
      <c r="AC211" s="38" t="str">
        <f aca="false">HYPERLINK("https://biocodex6--c.vf.force.com/0014L00000KFjUWQA1", "JACOB ALAIN")</f>
        <v>JACOB ALAIN</v>
      </c>
      <c r="AD211" s="38" t="str">
        <f aca="false">HYPERLINK("https://annuairesante.ameli.fr/professionnels-de-sante/recherche/fiche-detaillee-B7c1ljowODq6.html", "JACOB ALAIN")</f>
        <v>JACOB ALAIN</v>
      </c>
      <c r="AE211" s="39"/>
      <c r="AF211" s="40"/>
      <c r="AG211" s="41"/>
      <c r="AH211" s="32"/>
      <c r="AI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XEY211" s="27"/>
      <c r="XEZ211" s="27"/>
      <c r="XFA211" s="27"/>
      <c r="XFB211" s="27"/>
      <c r="XFC211" s="27"/>
      <c r="XFD211" s="27"/>
    </row>
    <row r="212" s="42" customFormat="true" ht="14.15" hidden="false" customHeight="true" outlineLevel="0" collapsed="false">
      <c r="A212" s="28" t="s">
        <v>1683</v>
      </c>
      <c r="B212" s="29" t="s">
        <v>1684</v>
      </c>
      <c r="C212" s="29" t="s">
        <v>1685</v>
      </c>
      <c r="D212" s="30" t="s">
        <v>206</v>
      </c>
      <c r="E212" s="31"/>
      <c r="F212" s="32" t="n">
        <v>49</v>
      </c>
      <c r="G212" s="31" t="s">
        <v>98</v>
      </c>
      <c r="H212" s="31" t="n">
        <v>4</v>
      </c>
      <c r="I212" s="31" t="s">
        <v>62</v>
      </c>
      <c r="J212" s="29"/>
      <c r="K212" s="29" t="s">
        <v>1686</v>
      </c>
      <c r="L212" s="32" t="n">
        <v>54</v>
      </c>
      <c r="M212" s="33" t="s">
        <v>1687</v>
      </c>
      <c r="N212" s="34" t="n">
        <v>75017</v>
      </c>
      <c r="O212" s="35" t="s">
        <v>55</v>
      </c>
      <c r="P212" s="36" t="s">
        <v>1688</v>
      </c>
      <c r="Q212" s="36" t="n">
        <v>1</v>
      </c>
      <c r="R212" s="32" t="n">
        <v>250</v>
      </c>
      <c r="S212" s="32" t="n">
        <v>6</v>
      </c>
      <c r="T212" s="32"/>
      <c r="U212" s="32" t="n">
        <v>3</v>
      </c>
      <c r="V212" s="37" t="n">
        <v>3</v>
      </c>
      <c r="W212" s="32" t="n">
        <v>2</v>
      </c>
      <c r="X212" s="34"/>
      <c r="Y212" s="34" t="n">
        <v>2</v>
      </c>
      <c r="Z212" s="32" t="s">
        <v>1689</v>
      </c>
      <c r="AA212" s="32" t="s">
        <v>1690</v>
      </c>
      <c r="AB212" s="32" t="s">
        <v>1691</v>
      </c>
      <c r="AC212" s="38" t="str">
        <f aca="false">HYPERLINK("https://biocodex6--c.vf.force.com/0014L00000KFXSRQA5", "DERRAR NAIMA")</f>
        <v>DERRAR NAIMA</v>
      </c>
      <c r="AD212" s="38" t="str">
        <f aca="false">HYPERLINK("https://annuairesante.ameli.fr/professionnels-de-sante/recherche/fiche-detaillee-B7c1lDQxMzGx.html", "DERRAR NAIMA")</f>
        <v>DERRAR NAIMA</v>
      </c>
      <c r="AE212" s="39" t="n">
        <v>45357.6666666667</v>
      </c>
      <c r="AF212" s="40"/>
      <c r="AG212" s="41"/>
      <c r="AH212" s="32"/>
      <c r="AI212" s="32"/>
      <c r="AL212" s="43" t="s">
        <v>396</v>
      </c>
      <c r="AM212" s="43" t="s">
        <v>1692</v>
      </c>
      <c r="AN212" s="32"/>
      <c r="AO212" s="32"/>
      <c r="AP212" s="32"/>
      <c r="AQ212" s="32"/>
      <c r="AR212" s="43" t="s">
        <v>396</v>
      </c>
      <c r="AS212" s="43" t="s">
        <v>1692</v>
      </c>
      <c r="AT212" s="43" t="s">
        <v>396</v>
      </c>
      <c r="AU212" s="43" t="s">
        <v>1692</v>
      </c>
      <c r="XEY212" s="27"/>
      <c r="XEZ212" s="27"/>
      <c r="XFA212" s="27"/>
      <c r="XFB212" s="27"/>
      <c r="XFC212" s="27"/>
      <c r="XFD212" s="27"/>
    </row>
    <row r="213" s="42" customFormat="true" ht="14.15" hidden="false" customHeight="true" outlineLevel="0" collapsed="false">
      <c r="A213" s="28" t="s">
        <v>1693</v>
      </c>
      <c r="B213" s="29" t="s">
        <v>1694</v>
      </c>
      <c r="C213" s="29" t="s">
        <v>1695</v>
      </c>
      <c r="D213" s="30" t="s">
        <v>50</v>
      </c>
      <c r="E213" s="30" t="s">
        <v>386</v>
      </c>
      <c r="F213" s="32" t="n">
        <v>75</v>
      </c>
      <c r="G213" s="31" t="s">
        <v>215</v>
      </c>
      <c r="H213" s="31" t="n">
        <v>1</v>
      </c>
      <c r="I213" s="31" t="s">
        <v>197</v>
      </c>
      <c r="J213" s="29"/>
      <c r="K213" s="29" t="s">
        <v>1696</v>
      </c>
      <c r="L213" s="32" t="n">
        <v>6</v>
      </c>
      <c r="M213" s="33" t="s">
        <v>1697</v>
      </c>
      <c r="N213" s="34" t="n">
        <v>75017</v>
      </c>
      <c r="O213" s="35" t="s">
        <v>55</v>
      </c>
      <c r="P213" s="36" t="s">
        <v>1698</v>
      </c>
      <c r="Q213" s="36" t="n">
        <v>2</v>
      </c>
      <c r="R213" s="32" t="n">
        <v>241</v>
      </c>
      <c r="S213" s="32" t="n">
        <v>6</v>
      </c>
      <c r="T213" s="32"/>
      <c r="U213" s="32"/>
      <c r="V213" s="37"/>
      <c r="W213" s="32"/>
      <c r="X213" s="34"/>
      <c r="Y213" s="34"/>
      <c r="Z213" s="32"/>
      <c r="AA213" s="32" t="s">
        <v>1699</v>
      </c>
      <c r="AB213" s="32" t="s">
        <v>1700</v>
      </c>
      <c r="AC213" s="38" t="str">
        <f aca="false">HYPERLINK("https://biocodex6--c.vf.force.com/0014L00000KG3mCQAT", "TRINH QUANG NGOC")</f>
        <v>TRINH QUANG NGOC</v>
      </c>
      <c r="AD213" s="38" t="str">
        <f aca="false">HYPERLINK("https://annuairesante.ameli.fr/professionnels-de-sante/recherche/fiche-detaillee-B7c1kTYzMjG7.html", "TRINH QUANG NGOC")</f>
        <v>TRINH QUANG NGOC</v>
      </c>
      <c r="AE213" s="39"/>
      <c r="AF213" s="40"/>
      <c r="AG213" s="41"/>
      <c r="AH213" s="32"/>
      <c r="AI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XEY213" s="27"/>
      <c r="XEZ213" s="27"/>
      <c r="XFA213" s="27"/>
      <c r="XFB213" s="27"/>
      <c r="XFC213" s="27"/>
      <c r="XFD213" s="27"/>
    </row>
    <row r="214" s="42" customFormat="true" ht="14.15" hidden="false" customHeight="true" outlineLevel="0" collapsed="false">
      <c r="A214" s="28" t="s">
        <v>1701</v>
      </c>
      <c r="B214" s="29" t="s">
        <v>1584</v>
      </c>
      <c r="C214" s="29" t="s">
        <v>1702</v>
      </c>
      <c r="D214" s="30" t="s">
        <v>50</v>
      </c>
      <c r="E214" s="31"/>
      <c r="F214" s="32" t="n">
        <v>62</v>
      </c>
      <c r="G214" s="31" t="s">
        <v>98</v>
      </c>
      <c r="H214" s="31" t="n">
        <v>1</v>
      </c>
      <c r="I214" s="31" t="s">
        <v>51</v>
      </c>
      <c r="J214" s="29"/>
      <c r="K214" s="29" t="s">
        <v>1703</v>
      </c>
      <c r="L214" s="32" t="n">
        <v>74</v>
      </c>
      <c r="M214" s="33" t="s">
        <v>236</v>
      </c>
      <c r="N214" s="34" t="n">
        <v>75015</v>
      </c>
      <c r="O214" s="35" t="s">
        <v>55</v>
      </c>
      <c r="P214" s="36" t="s">
        <v>1704</v>
      </c>
      <c r="Q214" s="36" t="n">
        <v>1</v>
      </c>
      <c r="R214" s="32" t="n">
        <v>216</v>
      </c>
      <c r="S214" s="32" t="n">
        <v>6</v>
      </c>
      <c r="T214" s="32"/>
      <c r="U214" s="32"/>
      <c r="V214" s="37"/>
      <c r="W214" s="32"/>
      <c r="X214" s="34"/>
      <c r="Y214" s="34"/>
      <c r="Z214" s="32"/>
      <c r="AA214" s="32" t="s">
        <v>1705</v>
      </c>
      <c r="AB214" s="32" t="s">
        <v>1706</v>
      </c>
      <c r="AC214" s="38" t="str">
        <f aca="false">HYPERLINK("https://biocodex6--c.vf.force.com/0014L00000KFxLoQAL", "DOUTRIAUX LAURENCE")</f>
        <v>DOUTRIAUX LAURENCE</v>
      </c>
      <c r="AD214" s="38" t="str">
        <f aca="false">HYPERLINK("https://annuairesante.ameli.fr/professionnels-de-sante/recherche/fiche-detaillee-B7c1mzEzMzOy.html", "DOUTRIAUX LAURENCE")</f>
        <v>DOUTRIAUX LAURENCE</v>
      </c>
      <c r="AE214" s="39"/>
      <c r="AF214" s="40"/>
      <c r="AG214" s="41"/>
      <c r="AH214" s="32"/>
      <c r="AI214" s="32"/>
      <c r="AL214" s="43" t="s">
        <v>338</v>
      </c>
      <c r="AM214" s="43" t="s">
        <v>262</v>
      </c>
      <c r="AN214" s="43" t="s">
        <v>338</v>
      </c>
      <c r="AO214" s="43" t="s">
        <v>262</v>
      </c>
      <c r="AP214" s="43" t="s">
        <v>338</v>
      </c>
      <c r="AQ214" s="43" t="s">
        <v>262</v>
      </c>
      <c r="AR214" s="43" t="s">
        <v>338</v>
      </c>
      <c r="AS214" s="43" t="s">
        <v>262</v>
      </c>
      <c r="AT214" s="43" t="s">
        <v>338</v>
      </c>
      <c r="AU214" s="43" t="s">
        <v>262</v>
      </c>
      <c r="XEY214" s="27"/>
      <c r="XEZ214" s="27"/>
      <c r="XFA214" s="27"/>
      <c r="XFB214" s="27"/>
      <c r="XFC214" s="27"/>
      <c r="XFD214" s="27"/>
    </row>
    <row r="215" s="42" customFormat="true" ht="14.15" hidden="false" customHeight="true" outlineLevel="0" collapsed="false">
      <c r="A215" s="28" t="s">
        <v>1707</v>
      </c>
      <c r="B215" s="29" t="s">
        <v>151</v>
      </c>
      <c r="C215" s="29" t="s">
        <v>1708</v>
      </c>
      <c r="D215" s="30" t="s">
        <v>50</v>
      </c>
      <c r="E215" s="30" t="s">
        <v>1709</v>
      </c>
      <c r="F215" s="32" t="n">
        <v>61</v>
      </c>
      <c r="G215" s="31"/>
      <c r="H215" s="31" t="n">
        <v>1</v>
      </c>
      <c r="I215" s="31" t="s">
        <v>51</v>
      </c>
      <c r="J215" s="29" t="s">
        <v>52</v>
      </c>
      <c r="K215" s="29" t="s">
        <v>53</v>
      </c>
      <c r="L215" s="32" t="n">
        <v>149</v>
      </c>
      <c r="M215" s="33" t="s">
        <v>54</v>
      </c>
      <c r="N215" s="34" t="n">
        <v>75015</v>
      </c>
      <c r="O215" s="35" t="s">
        <v>55</v>
      </c>
      <c r="P215" s="36" t="s">
        <v>1710</v>
      </c>
      <c r="Q215" s="36" t="n">
        <v>236</v>
      </c>
      <c r="R215" s="32" t="n">
        <v>215</v>
      </c>
      <c r="S215" s="32" t="n">
        <v>6</v>
      </c>
      <c r="T215" s="32"/>
      <c r="U215" s="32"/>
      <c r="V215" s="37"/>
      <c r="W215" s="32"/>
      <c r="X215" s="34"/>
      <c r="Y215" s="34"/>
      <c r="Z215" s="32"/>
      <c r="AA215" s="32" t="s">
        <v>1711</v>
      </c>
      <c r="AB215" s="32"/>
      <c r="AC215" s="38" t="str">
        <f aca="false">HYPERLINK("https://biocodex6--c.vf.force.com/0014L00000KFPvIQAX", "ADNET FREDERIC")</f>
        <v>ADNET FREDERIC</v>
      </c>
      <c r="AD215" s="38"/>
      <c r="AE215" s="39"/>
      <c r="AF215" s="40"/>
      <c r="AG215" s="41"/>
      <c r="AH215" s="32"/>
      <c r="AI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XEY215" s="27"/>
      <c r="XEZ215" s="27"/>
      <c r="XFA215" s="27"/>
      <c r="XFB215" s="27"/>
      <c r="XFC215" s="27"/>
      <c r="XFD215" s="27"/>
    </row>
    <row r="216" s="42" customFormat="true" ht="14.15" hidden="false" customHeight="true" outlineLevel="0" collapsed="false">
      <c r="A216" s="28" t="s">
        <v>1712</v>
      </c>
      <c r="B216" s="29" t="s">
        <v>1713</v>
      </c>
      <c r="C216" s="29" t="s">
        <v>1714</v>
      </c>
      <c r="D216" s="30" t="s">
        <v>50</v>
      </c>
      <c r="E216" s="30" t="s">
        <v>344</v>
      </c>
      <c r="F216" s="32" t="n">
        <v>0</v>
      </c>
      <c r="G216" s="31" t="s">
        <v>98</v>
      </c>
      <c r="H216" s="31" t="n">
        <v>2</v>
      </c>
      <c r="I216" s="31" t="s">
        <v>119</v>
      </c>
      <c r="J216" s="29"/>
      <c r="K216" s="29" t="s">
        <v>1715</v>
      </c>
      <c r="L216" s="32" t="n">
        <v>85</v>
      </c>
      <c r="M216" s="33" t="s">
        <v>1716</v>
      </c>
      <c r="N216" s="34" t="n">
        <v>75007</v>
      </c>
      <c r="O216" s="35" t="s">
        <v>55</v>
      </c>
      <c r="P216" s="36" t="s">
        <v>1717</v>
      </c>
      <c r="Q216" s="36" t="n">
        <v>2</v>
      </c>
      <c r="R216" s="32" t="n">
        <v>212</v>
      </c>
      <c r="S216" s="32" t="n">
        <v>6</v>
      </c>
      <c r="T216" s="32"/>
      <c r="U216" s="32"/>
      <c r="V216" s="37"/>
      <c r="W216" s="32"/>
      <c r="X216" s="34"/>
      <c r="Y216" s="34"/>
      <c r="Z216" s="32"/>
      <c r="AA216" s="32" t="s">
        <v>1718</v>
      </c>
      <c r="AB216" s="32" t="s">
        <v>1719</v>
      </c>
      <c r="AC216" s="38" t="str">
        <f aca="false">HYPERLINK("https://biocodex6--c.vf.force.com/0014L00000KG4lIQAT", "THOUX ZOE")</f>
        <v>THOUX ZOE</v>
      </c>
      <c r="AD216" s="38" t="str">
        <f aca="false">HYPERLINK("https://annuairesante.ameli.fr/professionnels-de-sante/recherche/fiche-detaillee-B7c1lTA4MzOy.html", "THOUX ZOE")</f>
        <v>THOUX ZOE</v>
      </c>
      <c r="AE216" s="39"/>
      <c r="AF216" s="40"/>
      <c r="AG216" s="41"/>
      <c r="AH216" s="32"/>
      <c r="AI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XEY216" s="27"/>
      <c r="XEZ216" s="27"/>
      <c r="XFA216" s="27"/>
      <c r="XFB216" s="27"/>
      <c r="XFC216" s="27"/>
      <c r="XFD216" s="27"/>
    </row>
    <row r="217" s="42" customFormat="true" ht="14.15" hidden="false" customHeight="true" outlineLevel="0" collapsed="false">
      <c r="A217" s="28" t="s">
        <v>1720</v>
      </c>
      <c r="B217" s="29" t="s">
        <v>1721</v>
      </c>
      <c r="C217" s="29" t="s">
        <v>1722</v>
      </c>
      <c r="D217" s="30" t="s">
        <v>50</v>
      </c>
      <c r="E217" s="31"/>
      <c r="F217" s="32" t="n">
        <v>37</v>
      </c>
      <c r="G217" s="31"/>
      <c r="H217" s="31" t="n">
        <v>1</v>
      </c>
      <c r="I217" s="31" t="s">
        <v>99</v>
      </c>
      <c r="J217" s="29" t="s">
        <v>595</v>
      </c>
      <c r="K217" s="29" t="s">
        <v>596</v>
      </c>
      <c r="L217" s="32" t="n">
        <v>20</v>
      </c>
      <c r="M217" s="33" t="s">
        <v>597</v>
      </c>
      <c r="N217" s="34" t="n">
        <v>75015</v>
      </c>
      <c r="O217" s="35" t="s">
        <v>55</v>
      </c>
      <c r="P217" s="36" t="s">
        <v>1723</v>
      </c>
      <c r="Q217" s="36" t="n">
        <v>90</v>
      </c>
      <c r="R217" s="32" t="n">
        <v>202</v>
      </c>
      <c r="S217" s="32" t="n">
        <v>6</v>
      </c>
      <c r="T217" s="32"/>
      <c r="U217" s="32"/>
      <c r="V217" s="37"/>
      <c r="W217" s="32"/>
      <c r="X217" s="34"/>
      <c r="Y217" s="34"/>
      <c r="Z217" s="32"/>
      <c r="AA217" s="32" t="s">
        <v>1724</v>
      </c>
      <c r="AB217" s="32"/>
      <c r="AC217" s="38" t="str">
        <f aca="false">HYPERLINK("https://biocodex6--c.vf.force.com/0014L00000KG9mIQAT", "BICHARA EMMANUELLE")</f>
        <v>BICHARA EMMANUELLE</v>
      </c>
      <c r="AD217" s="38"/>
      <c r="AE217" s="39"/>
      <c r="AF217" s="40"/>
      <c r="AG217" s="41"/>
      <c r="AH217" s="32"/>
      <c r="AI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XEY217" s="27"/>
      <c r="XEZ217" s="27"/>
      <c r="XFA217" s="27"/>
      <c r="XFB217" s="27"/>
      <c r="XFC217" s="27"/>
      <c r="XFD217" s="27"/>
    </row>
    <row r="218" s="42" customFormat="true" ht="14.15" hidden="false" customHeight="true" outlineLevel="0" collapsed="false">
      <c r="A218" s="28" t="s">
        <v>1725</v>
      </c>
      <c r="B218" s="29" t="s">
        <v>811</v>
      </c>
      <c r="C218" s="29" t="s">
        <v>1726</v>
      </c>
      <c r="D218" s="30" t="s">
        <v>50</v>
      </c>
      <c r="E218" s="30" t="s">
        <v>255</v>
      </c>
      <c r="F218" s="32" t="n">
        <v>53</v>
      </c>
      <c r="G218" s="31"/>
      <c r="H218" s="31" t="n">
        <v>1</v>
      </c>
      <c r="I218" s="31" t="s">
        <v>51</v>
      </c>
      <c r="J218" s="29" t="s">
        <v>286</v>
      </c>
      <c r="K218" s="29" t="s">
        <v>287</v>
      </c>
      <c r="L218" s="32" t="n">
        <v>12</v>
      </c>
      <c r="M218" s="33" t="s">
        <v>288</v>
      </c>
      <c r="N218" s="34" t="n">
        <v>75015</v>
      </c>
      <c r="O218" s="35" t="s">
        <v>55</v>
      </c>
      <c r="P218" s="36" t="s">
        <v>289</v>
      </c>
      <c r="Q218" s="36" t="n">
        <v>14</v>
      </c>
      <c r="R218" s="32" t="n">
        <v>195</v>
      </c>
      <c r="S218" s="32" t="n">
        <v>6</v>
      </c>
      <c r="T218" s="32"/>
      <c r="U218" s="32"/>
      <c r="V218" s="37"/>
      <c r="W218" s="32"/>
      <c r="X218" s="34" t="n">
        <v>1</v>
      </c>
      <c r="Y218" s="34"/>
      <c r="Z218" s="32"/>
      <c r="AA218" s="32" t="s">
        <v>1727</v>
      </c>
      <c r="AB218" s="32"/>
      <c r="AC218" s="38" t="str">
        <f aca="false">HYPERLINK("https://biocodex6--c.vf.force.com/0014L00000KFcTlQAL", "BAYLE GACOIN VERONIQUE")</f>
        <v>BAYLE GACOIN VERONIQUE</v>
      </c>
      <c r="AD218" s="38"/>
      <c r="AE218" s="39" t="n">
        <v>45343.625</v>
      </c>
      <c r="AF218" s="40" t="s">
        <v>1728</v>
      </c>
      <c r="AG218" s="41"/>
      <c r="AH218" s="32"/>
      <c r="AI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43" t="s">
        <v>251</v>
      </c>
      <c r="XEY218" s="27"/>
      <c r="XEZ218" s="27"/>
      <c r="XFA218" s="27"/>
      <c r="XFB218" s="27"/>
      <c r="XFC218" s="27"/>
      <c r="XFD218" s="27"/>
    </row>
    <row r="219" s="42" customFormat="true" ht="14.15" hidden="false" customHeight="true" outlineLevel="0" collapsed="false">
      <c r="A219" s="28" t="s">
        <v>1729</v>
      </c>
      <c r="B219" s="29" t="s">
        <v>1275</v>
      </c>
      <c r="C219" s="29" t="s">
        <v>1730</v>
      </c>
      <c r="D219" s="30" t="s">
        <v>112</v>
      </c>
      <c r="E219" s="31"/>
      <c r="F219" s="32" t="n">
        <v>51</v>
      </c>
      <c r="G219" s="31" t="s">
        <v>215</v>
      </c>
      <c r="H219" s="31" t="n">
        <v>1</v>
      </c>
      <c r="I219" s="31" t="s">
        <v>62</v>
      </c>
      <c r="J219" s="29"/>
      <c r="K219" s="29" t="s">
        <v>1731</v>
      </c>
      <c r="L219" s="32" t="n">
        <v>8</v>
      </c>
      <c r="M219" s="33" t="s">
        <v>757</v>
      </c>
      <c r="N219" s="34" t="n">
        <v>75017</v>
      </c>
      <c r="O219" s="35" t="s">
        <v>55</v>
      </c>
      <c r="P219" s="36" t="s">
        <v>1732</v>
      </c>
      <c r="Q219" s="36" t="n">
        <v>3</v>
      </c>
      <c r="R219" s="32" t="n">
        <v>194</v>
      </c>
      <c r="S219" s="32" t="n">
        <v>6</v>
      </c>
      <c r="T219" s="32"/>
      <c r="U219" s="32"/>
      <c r="V219" s="37" t="n">
        <v>3</v>
      </c>
      <c r="W219" s="32"/>
      <c r="X219" s="34"/>
      <c r="Y219" s="34"/>
      <c r="Z219" s="32"/>
      <c r="AA219" s="32" t="s">
        <v>1733</v>
      </c>
      <c r="AB219" s="32" t="s">
        <v>1734</v>
      </c>
      <c r="AC219" s="38" t="str">
        <f aca="false">HYPERLINK("https://biocodex6--c.vf.force.com/0014L00000KFT18QAH", "BERBERIAN STEPHANE")</f>
        <v>BERBERIAN STEPHANE</v>
      </c>
      <c r="AD219" s="38" t="str">
        <f aca="false">HYPERLINK("https://annuairesante.ameli.fr/professionnels-de-sante/recherche/fiche-detaillee-B7c1lTI5NTex.html", "BERBERIAN STEPHANE")</f>
        <v>BERBERIAN STEPHANE</v>
      </c>
      <c r="AE219" s="39"/>
      <c r="AF219" s="40"/>
      <c r="AG219" s="41"/>
      <c r="AH219" s="32"/>
      <c r="AI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XEY219" s="27"/>
      <c r="XEZ219" s="27"/>
      <c r="XFA219" s="27"/>
      <c r="XFB219" s="27"/>
      <c r="XFC219" s="27"/>
      <c r="XFD219" s="27"/>
    </row>
    <row r="220" s="42" customFormat="true" ht="14.15" hidden="false" customHeight="true" outlineLevel="0" collapsed="false">
      <c r="A220" s="28" t="s">
        <v>1735</v>
      </c>
      <c r="B220" s="29" t="s">
        <v>1736</v>
      </c>
      <c r="C220" s="29" t="s">
        <v>1737</v>
      </c>
      <c r="D220" s="30" t="s">
        <v>75</v>
      </c>
      <c r="E220" s="30" t="s">
        <v>1176</v>
      </c>
      <c r="F220" s="32" t="n">
        <v>73</v>
      </c>
      <c r="G220" s="31" t="s">
        <v>215</v>
      </c>
      <c r="H220" s="31" t="n">
        <v>1</v>
      </c>
      <c r="I220" s="31" t="s">
        <v>173</v>
      </c>
      <c r="J220" s="29"/>
      <c r="K220" s="29" t="s">
        <v>1636</v>
      </c>
      <c r="L220" s="32" t="n">
        <v>44</v>
      </c>
      <c r="M220" s="33" t="s">
        <v>1637</v>
      </c>
      <c r="N220" s="34" t="n">
        <v>75016</v>
      </c>
      <c r="O220" s="35" t="s">
        <v>55</v>
      </c>
      <c r="P220" s="36" t="s">
        <v>1738</v>
      </c>
      <c r="Q220" s="36" t="n">
        <v>3</v>
      </c>
      <c r="R220" s="32" t="n">
        <v>177</v>
      </c>
      <c r="S220" s="32" t="n">
        <v>6</v>
      </c>
      <c r="T220" s="32"/>
      <c r="U220" s="32" t="n">
        <v>3</v>
      </c>
      <c r="V220" s="37"/>
      <c r="W220" s="32" t="n">
        <v>3</v>
      </c>
      <c r="X220" s="34"/>
      <c r="Y220" s="34" t="n">
        <v>2</v>
      </c>
      <c r="Z220" s="32"/>
      <c r="AA220" s="32" t="s">
        <v>1739</v>
      </c>
      <c r="AB220" s="32" t="s">
        <v>1740</v>
      </c>
      <c r="AC220" s="38" t="str">
        <f aca="false">HYPERLINK("https://biocodex6--c.vf.force.com/0014L00000KFQjiQAH", "ARRAGO JEAN PAUL")</f>
        <v>ARRAGO JEAN PAUL</v>
      </c>
      <c r="AD220" s="38" t="str">
        <f aca="false">HYPERLINK("https://annuairesante.ameli.fr/professionnels-de-sante/recherche/fiche-detaillee-B7c1ljE1ODa0.html", "ARRAGO JEAN PAUL")</f>
        <v>ARRAGO JEAN PAUL</v>
      </c>
      <c r="AE220" s="39" t="n">
        <v>45345.5208333333</v>
      </c>
      <c r="AF220" s="40"/>
      <c r="AG220" s="41"/>
      <c r="AH220" s="32"/>
      <c r="AI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XEY220" s="27"/>
      <c r="XEZ220" s="27"/>
      <c r="XFA220" s="27"/>
      <c r="XFB220" s="27"/>
      <c r="XFC220" s="27"/>
      <c r="XFD220" s="27"/>
    </row>
    <row r="221" s="42" customFormat="true" ht="14.15" hidden="false" customHeight="true" outlineLevel="0" collapsed="false">
      <c r="A221" s="28" t="s">
        <v>1741</v>
      </c>
      <c r="B221" s="29" t="s">
        <v>1742</v>
      </c>
      <c r="C221" s="29" t="s">
        <v>1743</v>
      </c>
      <c r="D221" s="30" t="s">
        <v>112</v>
      </c>
      <c r="E221" s="31"/>
      <c r="F221" s="32" t="n">
        <v>77</v>
      </c>
      <c r="G221" s="31"/>
      <c r="H221" s="31" t="n">
        <v>2</v>
      </c>
      <c r="I221" s="31" t="s">
        <v>99</v>
      </c>
      <c r="J221" s="29"/>
      <c r="K221" s="29" t="s">
        <v>1744</v>
      </c>
      <c r="L221" s="32" t="n">
        <v>35</v>
      </c>
      <c r="M221" s="33" t="s">
        <v>1745</v>
      </c>
      <c r="N221" s="34" t="n">
        <v>75015</v>
      </c>
      <c r="O221" s="35" t="s">
        <v>55</v>
      </c>
      <c r="P221" s="36" t="s">
        <v>1746</v>
      </c>
      <c r="Q221" s="36" t="n">
        <v>2</v>
      </c>
      <c r="R221" s="32" t="n">
        <v>173</v>
      </c>
      <c r="S221" s="32" t="n">
        <v>6</v>
      </c>
      <c r="T221" s="32"/>
      <c r="U221" s="32"/>
      <c r="V221" s="37" t="n">
        <v>3</v>
      </c>
      <c r="W221" s="32"/>
      <c r="X221" s="34"/>
      <c r="Y221" s="34"/>
      <c r="Z221" s="32"/>
      <c r="AA221" s="32" t="s">
        <v>1747</v>
      </c>
      <c r="AB221" s="32"/>
      <c r="AC221" s="38" t="str">
        <f aca="false">HYPERLINK("https://biocodex6--c.vf.force.com/0014L00000KFxgrQAD", "REY MADELEINE")</f>
        <v>REY MADELEINE</v>
      </c>
      <c r="AD221" s="38"/>
      <c r="AE221" s="39" t="n">
        <v>45204.625</v>
      </c>
      <c r="AF221" s="40"/>
      <c r="AG221" s="41"/>
      <c r="AH221" s="32"/>
      <c r="AI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XEY221" s="27"/>
      <c r="XEZ221" s="27"/>
      <c r="XFA221" s="27"/>
      <c r="XFB221" s="27"/>
      <c r="XFC221" s="27"/>
      <c r="XFD221" s="27"/>
    </row>
    <row r="222" s="42" customFormat="true" ht="14.15" hidden="false" customHeight="true" outlineLevel="0" collapsed="false">
      <c r="A222" s="28" t="s">
        <v>1748</v>
      </c>
      <c r="B222" s="29" t="s">
        <v>1749</v>
      </c>
      <c r="C222" s="29" t="s">
        <v>1750</v>
      </c>
      <c r="D222" s="30" t="s">
        <v>112</v>
      </c>
      <c r="E222" s="31"/>
      <c r="F222" s="32" t="n">
        <v>72</v>
      </c>
      <c r="G222" s="31" t="s">
        <v>98</v>
      </c>
      <c r="H222" s="31" t="n">
        <v>1</v>
      </c>
      <c r="I222" s="31" t="s">
        <v>62</v>
      </c>
      <c r="J222" s="29"/>
      <c r="K222" s="29" t="s">
        <v>1751</v>
      </c>
      <c r="L222" s="32" t="n">
        <v>7</v>
      </c>
      <c r="M222" s="33" t="s">
        <v>1752</v>
      </c>
      <c r="N222" s="34" t="n">
        <v>75017</v>
      </c>
      <c r="O222" s="35" t="s">
        <v>55</v>
      </c>
      <c r="P222" s="36" t="s">
        <v>1753</v>
      </c>
      <c r="Q222" s="36" t="n">
        <v>1</v>
      </c>
      <c r="R222" s="32" t="n">
        <v>168</v>
      </c>
      <c r="S222" s="32" t="n">
        <v>6</v>
      </c>
      <c r="T222" s="32"/>
      <c r="U222" s="32" t="n">
        <v>3</v>
      </c>
      <c r="V222" s="37" t="n">
        <v>3</v>
      </c>
      <c r="W222" s="32" t="n">
        <v>3</v>
      </c>
      <c r="X222" s="34"/>
      <c r="Y222" s="34" t="n">
        <v>1</v>
      </c>
      <c r="Z222" s="32"/>
      <c r="AA222" s="32" t="s">
        <v>1754</v>
      </c>
      <c r="AB222" s="32" t="s">
        <v>1755</v>
      </c>
      <c r="AC222" s="38" t="str">
        <f aca="false">HYPERLINK("https://biocodex6--c.vf.force.com/0014L00000KFt6xQAD", "MUCKENSTURM DANIELE")</f>
        <v>MUCKENSTURM DANIELE</v>
      </c>
      <c r="AD222" s="38" t="str">
        <f aca="false">HYPERLINK("https://annuairesante.ameli.fr/professionnels-de-sante/recherche/fiche-detaillee-B7c1lzU1NTqx.html", "MUCKENSTURM DANIELE")</f>
        <v>MUCKENSTURM DANIELE</v>
      </c>
      <c r="AE222" s="39"/>
      <c r="AF222" s="40"/>
      <c r="AG222" s="41"/>
      <c r="AH222" s="32"/>
      <c r="AI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XEY222" s="27"/>
      <c r="XEZ222" s="27"/>
      <c r="XFA222" s="27"/>
      <c r="XFB222" s="27"/>
      <c r="XFC222" s="27"/>
      <c r="XFD222" s="27"/>
    </row>
    <row r="223" s="42" customFormat="true" ht="14.15" hidden="false" customHeight="true" outlineLevel="0" collapsed="false">
      <c r="A223" s="28" t="s">
        <v>1756</v>
      </c>
      <c r="B223" s="29" t="s">
        <v>1757</v>
      </c>
      <c r="C223" s="29" t="s">
        <v>1758</v>
      </c>
      <c r="D223" s="30" t="s">
        <v>206</v>
      </c>
      <c r="E223" s="31"/>
      <c r="F223" s="32" t="n">
        <v>63</v>
      </c>
      <c r="G223" s="31" t="s">
        <v>98</v>
      </c>
      <c r="H223" s="31" t="n">
        <v>1</v>
      </c>
      <c r="I223" s="31" t="s">
        <v>233</v>
      </c>
      <c r="J223" s="29"/>
      <c r="K223" s="29" t="s">
        <v>1759</v>
      </c>
      <c r="L223" s="32" t="n">
        <v>4</v>
      </c>
      <c r="M223" s="33" t="s">
        <v>1760</v>
      </c>
      <c r="N223" s="34" t="n">
        <v>75015</v>
      </c>
      <c r="O223" s="35" t="s">
        <v>55</v>
      </c>
      <c r="P223" s="36" t="s">
        <v>1761</v>
      </c>
      <c r="Q223" s="36" t="n">
        <v>1</v>
      </c>
      <c r="R223" s="32" t="n">
        <v>167</v>
      </c>
      <c r="S223" s="32" t="n">
        <v>6</v>
      </c>
      <c r="T223" s="32"/>
      <c r="U223" s="32" t="n">
        <v>3</v>
      </c>
      <c r="V223" s="37" t="n">
        <v>3</v>
      </c>
      <c r="W223" s="32" t="n">
        <v>3</v>
      </c>
      <c r="X223" s="34"/>
      <c r="Y223" s="34" t="n">
        <v>3</v>
      </c>
      <c r="Z223" s="32"/>
      <c r="AA223" s="32" t="s">
        <v>1762</v>
      </c>
      <c r="AB223" s="32" t="s">
        <v>1763</v>
      </c>
      <c r="AC223" s="38" t="str">
        <f aca="false">HYPERLINK("https://biocodex6--c.vf.force.com/0014L00000KG7r5QAD", "SOAVA MARINA")</f>
        <v>SOAVA MARINA</v>
      </c>
      <c r="AD223" s="38" t="str">
        <f aca="false">HYPERLINK("https://annuairesante.ameli.fr/professionnels-de-sante/recherche/fiche-detaillee-B7c1kjI2MTSw.html", "SOAVA MARINA")</f>
        <v>SOAVA MARINA</v>
      </c>
      <c r="AE223" s="39"/>
      <c r="AF223" s="40"/>
      <c r="AG223" s="41"/>
      <c r="AH223" s="32"/>
      <c r="AI223" s="32"/>
      <c r="AL223" s="43" t="s">
        <v>1764</v>
      </c>
      <c r="AM223" s="43" t="s">
        <v>476</v>
      </c>
      <c r="AN223" s="43" t="s">
        <v>474</v>
      </c>
      <c r="AO223" s="43" t="s">
        <v>1670</v>
      </c>
      <c r="AP223" s="32"/>
      <c r="AQ223" s="32"/>
      <c r="AR223" s="43" t="s">
        <v>474</v>
      </c>
      <c r="AS223" s="43" t="s">
        <v>1670</v>
      </c>
      <c r="AT223" s="43" t="s">
        <v>1764</v>
      </c>
      <c r="AU223" s="43" t="s">
        <v>1692</v>
      </c>
      <c r="XEY223" s="27"/>
      <c r="XEZ223" s="27"/>
      <c r="XFA223" s="27"/>
      <c r="XFB223" s="27"/>
      <c r="XFC223" s="27"/>
      <c r="XFD223" s="27"/>
    </row>
    <row r="224" s="42" customFormat="true" ht="14.15" hidden="false" customHeight="true" outlineLevel="0" collapsed="false">
      <c r="A224" s="28" t="s">
        <v>1765</v>
      </c>
      <c r="B224" s="29" t="s">
        <v>1766</v>
      </c>
      <c r="C224" s="29" t="s">
        <v>1767</v>
      </c>
      <c r="D224" s="30" t="s">
        <v>244</v>
      </c>
      <c r="E224" s="30" t="s">
        <v>245</v>
      </c>
      <c r="F224" s="32" t="n">
        <v>80</v>
      </c>
      <c r="G224" s="31" t="s">
        <v>215</v>
      </c>
      <c r="H224" s="31" t="n">
        <v>1</v>
      </c>
      <c r="I224" s="31" t="s">
        <v>99</v>
      </c>
      <c r="J224" s="29"/>
      <c r="K224" s="29" t="s">
        <v>1768</v>
      </c>
      <c r="L224" s="32" t="n">
        <v>50</v>
      </c>
      <c r="M224" s="33" t="s">
        <v>1769</v>
      </c>
      <c r="N224" s="34" t="n">
        <v>75015</v>
      </c>
      <c r="O224" s="35" t="s">
        <v>55</v>
      </c>
      <c r="P224" s="36" t="s">
        <v>1770</v>
      </c>
      <c r="Q224" s="36" t="n">
        <v>2</v>
      </c>
      <c r="R224" s="32" t="n">
        <v>165</v>
      </c>
      <c r="S224" s="32" t="n">
        <v>6</v>
      </c>
      <c r="T224" s="32"/>
      <c r="U224" s="32" t="n">
        <v>3</v>
      </c>
      <c r="V224" s="37"/>
      <c r="W224" s="32" t="n">
        <v>3</v>
      </c>
      <c r="X224" s="34" t="n">
        <v>1</v>
      </c>
      <c r="Y224" s="34" t="n">
        <v>2</v>
      </c>
      <c r="Z224" s="32" t="s">
        <v>1771</v>
      </c>
      <c r="AA224" s="32" t="s">
        <v>1772</v>
      </c>
      <c r="AB224" s="32" t="s">
        <v>1773</v>
      </c>
      <c r="AC224" s="38" t="str">
        <f aca="false">HYPERLINK("https://biocodex6--c.vf.force.com/0014L00000KFZbzQAH", "DELAFFOND FRANCOIS")</f>
        <v>DELAFFOND FRANCOIS</v>
      </c>
      <c r="AD224" s="38" t="str">
        <f aca="false">HYPERLINK("https://annuairesante.ameli.fr/professionnels-de-sante/recherche/fiche-detaillee-B7c1kTIxNDO7.html", "DELAFFOND FRANCOIS")</f>
        <v>DELAFFOND FRANCOIS</v>
      </c>
      <c r="AE224" s="39" t="n">
        <v>45274.6458333333</v>
      </c>
      <c r="AF224" s="40" t="s">
        <v>1774</v>
      </c>
      <c r="AG224" s="41"/>
      <c r="AH224" s="32"/>
      <c r="AI224" s="32" t="s">
        <v>106</v>
      </c>
      <c r="AJ224" s="32"/>
      <c r="AK224" s="32"/>
      <c r="AL224" s="32"/>
      <c r="AM224" s="32"/>
      <c r="AN224" s="32"/>
      <c r="AO224" s="43" t="s">
        <v>1775</v>
      </c>
      <c r="AP224" s="32"/>
      <c r="AQ224" s="32"/>
      <c r="AR224" s="32"/>
      <c r="AS224" s="43" t="s">
        <v>1775</v>
      </c>
      <c r="AT224" s="32"/>
      <c r="AU224" s="32"/>
      <c r="XEY224" s="27"/>
      <c r="XEZ224" s="27"/>
      <c r="XFA224" s="27"/>
      <c r="XFB224" s="27"/>
      <c r="XFC224" s="27"/>
      <c r="XFD224" s="27"/>
    </row>
    <row r="225" s="42" customFormat="true" ht="14.15" hidden="false" customHeight="true" outlineLevel="0" collapsed="false">
      <c r="A225" s="28" t="s">
        <v>1776</v>
      </c>
      <c r="B225" s="29" t="s">
        <v>1777</v>
      </c>
      <c r="C225" s="29" t="s">
        <v>1778</v>
      </c>
      <c r="D225" s="30" t="s">
        <v>112</v>
      </c>
      <c r="E225" s="31"/>
      <c r="F225" s="32" t="n">
        <v>58</v>
      </c>
      <c r="G225" s="31" t="s">
        <v>215</v>
      </c>
      <c r="H225" s="31" t="n">
        <v>1</v>
      </c>
      <c r="I225" s="31" t="s">
        <v>62</v>
      </c>
      <c r="J225" s="29"/>
      <c r="K225" s="29" t="s">
        <v>1779</v>
      </c>
      <c r="L225" s="32" t="n">
        <v>138</v>
      </c>
      <c r="M225" s="33" t="s">
        <v>1138</v>
      </c>
      <c r="N225" s="34" t="n">
        <v>75017</v>
      </c>
      <c r="O225" s="35" t="s">
        <v>55</v>
      </c>
      <c r="P225" s="36" t="s">
        <v>1780</v>
      </c>
      <c r="Q225" s="36" t="n">
        <v>3</v>
      </c>
      <c r="R225" s="32" t="n">
        <v>163</v>
      </c>
      <c r="S225" s="32" t="n">
        <v>6</v>
      </c>
      <c r="T225" s="32"/>
      <c r="U225" s="32" t="n">
        <v>3</v>
      </c>
      <c r="V225" s="37" t="n">
        <v>3</v>
      </c>
      <c r="W225" s="32" t="n">
        <v>3</v>
      </c>
      <c r="X225" s="34"/>
      <c r="Y225" s="34" t="n">
        <v>1</v>
      </c>
      <c r="Z225" s="32"/>
      <c r="AA225" s="32" t="s">
        <v>1781</v>
      </c>
      <c r="AB225" s="32" t="s">
        <v>1782</v>
      </c>
      <c r="AC225" s="38" t="str">
        <f aca="false">HYPERLINK("https://biocodex6--c.vf.force.com/0014L00000KFTP8QAP", "BISROR VALERIE")</f>
        <v>BISROR VALERIE</v>
      </c>
      <c r="AD225" s="38" t="str">
        <f aca="false">HYPERLINK("https://annuairesante.ameli.fr/professionnels-de-sante/recherche/fiche-detaillee-B7c1lDEzMTC0.html", "BISROR VALERIE")</f>
        <v>BISROR VALERIE</v>
      </c>
      <c r="AE225" s="39"/>
      <c r="AF225" s="40"/>
      <c r="AG225" s="41"/>
      <c r="AH225" s="32"/>
      <c r="AI225" s="32"/>
      <c r="AL225" s="43" t="s">
        <v>263</v>
      </c>
      <c r="AM225" s="43" t="s">
        <v>137</v>
      </c>
      <c r="AN225" s="32"/>
      <c r="AO225" s="43" t="s">
        <v>924</v>
      </c>
      <c r="AP225" s="43" t="s">
        <v>263</v>
      </c>
      <c r="AQ225" s="43" t="s">
        <v>137</v>
      </c>
      <c r="AR225" s="32"/>
      <c r="AS225" s="32"/>
      <c r="AT225" s="43" t="s">
        <v>263</v>
      </c>
      <c r="AU225" s="43" t="s">
        <v>137</v>
      </c>
      <c r="XEY225" s="27"/>
      <c r="XEZ225" s="27"/>
      <c r="XFA225" s="27"/>
      <c r="XFB225" s="27"/>
      <c r="XFC225" s="27"/>
      <c r="XFD225" s="27"/>
    </row>
    <row r="226" s="42" customFormat="true" ht="14.15" hidden="false" customHeight="true" outlineLevel="0" collapsed="false">
      <c r="A226" s="28" t="s">
        <v>1783</v>
      </c>
      <c r="B226" s="29" t="s">
        <v>1784</v>
      </c>
      <c r="C226" s="29" t="s">
        <v>1785</v>
      </c>
      <c r="D226" s="30" t="s">
        <v>50</v>
      </c>
      <c r="E226" s="31"/>
      <c r="F226" s="32" t="n">
        <v>75</v>
      </c>
      <c r="G226" s="31"/>
      <c r="H226" s="31" t="n">
        <v>3</v>
      </c>
      <c r="I226" s="31" t="s">
        <v>51</v>
      </c>
      <c r="J226" s="29"/>
      <c r="K226" s="29" t="s">
        <v>1786</v>
      </c>
      <c r="L226" s="32" t="n">
        <v>4</v>
      </c>
      <c r="M226" s="33" t="s">
        <v>1787</v>
      </c>
      <c r="N226" s="34" t="n">
        <v>75015</v>
      </c>
      <c r="O226" s="35" t="s">
        <v>55</v>
      </c>
      <c r="P226" s="36"/>
      <c r="Q226" s="36" t="n">
        <v>4</v>
      </c>
      <c r="R226" s="32" t="n">
        <v>158</v>
      </c>
      <c r="S226" s="32" t="n">
        <v>6</v>
      </c>
      <c r="T226" s="32"/>
      <c r="U226" s="32"/>
      <c r="V226" s="37"/>
      <c r="W226" s="32"/>
      <c r="X226" s="34"/>
      <c r="Y226" s="34"/>
      <c r="Z226" s="32"/>
      <c r="AA226" s="32" t="s">
        <v>1788</v>
      </c>
      <c r="AB226" s="32"/>
      <c r="AC226" s="38" t="str">
        <f aca="false">HYPERLINK("https://biocodex6--c.vf.force.com/0014L00000KFaypQAD", "DJABOUROV JEANINE")</f>
        <v>DJABOUROV JEANINE</v>
      </c>
      <c r="AD226" s="38"/>
      <c r="AE226" s="39"/>
      <c r="AF226" s="40"/>
      <c r="AG226" s="41"/>
      <c r="AH226" s="32"/>
      <c r="AI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XEY226" s="27"/>
      <c r="XEZ226" s="27"/>
      <c r="XFA226" s="27"/>
      <c r="XFB226" s="27"/>
      <c r="XFC226" s="27"/>
      <c r="XFD226" s="27"/>
    </row>
    <row r="227" s="42" customFormat="true" ht="14.15" hidden="false" customHeight="true" outlineLevel="0" collapsed="false">
      <c r="A227" s="28" t="s">
        <v>1789</v>
      </c>
      <c r="B227" s="29" t="s">
        <v>1790</v>
      </c>
      <c r="C227" s="29" t="s">
        <v>1791</v>
      </c>
      <c r="D227" s="30" t="s">
        <v>75</v>
      </c>
      <c r="E227" s="31"/>
      <c r="F227" s="32" t="n">
        <v>53</v>
      </c>
      <c r="G227" s="31" t="s">
        <v>215</v>
      </c>
      <c r="H227" s="31" t="n">
        <v>3</v>
      </c>
      <c r="I227" s="31" t="s">
        <v>173</v>
      </c>
      <c r="J227" s="29"/>
      <c r="K227" s="29" t="s">
        <v>1792</v>
      </c>
      <c r="L227" s="32" t="n">
        <v>72</v>
      </c>
      <c r="M227" s="33" t="s">
        <v>743</v>
      </c>
      <c r="N227" s="34" t="n">
        <v>75016</v>
      </c>
      <c r="O227" s="35" t="s">
        <v>55</v>
      </c>
      <c r="P227" s="36" t="s">
        <v>1793</v>
      </c>
      <c r="Q227" s="36" t="n">
        <v>3</v>
      </c>
      <c r="R227" s="32" t="n">
        <v>157</v>
      </c>
      <c r="S227" s="32" t="n">
        <v>6</v>
      </c>
      <c r="T227" s="32"/>
      <c r="U227" s="32"/>
      <c r="V227" s="37" t="n">
        <v>2</v>
      </c>
      <c r="W227" s="32"/>
      <c r="X227" s="34"/>
      <c r="Y227" s="34"/>
      <c r="Z227" s="32"/>
      <c r="AA227" s="32" t="s">
        <v>1794</v>
      </c>
      <c r="AB227" s="32" t="s">
        <v>1795</v>
      </c>
      <c r="AC227" s="38" t="str">
        <f aca="false">HYPERLINK("https://biocodex6--c.vf.force.com/0014L00000KFMZiQAP", "EDERY JOEL")</f>
        <v>EDERY JOEL</v>
      </c>
      <c r="AD227" s="38" t="str">
        <f aca="false">HYPERLINK("https://annuairesante.ameli.fr/professionnels-de-sante/recherche/fiche-detaillee-B7c1lTE5Mja0.html", "EDERY JOEL")</f>
        <v>EDERY JOEL</v>
      </c>
      <c r="AE227" s="39"/>
      <c r="AF227" s="40"/>
      <c r="AG227" s="41"/>
      <c r="AH227" s="32"/>
      <c r="AI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XEY227" s="27"/>
      <c r="XEZ227" s="27"/>
      <c r="XFA227" s="27"/>
      <c r="XFB227" s="27"/>
      <c r="XFC227" s="27"/>
      <c r="XFD227" s="27"/>
    </row>
    <row r="228" s="42" customFormat="true" ht="14.15" hidden="false" customHeight="true" outlineLevel="0" collapsed="false">
      <c r="A228" s="28" t="s">
        <v>1796</v>
      </c>
      <c r="B228" s="29" t="s">
        <v>1057</v>
      </c>
      <c r="C228" s="29" t="s">
        <v>1797</v>
      </c>
      <c r="D228" s="30" t="s">
        <v>50</v>
      </c>
      <c r="E228" s="30" t="s">
        <v>1798</v>
      </c>
      <c r="F228" s="32" t="n">
        <v>80</v>
      </c>
      <c r="G228" s="31"/>
      <c r="H228" s="31" t="n">
        <v>1</v>
      </c>
      <c r="I228" s="31" t="s">
        <v>572</v>
      </c>
      <c r="J228" s="29" t="s">
        <v>678</v>
      </c>
      <c r="K228" s="29" t="s">
        <v>679</v>
      </c>
      <c r="L228" s="32" t="n">
        <v>6</v>
      </c>
      <c r="M228" s="33" t="s">
        <v>680</v>
      </c>
      <c r="N228" s="34" t="n">
        <v>75008</v>
      </c>
      <c r="O228" s="35" t="s">
        <v>55</v>
      </c>
      <c r="P228" s="36" t="s">
        <v>870</v>
      </c>
      <c r="Q228" s="36" t="n">
        <v>43</v>
      </c>
      <c r="R228" s="32" t="n">
        <v>150</v>
      </c>
      <c r="S228" s="32" t="n">
        <v>6</v>
      </c>
      <c r="T228" s="32"/>
      <c r="U228" s="32"/>
      <c r="V228" s="37"/>
      <c r="W228" s="32"/>
      <c r="X228" s="34" t="n">
        <v>1</v>
      </c>
      <c r="Y228" s="34"/>
      <c r="Z228" s="32"/>
      <c r="AA228" s="32" t="s">
        <v>1799</v>
      </c>
      <c r="AB228" s="32"/>
      <c r="AC228" s="38" t="str">
        <f aca="false">HYPERLINK("https://biocodex6--c.vf.force.com/0014L00000KFjSsQAL", "ISVY VIGNOLA NICOLE")</f>
        <v>ISVY VIGNOLA NICOLE</v>
      </c>
      <c r="AD228" s="38"/>
      <c r="AE228" s="39" t="n">
        <v>45280.6041666667</v>
      </c>
      <c r="AF228" s="40" t="s">
        <v>1800</v>
      </c>
      <c r="AG228" s="41"/>
      <c r="AH228" s="32"/>
      <c r="AI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XEY228" s="27"/>
      <c r="XEZ228" s="27"/>
      <c r="XFA228" s="27"/>
      <c r="XFB228" s="27"/>
      <c r="XFC228" s="27"/>
      <c r="XFD228" s="27"/>
    </row>
    <row r="229" s="42" customFormat="true" ht="14.15" hidden="false" customHeight="true" outlineLevel="0" collapsed="false">
      <c r="A229" s="28" t="s">
        <v>1801</v>
      </c>
      <c r="B229" s="29" t="s">
        <v>1802</v>
      </c>
      <c r="C229" s="29" t="s">
        <v>1803</v>
      </c>
      <c r="D229" s="30" t="s">
        <v>50</v>
      </c>
      <c r="E229" s="31"/>
      <c r="F229" s="32" t="n">
        <v>78</v>
      </c>
      <c r="G229" s="31"/>
      <c r="H229" s="31" t="n">
        <v>2</v>
      </c>
      <c r="I229" s="31" t="s">
        <v>572</v>
      </c>
      <c r="J229" s="29" t="s">
        <v>678</v>
      </c>
      <c r="K229" s="29" t="s">
        <v>679</v>
      </c>
      <c r="L229" s="32" t="n">
        <v>6</v>
      </c>
      <c r="M229" s="33" t="s">
        <v>680</v>
      </c>
      <c r="N229" s="34" t="n">
        <v>75008</v>
      </c>
      <c r="O229" s="35" t="s">
        <v>55</v>
      </c>
      <c r="P229" s="36" t="s">
        <v>870</v>
      </c>
      <c r="Q229" s="36" t="n">
        <v>43</v>
      </c>
      <c r="R229" s="32" t="n">
        <v>150</v>
      </c>
      <c r="S229" s="32" t="n">
        <v>6</v>
      </c>
      <c r="T229" s="32"/>
      <c r="U229" s="32"/>
      <c r="V229" s="37"/>
      <c r="W229" s="32"/>
      <c r="X229" s="34" t="n">
        <v>1</v>
      </c>
      <c r="Y229" s="34"/>
      <c r="Z229" s="32"/>
      <c r="AA229" s="32" t="s">
        <v>1804</v>
      </c>
      <c r="AB229" s="32"/>
      <c r="AC229" s="38" t="str">
        <f aca="false">HYPERLINK("https://biocodex6--c.vf.force.com/0014L00000KFNkDQAX", "ABOULKER J PIERRE")</f>
        <v>ABOULKER J PIERRE</v>
      </c>
      <c r="AD229" s="38"/>
      <c r="AE229" s="39" t="n">
        <v>45191.5833333333</v>
      </c>
      <c r="AF229" s="40"/>
      <c r="AG229" s="41"/>
      <c r="AH229" s="32"/>
      <c r="AI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XEY229" s="27"/>
      <c r="XEZ229" s="27"/>
      <c r="XFA229" s="27"/>
      <c r="XFB229" s="27"/>
      <c r="XFC229" s="27"/>
      <c r="XFD229" s="27"/>
    </row>
    <row r="230" s="42" customFormat="true" ht="14.15" hidden="false" customHeight="true" outlineLevel="0" collapsed="false">
      <c r="A230" s="28" t="s">
        <v>1805</v>
      </c>
      <c r="B230" s="29" t="s">
        <v>1385</v>
      </c>
      <c r="C230" s="29" t="s">
        <v>1806</v>
      </c>
      <c r="D230" s="30" t="s">
        <v>112</v>
      </c>
      <c r="E230" s="31"/>
      <c r="F230" s="32" t="n">
        <v>47</v>
      </c>
      <c r="G230" s="31"/>
      <c r="H230" s="31" t="n">
        <v>1</v>
      </c>
      <c r="I230" s="31" t="s">
        <v>51</v>
      </c>
      <c r="J230" s="29" t="s">
        <v>52</v>
      </c>
      <c r="K230" s="29" t="s">
        <v>53</v>
      </c>
      <c r="L230" s="32" t="n">
        <v>149</v>
      </c>
      <c r="M230" s="33" t="s">
        <v>54</v>
      </c>
      <c r="N230" s="34" t="n">
        <v>75015</v>
      </c>
      <c r="O230" s="35" t="s">
        <v>55</v>
      </c>
      <c r="P230" s="36" t="s">
        <v>1807</v>
      </c>
      <c r="Q230" s="36" t="n">
        <v>236</v>
      </c>
      <c r="R230" s="32" t="n">
        <v>134</v>
      </c>
      <c r="S230" s="32" t="n">
        <v>6</v>
      </c>
      <c r="T230" s="32"/>
      <c r="U230" s="32"/>
      <c r="V230" s="37"/>
      <c r="W230" s="32"/>
      <c r="X230" s="34"/>
      <c r="Y230" s="34"/>
      <c r="Z230" s="32"/>
      <c r="AA230" s="32" t="s">
        <v>1808</v>
      </c>
      <c r="AB230" s="32"/>
      <c r="AC230" s="38" t="str">
        <f aca="false">HYPERLINK("https://biocodex6--c.vf.force.com/0014L00000KFkGxQAL", "LAMBE CECILE")</f>
        <v>LAMBE CECILE</v>
      </c>
      <c r="AD230" s="38"/>
      <c r="AE230" s="39" t="n">
        <v>45260.5</v>
      </c>
      <c r="AF230" s="40"/>
      <c r="AG230" s="41"/>
      <c r="AH230" s="32"/>
      <c r="AI230" s="32"/>
      <c r="AJ230" s="42" t="s">
        <v>1809</v>
      </c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XEY230" s="27"/>
      <c r="XEZ230" s="27"/>
      <c r="XFA230" s="27"/>
      <c r="XFB230" s="27"/>
      <c r="XFC230" s="27"/>
      <c r="XFD230" s="27"/>
    </row>
    <row r="231" s="42" customFormat="true" ht="14.15" hidden="false" customHeight="true" outlineLevel="0" collapsed="false">
      <c r="A231" s="28" t="s">
        <v>1810</v>
      </c>
      <c r="B231" s="29" t="s">
        <v>1057</v>
      </c>
      <c r="C231" s="29" t="s">
        <v>1811</v>
      </c>
      <c r="D231" s="30" t="s">
        <v>112</v>
      </c>
      <c r="E231" s="30" t="s">
        <v>972</v>
      </c>
      <c r="F231" s="32" t="n">
        <v>44</v>
      </c>
      <c r="G231" s="31"/>
      <c r="H231" s="31" t="n">
        <v>1</v>
      </c>
      <c r="I231" s="31" t="s">
        <v>51</v>
      </c>
      <c r="J231" s="29" t="s">
        <v>52</v>
      </c>
      <c r="K231" s="29" t="s">
        <v>53</v>
      </c>
      <c r="L231" s="32" t="n">
        <v>149</v>
      </c>
      <c r="M231" s="33" t="s">
        <v>54</v>
      </c>
      <c r="N231" s="34" t="n">
        <v>75015</v>
      </c>
      <c r="O231" s="35" t="s">
        <v>55</v>
      </c>
      <c r="P231" s="36" t="s">
        <v>269</v>
      </c>
      <c r="Q231" s="36" t="n">
        <v>236</v>
      </c>
      <c r="R231" s="32" t="n">
        <v>134</v>
      </c>
      <c r="S231" s="32" t="n">
        <v>6</v>
      </c>
      <c r="T231" s="32"/>
      <c r="U231" s="32"/>
      <c r="V231" s="37"/>
      <c r="W231" s="32" t="n">
        <v>2</v>
      </c>
      <c r="X231" s="34"/>
      <c r="Y231" s="34" t="n">
        <v>1</v>
      </c>
      <c r="Z231" s="32"/>
      <c r="AA231" s="32" t="s">
        <v>1812</v>
      </c>
      <c r="AB231" s="32"/>
      <c r="AC231" s="38" t="str">
        <f aca="false">HYPERLINK("https://biocodex6--c.vf.force.com/0014L00000KFei4QAD", "CHEMALY PERIN NICOLE")</f>
        <v>CHEMALY PERIN NICOLE</v>
      </c>
      <c r="AD231" s="38"/>
      <c r="AE231" s="39"/>
      <c r="AF231" s="40"/>
      <c r="AG231" s="41"/>
      <c r="AH231" s="32"/>
      <c r="AI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XEY231" s="27"/>
      <c r="XEZ231" s="27"/>
      <c r="XFA231" s="27"/>
      <c r="XFB231" s="27"/>
      <c r="XFC231" s="27"/>
      <c r="XFD231" s="27"/>
    </row>
    <row r="232" s="42" customFormat="true" ht="14.15" hidden="false" customHeight="true" outlineLevel="0" collapsed="false">
      <c r="A232" s="28" t="s">
        <v>1813</v>
      </c>
      <c r="B232" s="29" t="s">
        <v>376</v>
      </c>
      <c r="C232" s="29" t="s">
        <v>1814</v>
      </c>
      <c r="D232" s="30" t="s">
        <v>112</v>
      </c>
      <c r="E232" s="30" t="s">
        <v>1709</v>
      </c>
      <c r="F232" s="32" t="n">
        <v>62</v>
      </c>
      <c r="G232" s="31"/>
      <c r="H232" s="31" t="n">
        <v>1</v>
      </c>
      <c r="I232" s="31" t="s">
        <v>51</v>
      </c>
      <c r="J232" s="29" t="s">
        <v>52</v>
      </c>
      <c r="K232" s="29" t="s">
        <v>53</v>
      </c>
      <c r="L232" s="32" t="n">
        <v>149</v>
      </c>
      <c r="M232" s="33" t="s">
        <v>54</v>
      </c>
      <c r="N232" s="34" t="n">
        <v>75015</v>
      </c>
      <c r="O232" s="35" t="s">
        <v>55</v>
      </c>
      <c r="P232" s="36" t="s">
        <v>1815</v>
      </c>
      <c r="Q232" s="36" t="n">
        <v>236</v>
      </c>
      <c r="R232" s="32" t="n">
        <v>134</v>
      </c>
      <c r="S232" s="32" t="n">
        <v>6</v>
      </c>
      <c r="T232" s="32"/>
      <c r="U232" s="32"/>
      <c r="V232" s="37"/>
      <c r="W232" s="32"/>
      <c r="X232" s="34"/>
      <c r="Y232" s="34"/>
      <c r="Z232" s="32"/>
      <c r="AA232" s="32" t="s">
        <v>1816</v>
      </c>
      <c r="AB232" s="32"/>
      <c r="AC232" s="38" t="str">
        <f aca="false">HYPERLINK("https://biocodex6--c.vf.force.com/0014L00000KFoNiQAL", "LAPILLONNE ALEXANDRE")</f>
        <v>LAPILLONNE ALEXANDRE</v>
      </c>
      <c r="AD232" s="38"/>
      <c r="AE232" s="39"/>
      <c r="AF232" s="40"/>
      <c r="AG232" s="41"/>
      <c r="AH232" s="32"/>
      <c r="AI232" s="32"/>
      <c r="AJ232" s="42" t="s">
        <v>1817</v>
      </c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XEY232" s="27"/>
      <c r="XEZ232" s="27"/>
      <c r="XFA232" s="27"/>
      <c r="XFB232" s="27"/>
      <c r="XFC232" s="27"/>
      <c r="XFD232" s="27"/>
    </row>
    <row r="233" s="42" customFormat="true" ht="14.15" hidden="false" customHeight="true" outlineLevel="0" collapsed="false">
      <c r="A233" s="28" t="s">
        <v>1818</v>
      </c>
      <c r="B233" s="29" t="s">
        <v>643</v>
      </c>
      <c r="C233" s="29" t="s">
        <v>1819</v>
      </c>
      <c r="D233" s="30" t="s">
        <v>112</v>
      </c>
      <c r="E233" s="30" t="s">
        <v>1820</v>
      </c>
      <c r="F233" s="32" t="n">
        <v>57</v>
      </c>
      <c r="G233" s="31"/>
      <c r="H233" s="31" t="n">
        <v>1</v>
      </c>
      <c r="I233" s="31" t="s">
        <v>51</v>
      </c>
      <c r="J233" s="29" t="s">
        <v>52</v>
      </c>
      <c r="K233" s="29" t="s">
        <v>53</v>
      </c>
      <c r="L233" s="32" t="n">
        <v>149</v>
      </c>
      <c r="M233" s="33" t="s">
        <v>54</v>
      </c>
      <c r="N233" s="34" t="n">
        <v>75015</v>
      </c>
      <c r="O233" s="35" t="s">
        <v>55</v>
      </c>
      <c r="P233" s="36" t="s">
        <v>1821</v>
      </c>
      <c r="Q233" s="36" t="n">
        <v>236</v>
      </c>
      <c r="R233" s="32" t="n">
        <v>134</v>
      </c>
      <c r="S233" s="32" t="n">
        <v>6</v>
      </c>
      <c r="T233" s="32"/>
      <c r="U233" s="32"/>
      <c r="V233" s="37"/>
      <c r="W233" s="32"/>
      <c r="X233" s="34"/>
      <c r="Y233" s="34"/>
      <c r="Z233" s="32"/>
      <c r="AA233" s="32" t="s">
        <v>1822</v>
      </c>
      <c r="AB233" s="32"/>
      <c r="AC233" s="38" t="str">
        <f aca="false">HYPERLINK("https://biocodex6--c.vf.force.com/0014L00000KFxHDQA1", "QUARTIER DIT MAIRE PIERRE")</f>
        <v>QUARTIER DIT MAIRE PIERRE</v>
      </c>
      <c r="AD233" s="38"/>
      <c r="AE233" s="39"/>
      <c r="AF233" s="40"/>
      <c r="AG233" s="41"/>
      <c r="AH233" s="32"/>
      <c r="AI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XEY233" s="27"/>
      <c r="XEZ233" s="27"/>
      <c r="XFA233" s="27"/>
      <c r="XFB233" s="27"/>
      <c r="XFC233" s="27"/>
      <c r="XFD233" s="27"/>
    </row>
    <row r="234" s="42" customFormat="true" ht="14.15" hidden="false" customHeight="true" outlineLevel="0" collapsed="false">
      <c r="A234" s="28" t="s">
        <v>1823</v>
      </c>
      <c r="B234" s="29" t="s">
        <v>117</v>
      </c>
      <c r="C234" s="29" t="s">
        <v>1824</v>
      </c>
      <c r="D234" s="30" t="s">
        <v>244</v>
      </c>
      <c r="E234" s="31"/>
      <c r="F234" s="32" t="n">
        <v>76</v>
      </c>
      <c r="G234" s="31"/>
      <c r="H234" s="31" t="n">
        <v>2</v>
      </c>
      <c r="I234" s="31" t="s">
        <v>572</v>
      </c>
      <c r="J234" s="29" t="s">
        <v>678</v>
      </c>
      <c r="K234" s="29" t="s">
        <v>679</v>
      </c>
      <c r="L234" s="32" t="n">
        <v>6</v>
      </c>
      <c r="M234" s="33" t="s">
        <v>680</v>
      </c>
      <c r="N234" s="34" t="n">
        <v>75008</v>
      </c>
      <c r="O234" s="35" t="s">
        <v>55</v>
      </c>
      <c r="P234" s="36" t="s">
        <v>1825</v>
      </c>
      <c r="Q234" s="36" t="n">
        <v>43</v>
      </c>
      <c r="R234" s="32" t="n">
        <v>128</v>
      </c>
      <c r="S234" s="32" t="n">
        <v>6</v>
      </c>
      <c r="T234" s="32"/>
      <c r="U234" s="32" t="n">
        <v>3</v>
      </c>
      <c r="V234" s="37"/>
      <c r="W234" s="32" t="n">
        <v>3</v>
      </c>
      <c r="X234" s="34"/>
      <c r="Y234" s="34" t="n">
        <v>1</v>
      </c>
      <c r="Z234" s="32" t="s">
        <v>1826</v>
      </c>
      <c r="AA234" s="32" t="s">
        <v>1827</v>
      </c>
      <c r="AB234" s="32"/>
      <c r="AC234" s="38" t="str">
        <f aca="false">HYPERLINK("https://biocodex6--c.vf.force.com/0014L00000KFvCZQA1", "PELTA DULMAN DOMINIQUE")</f>
        <v>PELTA DULMAN DOMINIQUE</v>
      </c>
      <c r="AD234" s="38"/>
      <c r="AE234" s="39" t="n">
        <v>45337.7083333333</v>
      </c>
      <c r="AF234" s="40"/>
      <c r="AG234" s="41"/>
      <c r="AH234" s="32"/>
      <c r="AI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XEY234" s="27"/>
      <c r="XEZ234" s="27"/>
      <c r="XFA234" s="27"/>
      <c r="XFB234" s="27"/>
      <c r="XFC234" s="27"/>
      <c r="XFD234" s="27"/>
    </row>
    <row r="235" s="42" customFormat="true" ht="14.15" hidden="false" customHeight="true" outlineLevel="0" collapsed="false">
      <c r="A235" s="28" t="s">
        <v>1828</v>
      </c>
      <c r="B235" s="29" t="s">
        <v>1829</v>
      </c>
      <c r="C235" s="29" t="s">
        <v>1830</v>
      </c>
      <c r="D235" s="30" t="s">
        <v>112</v>
      </c>
      <c r="E235" s="31"/>
      <c r="F235" s="32" t="n">
        <v>55</v>
      </c>
      <c r="G235" s="31" t="s">
        <v>215</v>
      </c>
      <c r="H235" s="31" t="n">
        <v>2</v>
      </c>
      <c r="I235" s="31" t="s">
        <v>173</v>
      </c>
      <c r="J235" s="29"/>
      <c r="K235" s="29" t="s">
        <v>1831</v>
      </c>
      <c r="L235" s="32" t="n">
        <v>57</v>
      </c>
      <c r="M235" s="33" t="s">
        <v>1832</v>
      </c>
      <c r="N235" s="34" t="n">
        <v>75016</v>
      </c>
      <c r="O235" s="35" t="s">
        <v>55</v>
      </c>
      <c r="P235" s="36" t="s">
        <v>1833</v>
      </c>
      <c r="Q235" s="36" t="n">
        <v>2</v>
      </c>
      <c r="R235" s="32" t="n">
        <v>119</v>
      </c>
      <c r="S235" s="32" t="n">
        <v>6</v>
      </c>
      <c r="T235" s="32"/>
      <c r="U235" s="32" t="n">
        <v>3</v>
      </c>
      <c r="V235" s="37" t="n">
        <v>3</v>
      </c>
      <c r="W235" s="32" t="n">
        <v>3</v>
      </c>
      <c r="X235" s="34"/>
      <c r="Y235" s="34" t="n">
        <v>1</v>
      </c>
      <c r="Z235" s="32"/>
      <c r="AA235" s="32" t="s">
        <v>1834</v>
      </c>
      <c r="AB235" s="32" t="s">
        <v>1835</v>
      </c>
      <c r="AC235" s="38" t="str">
        <f aca="false">HYPERLINK("https://biocodex6--c.vf.force.com/0014L00000KFoktQAD", "LAHOUEL ZAIER WAFA")</f>
        <v>LAHOUEL ZAIER WAFA</v>
      </c>
      <c r="AD235" s="38" t="str">
        <f aca="false">HYPERLINK("https://annuairesante.ameli.fr/professionnels-de-sante/recherche/fiche-detaillee-B7c1lTY3NjC7.html", "LAHOUEL ZAIER WAFA")</f>
        <v>LAHOUEL ZAIER WAFA</v>
      </c>
      <c r="AE235" s="39" t="n">
        <v>45209.5625</v>
      </c>
      <c r="AF235" s="40"/>
      <c r="AG235" s="41"/>
      <c r="AH235" s="32"/>
      <c r="AI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XEY235" s="27"/>
      <c r="XEZ235" s="27"/>
      <c r="XFA235" s="27"/>
      <c r="XFB235" s="27"/>
      <c r="XFC235" s="27"/>
      <c r="XFD235" s="27"/>
    </row>
    <row r="236" s="42" customFormat="true" ht="14.15" hidden="false" customHeight="true" outlineLevel="0" collapsed="false">
      <c r="A236" s="28" t="s">
        <v>1836</v>
      </c>
      <c r="B236" s="29" t="s">
        <v>1837</v>
      </c>
      <c r="C236" s="29" t="s">
        <v>1838</v>
      </c>
      <c r="D236" s="30" t="s">
        <v>112</v>
      </c>
      <c r="E236" s="31"/>
      <c r="F236" s="32" t="n">
        <v>66</v>
      </c>
      <c r="G236" s="31"/>
      <c r="H236" s="31" t="n">
        <v>3</v>
      </c>
      <c r="I236" s="31" t="s">
        <v>295</v>
      </c>
      <c r="J236" s="29"/>
      <c r="K236" s="29" t="s">
        <v>1839</v>
      </c>
      <c r="L236" s="32" t="n">
        <v>1</v>
      </c>
      <c r="M236" s="33" t="s">
        <v>1840</v>
      </c>
      <c r="N236" s="34" t="n">
        <v>92300</v>
      </c>
      <c r="O236" s="35" t="s">
        <v>298</v>
      </c>
      <c r="P236" s="36"/>
      <c r="Q236" s="36" t="n">
        <v>3</v>
      </c>
      <c r="R236" s="32" t="n">
        <v>119</v>
      </c>
      <c r="S236" s="32" t="n">
        <v>6</v>
      </c>
      <c r="T236" s="32"/>
      <c r="U236" s="32"/>
      <c r="V236" s="37" t="n">
        <v>3</v>
      </c>
      <c r="W236" s="32"/>
      <c r="X236" s="34"/>
      <c r="Y236" s="34"/>
      <c r="Z236" s="32"/>
      <c r="AA236" s="32" t="s">
        <v>1841</v>
      </c>
      <c r="AB236" s="32"/>
      <c r="AC236" s="38" t="str">
        <f aca="false">HYPERLINK("https://biocodex6--c.vf.force.com/0014L00000KG5OLQA1", "VITALI MARIE")</f>
        <v>VITALI MARIE</v>
      </c>
      <c r="AD236" s="38"/>
      <c r="AE236" s="39" t="n">
        <v>45450.6458333333</v>
      </c>
      <c r="AF236" s="40"/>
      <c r="AG236" s="41"/>
      <c r="AH236" s="32"/>
      <c r="AI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XEY236" s="27"/>
      <c r="XEZ236" s="27"/>
      <c r="XFA236" s="27"/>
      <c r="XFB236" s="27"/>
      <c r="XFC236" s="27"/>
      <c r="XFD236" s="27"/>
    </row>
    <row r="237" s="42" customFormat="true" ht="14.15" hidden="false" customHeight="true" outlineLevel="0" collapsed="false">
      <c r="A237" s="28" t="s">
        <v>1842</v>
      </c>
      <c r="B237" s="29" t="s">
        <v>1843</v>
      </c>
      <c r="C237" s="29" t="s">
        <v>1844</v>
      </c>
      <c r="D237" s="30" t="s">
        <v>244</v>
      </c>
      <c r="E237" s="31"/>
      <c r="F237" s="32" t="n">
        <v>67</v>
      </c>
      <c r="G237" s="31"/>
      <c r="H237" s="31" t="n">
        <v>1</v>
      </c>
      <c r="I237" s="31" t="s">
        <v>51</v>
      </c>
      <c r="J237" s="29" t="s">
        <v>850</v>
      </c>
      <c r="K237" s="29" t="s">
        <v>851</v>
      </c>
      <c r="L237" s="32" t="n">
        <v>178</v>
      </c>
      <c r="M237" s="33" t="s">
        <v>852</v>
      </c>
      <c r="N237" s="34" t="n">
        <v>75015</v>
      </c>
      <c r="O237" s="35" t="s">
        <v>55</v>
      </c>
      <c r="P237" s="36" t="s">
        <v>853</v>
      </c>
      <c r="Q237" s="36" t="n">
        <v>24</v>
      </c>
      <c r="R237" s="32" t="n">
        <v>117</v>
      </c>
      <c r="S237" s="32" t="n">
        <v>6</v>
      </c>
      <c r="T237" s="32"/>
      <c r="U237" s="32"/>
      <c r="V237" s="37" t="n">
        <v>3</v>
      </c>
      <c r="W237" s="32" t="n">
        <v>3</v>
      </c>
      <c r="X237" s="34"/>
      <c r="Y237" s="34" t="n">
        <v>1</v>
      </c>
      <c r="Z237" s="32"/>
      <c r="AA237" s="32" t="s">
        <v>1845</v>
      </c>
      <c r="AB237" s="32"/>
      <c r="AC237" s="38" t="str">
        <f aca="false">HYPERLINK("https://biocodex6--c.vf.force.com/0014L00000KG2BfQAL", "STEYAERT LOUIS ALBERT")</f>
        <v>STEYAERT LOUIS ALBERT</v>
      </c>
      <c r="AD237" s="38"/>
      <c r="AE237" s="39" t="n">
        <v>45252.4166666667</v>
      </c>
      <c r="AF237" s="40" t="s">
        <v>1846</v>
      </c>
      <c r="AG237" s="41"/>
      <c r="AH237" s="32"/>
      <c r="AI237" s="32" t="s">
        <v>106</v>
      </c>
      <c r="AJ237" s="32"/>
      <c r="AK237" s="32"/>
      <c r="AL237" s="43" t="s">
        <v>1847</v>
      </c>
      <c r="AM237" s="43" t="s">
        <v>1848</v>
      </c>
      <c r="AN237" s="32"/>
      <c r="AO237" s="32"/>
      <c r="AP237" s="43" t="s">
        <v>1849</v>
      </c>
      <c r="AQ237" s="43" t="s">
        <v>1850</v>
      </c>
      <c r="AR237" s="32"/>
      <c r="AS237" s="43" t="s">
        <v>1850</v>
      </c>
      <c r="AT237" s="43" t="s">
        <v>229</v>
      </c>
      <c r="AU237" s="43" t="s">
        <v>282</v>
      </c>
      <c r="XEY237" s="27"/>
      <c r="XEZ237" s="27"/>
      <c r="XFA237" s="27"/>
      <c r="XFB237" s="27"/>
      <c r="XFC237" s="27"/>
      <c r="XFD237" s="27"/>
    </row>
    <row r="238" s="42" customFormat="true" ht="14.15" hidden="false" customHeight="true" outlineLevel="0" collapsed="false">
      <c r="A238" s="28" t="s">
        <v>1851</v>
      </c>
      <c r="B238" s="29" t="s">
        <v>1568</v>
      </c>
      <c r="C238" s="29" t="s">
        <v>1852</v>
      </c>
      <c r="D238" s="30" t="s">
        <v>112</v>
      </c>
      <c r="E238" s="31"/>
      <c r="F238" s="32" t="n">
        <v>35</v>
      </c>
      <c r="G238" s="31"/>
      <c r="H238" s="31" t="n">
        <v>2</v>
      </c>
      <c r="I238" s="31" t="s">
        <v>51</v>
      </c>
      <c r="J238" s="29" t="s">
        <v>52</v>
      </c>
      <c r="K238" s="29" t="s">
        <v>53</v>
      </c>
      <c r="L238" s="32" t="n">
        <v>149</v>
      </c>
      <c r="M238" s="33" t="s">
        <v>54</v>
      </c>
      <c r="N238" s="34" t="n">
        <v>75015</v>
      </c>
      <c r="O238" s="35" t="s">
        <v>55</v>
      </c>
      <c r="P238" s="36" t="s">
        <v>114</v>
      </c>
      <c r="Q238" s="36" t="n">
        <v>236</v>
      </c>
      <c r="R238" s="32" t="n">
        <v>106</v>
      </c>
      <c r="S238" s="32" t="n">
        <v>6</v>
      </c>
      <c r="T238" s="32"/>
      <c r="U238" s="32"/>
      <c r="V238" s="37"/>
      <c r="W238" s="32"/>
      <c r="X238" s="34"/>
      <c r="Y238" s="34"/>
      <c r="Z238" s="32"/>
      <c r="AA238" s="32" t="s">
        <v>1853</v>
      </c>
      <c r="AB238" s="32"/>
      <c r="AC238" s="38" t="str">
        <f aca="false">HYPERLINK("https://biocodex6--c.vf.force.com/0014L00000KFPk5QAH", "BOUCHEREAU JULIETTE")</f>
        <v>BOUCHEREAU JULIETTE</v>
      </c>
      <c r="AD238" s="38"/>
      <c r="AE238" s="39"/>
      <c r="AF238" s="40"/>
      <c r="AG238" s="41"/>
      <c r="AH238" s="32"/>
      <c r="AI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XEY238" s="27"/>
      <c r="XEZ238" s="27"/>
      <c r="XFA238" s="27"/>
      <c r="XFB238" s="27"/>
      <c r="XFC238" s="27"/>
      <c r="XFD238" s="27"/>
    </row>
    <row r="239" s="42" customFormat="true" ht="14.15" hidden="false" customHeight="true" outlineLevel="0" collapsed="false">
      <c r="A239" s="28" t="s">
        <v>1854</v>
      </c>
      <c r="B239" s="29" t="s">
        <v>1460</v>
      </c>
      <c r="C239" s="29" t="s">
        <v>1855</v>
      </c>
      <c r="D239" s="30" t="s">
        <v>244</v>
      </c>
      <c r="E239" s="30" t="s">
        <v>245</v>
      </c>
      <c r="F239" s="32" t="n">
        <v>42</v>
      </c>
      <c r="G239" s="31"/>
      <c r="H239" s="31" t="n">
        <v>2</v>
      </c>
      <c r="I239" s="31" t="s">
        <v>295</v>
      </c>
      <c r="J239" s="29" t="s">
        <v>489</v>
      </c>
      <c r="K239" s="29" t="s">
        <v>490</v>
      </c>
      <c r="L239" s="32" t="n">
        <v>3</v>
      </c>
      <c r="M239" s="33" t="s">
        <v>491</v>
      </c>
      <c r="N239" s="34" t="n">
        <v>92300</v>
      </c>
      <c r="O239" s="35" t="s">
        <v>298</v>
      </c>
      <c r="P239" s="36" t="s">
        <v>1592</v>
      </c>
      <c r="Q239" s="36" t="n">
        <v>26</v>
      </c>
      <c r="R239" s="32" t="n">
        <v>105</v>
      </c>
      <c r="S239" s="32" t="n">
        <v>6</v>
      </c>
      <c r="T239" s="32"/>
      <c r="U239" s="32"/>
      <c r="V239" s="37" t="n">
        <v>3</v>
      </c>
      <c r="W239" s="32"/>
      <c r="X239" s="34"/>
      <c r="Y239" s="34"/>
      <c r="Z239" s="32" t="s">
        <v>1856</v>
      </c>
      <c r="AA239" s="32" t="s">
        <v>1857</v>
      </c>
      <c r="AB239" s="32"/>
      <c r="AC239" s="38" t="str">
        <f aca="false">HYPERLINK("https://biocodex6--c.vf.force.com/0014L00000KG05zQAD", "ROSEFORT AUDREY")</f>
        <v>ROSEFORT AUDREY</v>
      </c>
      <c r="AD239" s="38"/>
      <c r="AE239" s="39"/>
      <c r="AF239" s="40"/>
      <c r="AG239" s="41"/>
      <c r="AH239" s="32"/>
      <c r="AI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XEY239" s="27"/>
      <c r="XEZ239" s="27"/>
      <c r="XFA239" s="27"/>
      <c r="XFB239" s="27"/>
      <c r="XFC239" s="27"/>
      <c r="XFD239" s="27"/>
    </row>
    <row r="240" s="42" customFormat="true" ht="14.15" hidden="false" customHeight="true" outlineLevel="0" collapsed="false">
      <c r="A240" s="28" t="s">
        <v>1858</v>
      </c>
      <c r="B240" s="29" t="s">
        <v>1859</v>
      </c>
      <c r="C240" s="29" t="s">
        <v>1860</v>
      </c>
      <c r="D240" s="30" t="s">
        <v>50</v>
      </c>
      <c r="E240" s="31"/>
      <c r="F240" s="32" t="n">
        <v>33</v>
      </c>
      <c r="G240" s="31" t="s">
        <v>98</v>
      </c>
      <c r="H240" s="31" t="n">
        <v>1</v>
      </c>
      <c r="I240" s="31" t="s">
        <v>77</v>
      </c>
      <c r="J240" s="29"/>
      <c r="K240" s="29" t="s">
        <v>1861</v>
      </c>
      <c r="L240" s="32" t="n">
        <v>136</v>
      </c>
      <c r="M240" s="33" t="s">
        <v>1297</v>
      </c>
      <c r="N240" s="34" t="n">
        <v>92200</v>
      </c>
      <c r="O240" s="35" t="s">
        <v>81</v>
      </c>
      <c r="P240" s="36" t="s">
        <v>1862</v>
      </c>
      <c r="Q240" s="36" t="n">
        <v>3</v>
      </c>
      <c r="R240" s="32" t="n">
        <v>97</v>
      </c>
      <c r="S240" s="32" t="n">
        <v>6</v>
      </c>
      <c r="T240" s="32"/>
      <c r="U240" s="32"/>
      <c r="V240" s="37"/>
      <c r="W240" s="32"/>
      <c r="X240" s="34" t="n">
        <v>1</v>
      </c>
      <c r="Y240" s="34"/>
      <c r="Z240" s="32"/>
      <c r="AA240" s="32" t="s">
        <v>1863</v>
      </c>
      <c r="AB240" s="32" t="s">
        <v>1864</v>
      </c>
      <c r="AC240" s="38" t="str">
        <f aca="false">HYPERLINK("https://biocodex6--c.vf.force.com/0014L00000KGEFOQA5", "HADDAD HALIMI CHLOE")</f>
        <v>HADDAD HALIMI CHLOE</v>
      </c>
      <c r="AD240" s="38" t="str">
        <f aca="false">HYPERLINK("https://annuairesante.ameli.fr/professionnels-de-sante/recherche/fiche-detaillee-CbA1kjc0OTC1.html", "HADDAD HALIMI CHLOE")</f>
        <v>HADDAD HALIMI CHLOE</v>
      </c>
      <c r="AE240" s="39" t="n">
        <v>45280.5416666667</v>
      </c>
      <c r="AF240" s="40" t="s">
        <v>1865</v>
      </c>
      <c r="AG240" s="41" t="s">
        <v>69</v>
      </c>
      <c r="AH240" s="32" t="s">
        <v>70</v>
      </c>
      <c r="AI240" s="32"/>
      <c r="AL240" s="43" t="s">
        <v>1301</v>
      </c>
      <c r="AM240" s="43" t="s">
        <v>262</v>
      </c>
      <c r="AN240" s="43" t="s">
        <v>1301</v>
      </c>
      <c r="AO240" s="43" t="s">
        <v>262</v>
      </c>
      <c r="AP240" s="43" t="s">
        <v>1301</v>
      </c>
      <c r="AQ240" s="43" t="s">
        <v>262</v>
      </c>
      <c r="AR240" s="43" t="s">
        <v>1301</v>
      </c>
      <c r="AS240" s="43" t="s">
        <v>262</v>
      </c>
      <c r="AT240" s="43" t="s">
        <v>1301</v>
      </c>
      <c r="AU240" s="43" t="s">
        <v>262</v>
      </c>
      <c r="XEY240" s="27"/>
      <c r="XEZ240" s="27"/>
      <c r="XFA240" s="27"/>
      <c r="XFB240" s="27"/>
      <c r="XFC240" s="27"/>
      <c r="XFD240" s="27"/>
    </row>
    <row r="241" s="42" customFormat="true" ht="14.15" hidden="false" customHeight="true" outlineLevel="0" collapsed="false">
      <c r="A241" s="28" t="s">
        <v>1866</v>
      </c>
      <c r="B241" s="29" t="s">
        <v>1867</v>
      </c>
      <c r="C241" s="29" t="s">
        <v>1868</v>
      </c>
      <c r="D241" s="30" t="s">
        <v>112</v>
      </c>
      <c r="E241" s="31"/>
      <c r="F241" s="32" t="n">
        <v>69</v>
      </c>
      <c r="G241" s="31"/>
      <c r="H241" s="31" t="n">
        <v>1</v>
      </c>
      <c r="I241" s="31" t="s">
        <v>77</v>
      </c>
      <c r="J241" s="29" t="s">
        <v>246</v>
      </c>
      <c r="K241" s="29" t="s">
        <v>247</v>
      </c>
      <c r="L241" s="32" t="n">
        <v>36</v>
      </c>
      <c r="M241" s="33" t="s">
        <v>248</v>
      </c>
      <c r="N241" s="34" t="n">
        <v>92200</v>
      </c>
      <c r="O241" s="35" t="s">
        <v>81</v>
      </c>
      <c r="P241" s="36" t="s">
        <v>492</v>
      </c>
      <c r="Q241" s="36" t="n">
        <v>49</v>
      </c>
      <c r="R241" s="32" t="n">
        <v>85</v>
      </c>
      <c r="S241" s="32" t="n">
        <v>6</v>
      </c>
      <c r="T241" s="32"/>
      <c r="U241" s="32"/>
      <c r="V241" s="37"/>
      <c r="W241" s="32" t="n">
        <v>3</v>
      </c>
      <c r="X241" s="34"/>
      <c r="Y241" s="34" t="n">
        <v>1</v>
      </c>
      <c r="Z241" s="32"/>
      <c r="AA241" s="32" t="s">
        <v>1869</v>
      </c>
      <c r="AB241" s="32"/>
      <c r="AC241" s="38" t="str">
        <f aca="false">HYPERLINK("https://biocodex6--c.vf.force.com/0014L00000KFc2BQAT", "DUPONT ANDRE GHISLAINE")</f>
        <v>DUPONT ANDRE GHISLAINE</v>
      </c>
      <c r="AD241" s="38"/>
      <c r="AE241" s="39"/>
      <c r="AF241" s="40"/>
      <c r="AG241" s="41"/>
      <c r="AH241" s="32"/>
      <c r="AI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XEY241" s="27"/>
      <c r="XEZ241" s="27"/>
      <c r="XFA241" s="27"/>
      <c r="XFB241" s="27"/>
      <c r="XFC241" s="27"/>
      <c r="XFD241" s="27"/>
    </row>
    <row r="242" s="42" customFormat="true" ht="14.15" hidden="false" customHeight="true" outlineLevel="0" collapsed="false">
      <c r="A242" s="28" t="s">
        <v>1870</v>
      </c>
      <c r="B242" s="29" t="s">
        <v>1871</v>
      </c>
      <c r="C242" s="29" t="s">
        <v>1872</v>
      </c>
      <c r="D242" s="30" t="s">
        <v>112</v>
      </c>
      <c r="E242" s="30" t="s">
        <v>113</v>
      </c>
      <c r="F242" s="32" t="n">
        <v>60</v>
      </c>
      <c r="G242" s="31"/>
      <c r="H242" s="31" t="n">
        <v>1</v>
      </c>
      <c r="I242" s="31" t="s">
        <v>51</v>
      </c>
      <c r="J242" s="29" t="s">
        <v>52</v>
      </c>
      <c r="K242" s="29" t="s">
        <v>53</v>
      </c>
      <c r="L242" s="32" t="n">
        <v>149</v>
      </c>
      <c r="M242" s="33" t="s">
        <v>54</v>
      </c>
      <c r="N242" s="34" t="n">
        <v>75015</v>
      </c>
      <c r="O242" s="35" t="s">
        <v>55</v>
      </c>
      <c r="P242" s="36" t="s">
        <v>885</v>
      </c>
      <c r="Q242" s="36" t="n">
        <v>236</v>
      </c>
      <c r="R242" s="32" t="n">
        <v>82</v>
      </c>
      <c r="S242" s="32" t="n">
        <v>6</v>
      </c>
      <c r="T242" s="32"/>
      <c r="U242" s="32"/>
      <c r="V242" s="37"/>
      <c r="W242" s="32"/>
      <c r="X242" s="34"/>
      <c r="Y242" s="34"/>
      <c r="Z242" s="32"/>
      <c r="AA242" s="32" t="s">
        <v>1873</v>
      </c>
      <c r="AB242" s="32"/>
      <c r="AC242" s="38" t="str">
        <f aca="false">HYPERLINK("https://biocodex6--c.vf.force.com/0014L00000KFy1GQAT", "PINTO GRAZIELLA")</f>
        <v>PINTO GRAZIELLA</v>
      </c>
      <c r="AD242" s="38"/>
      <c r="AE242" s="39"/>
      <c r="AF242" s="40"/>
      <c r="AG242" s="41"/>
      <c r="AH242" s="32"/>
      <c r="AI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XEY242" s="27"/>
      <c r="XEZ242" s="27"/>
      <c r="XFA242" s="27"/>
      <c r="XFB242" s="27"/>
      <c r="XFC242" s="27"/>
      <c r="XFD242" s="27"/>
    </row>
    <row r="243" s="42" customFormat="true" ht="14.15" hidden="false" customHeight="true" outlineLevel="0" collapsed="false">
      <c r="A243" s="28" t="s">
        <v>1874</v>
      </c>
      <c r="B243" s="29" t="s">
        <v>1875</v>
      </c>
      <c r="C243" s="29" t="s">
        <v>1876</v>
      </c>
      <c r="D243" s="30" t="s">
        <v>75</v>
      </c>
      <c r="E243" s="31"/>
      <c r="F243" s="32" t="n">
        <v>35</v>
      </c>
      <c r="G243" s="31"/>
      <c r="H243" s="31" t="n">
        <v>1</v>
      </c>
      <c r="I243" s="31" t="s">
        <v>99</v>
      </c>
      <c r="J243" s="29" t="s">
        <v>595</v>
      </c>
      <c r="K243" s="29" t="s">
        <v>596</v>
      </c>
      <c r="L243" s="32" t="n">
        <v>20</v>
      </c>
      <c r="M243" s="33" t="s">
        <v>597</v>
      </c>
      <c r="N243" s="34" t="n">
        <v>75015</v>
      </c>
      <c r="O243" s="35" t="s">
        <v>55</v>
      </c>
      <c r="P243" s="36" t="s">
        <v>673</v>
      </c>
      <c r="Q243" s="36" t="n">
        <v>90</v>
      </c>
      <c r="R243" s="32" t="n">
        <v>79</v>
      </c>
      <c r="S243" s="32" t="n">
        <v>6</v>
      </c>
      <c r="T243" s="32"/>
      <c r="U243" s="32"/>
      <c r="V243" s="37"/>
      <c r="W243" s="32"/>
      <c r="X243" s="34"/>
      <c r="Y243" s="34"/>
      <c r="Z243" s="32"/>
      <c r="AA243" s="32" t="s">
        <v>1877</v>
      </c>
      <c r="AB243" s="32"/>
      <c r="AC243" s="38" t="str">
        <f aca="false">HYPERLINK("https://biocodex6--c.vf.force.com/0014L00000KGL4mQAH", "HANNA NAIM")</f>
        <v>HANNA NAIM</v>
      </c>
      <c r="AD243" s="38"/>
      <c r="AE243" s="39"/>
      <c r="AF243" s="40"/>
      <c r="AG243" s="41"/>
      <c r="AH243" s="32"/>
      <c r="AI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XEY243" s="27"/>
      <c r="XEZ243" s="27"/>
      <c r="XFA243" s="27"/>
      <c r="XFB243" s="27"/>
      <c r="XFC243" s="27"/>
      <c r="XFD243" s="27"/>
    </row>
    <row r="244" s="42" customFormat="true" ht="14.15" hidden="false" customHeight="true" outlineLevel="0" collapsed="false">
      <c r="A244" s="28" t="s">
        <v>1878</v>
      </c>
      <c r="B244" s="29" t="s">
        <v>1879</v>
      </c>
      <c r="C244" s="29" t="s">
        <v>1880</v>
      </c>
      <c r="D244" s="30" t="s">
        <v>75</v>
      </c>
      <c r="E244" s="31"/>
      <c r="F244" s="32" t="n">
        <v>36</v>
      </c>
      <c r="G244" s="31" t="s">
        <v>215</v>
      </c>
      <c r="H244" s="31" t="n">
        <v>2</v>
      </c>
      <c r="I244" s="31" t="s">
        <v>173</v>
      </c>
      <c r="J244" s="29"/>
      <c r="K244" s="29" t="s">
        <v>1792</v>
      </c>
      <c r="L244" s="32" t="n">
        <v>72</v>
      </c>
      <c r="M244" s="33" t="s">
        <v>743</v>
      </c>
      <c r="N244" s="34" t="n">
        <v>75016</v>
      </c>
      <c r="O244" s="35" t="s">
        <v>55</v>
      </c>
      <c r="P244" s="36" t="s">
        <v>1881</v>
      </c>
      <c r="Q244" s="36" t="n">
        <v>3</v>
      </c>
      <c r="R244" s="32" t="n">
        <v>77</v>
      </c>
      <c r="S244" s="32" t="n">
        <v>6</v>
      </c>
      <c r="T244" s="32"/>
      <c r="U244" s="32"/>
      <c r="V244" s="37" t="n">
        <v>2</v>
      </c>
      <c r="W244" s="32"/>
      <c r="X244" s="34"/>
      <c r="Y244" s="34"/>
      <c r="Z244" s="32"/>
      <c r="AA244" s="32" t="s">
        <v>1882</v>
      </c>
      <c r="AB244" s="32" t="s">
        <v>1883</v>
      </c>
      <c r="AC244" s="38" t="str">
        <f aca="false">HYPERLINK("https://biocodex6--c.vf.force.com/0014L00000KG7erQAD", "GENTILHOMME LUCIE")</f>
        <v>GENTILHOMME LUCIE</v>
      </c>
      <c r="AD244" s="38" t="str">
        <f aca="false">HYPERLINK("https://annuairesante.ameli.fr/professionnels-de-sante/recherche/fiche-detaillee-B7c1kzMwNzqw.html", "GENTILHOMME LUCIE")</f>
        <v>GENTILHOMME LUCIE</v>
      </c>
      <c r="AE244" s="39"/>
      <c r="AF244" s="40"/>
      <c r="AG244" s="41"/>
      <c r="AH244" s="32"/>
      <c r="AI244" s="32"/>
      <c r="AL244" s="43" t="s">
        <v>338</v>
      </c>
      <c r="AM244" s="43" t="s">
        <v>137</v>
      </c>
      <c r="AN244" s="32"/>
      <c r="AO244" s="32"/>
      <c r="AP244" s="32"/>
      <c r="AQ244" s="32"/>
      <c r="AR244" s="43" t="s">
        <v>338</v>
      </c>
      <c r="AS244" s="43" t="s">
        <v>137</v>
      </c>
      <c r="AT244" s="32"/>
      <c r="AU244" s="32"/>
      <c r="XEY244" s="27"/>
      <c r="XEZ244" s="27"/>
      <c r="XFA244" s="27"/>
      <c r="XFB244" s="27"/>
      <c r="XFC244" s="27"/>
      <c r="XFD244" s="27"/>
    </row>
    <row r="245" s="42" customFormat="true" ht="14.15" hidden="false" customHeight="true" outlineLevel="0" collapsed="false">
      <c r="A245" s="28" t="s">
        <v>1884</v>
      </c>
      <c r="B245" s="51" t="s">
        <v>1885</v>
      </c>
      <c r="C245" s="51" t="s">
        <v>1886</v>
      </c>
      <c r="D245" s="30" t="s">
        <v>172</v>
      </c>
      <c r="E245" s="31"/>
      <c r="F245" s="32" t="n">
        <v>53</v>
      </c>
      <c r="G245" s="31"/>
      <c r="H245" s="31" t="n">
        <v>1</v>
      </c>
      <c r="I245" s="31" t="s">
        <v>173</v>
      </c>
      <c r="J245" s="29"/>
      <c r="K245" s="29" t="s">
        <v>1887</v>
      </c>
      <c r="L245" s="32" t="n">
        <v>81</v>
      </c>
      <c r="M245" s="33" t="s">
        <v>1888</v>
      </c>
      <c r="N245" s="52" t="n">
        <v>75116</v>
      </c>
      <c r="O245" s="35" t="s">
        <v>55</v>
      </c>
      <c r="P245" s="36"/>
      <c r="Q245" s="36" t="n">
        <v>2</v>
      </c>
      <c r="R245" s="32" t="n">
        <v>59</v>
      </c>
      <c r="S245" s="32" t="n">
        <v>6</v>
      </c>
      <c r="T245" s="32"/>
      <c r="U245" s="32"/>
      <c r="V245" s="37"/>
      <c r="W245" s="32"/>
      <c r="X245" s="34"/>
      <c r="Y245" s="34"/>
      <c r="Z245" s="36"/>
      <c r="AA245" s="32" t="s">
        <v>1889</v>
      </c>
      <c r="AB245" s="44"/>
      <c r="AC245" s="38" t="str">
        <f aca="false">HYPERLINK("https://biocodex6--c.vf.force.com/0014L00000KFlhKQAT", "LAI MASSIMO")</f>
        <v>LAI MASSIMO</v>
      </c>
      <c r="AD245" s="38"/>
      <c r="AE245" s="39"/>
      <c r="AF245" s="40"/>
      <c r="AG245" s="41"/>
      <c r="AH245" s="32" t="s">
        <v>179</v>
      </c>
      <c r="AI245" s="32"/>
      <c r="AJ245" s="42" t="s">
        <v>1890</v>
      </c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XEY245" s="27"/>
      <c r="XEZ245" s="27"/>
      <c r="XFA245" s="27"/>
      <c r="XFB245" s="27"/>
      <c r="XFC245" s="27"/>
      <c r="XFD245" s="27"/>
    </row>
    <row r="246" s="42" customFormat="true" ht="14.15" hidden="false" customHeight="true" outlineLevel="0" collapsed="false">
      <c r="A246" s="28" t="s">
        <v>1891</v>
      </c>
      <c r="B246" s="29" t="s">
        <v>1757</v>
      </c>
      <c r="C246" s="29" t="s">
        <v>1892</v>
      </c>
      <c r="D246" s="30" t="s">
        <v>244</v>
      </c>
      <c r="E246" s="30" t="s">
        <v>245</v>
      </c>
      <c r="F246" s="32" t="n">
        <v>55</v>
      </c>
      <c r="G246" s="31" t="s">
        <v>215</v>
      </c>
      <c r="H246" s="31" t="n">
        <v>2</v>
      </c>
      <c r="I246" s="31" t="s">
        <v>295</v>
      </c>
      <c r="J246" s="29"/>
      <c r="K246" s="29" t="s">
        <v>1425</v>
      </c>
      <c r="L246" s="32" t="n">
        <v>9</v>
      </c>
      <c r="M246" s="33" t="s">
        <v>1426</v>
      </c>
      <c r="N246" s="34" t="n">
        <v>92300</v>
      </c>
      <c r="O246" s="35" t="s">
        <v>298</v>
      </c>
      <c r="P246" s="36" t="s">
        <v>1893</v>
      </c>
      <c r="Q246" s="36" t="n">
        <v>4</v>
      </c>
      <c r="R246" s="32" t="n">
        <v>59</v>
      </c>
      <c r="S246" s="32" t="n">
        <v>6</v>
      </c>
      <c r="T246" s="32"/>
      <c r="U246" s="32"/>
      <c r="V246" s="37" t="n">
        <v>3</v>
      </c>
      <c r="W246" s="32"/>
      <c r="X246" s="34"/>
      <c r="Y246" s="34"/>
      <c r="Z246" s="32"/>
      <c r="AA246" s="32" t="s">
        <v>1894</v>
      </c>
      <c r="AB246" s="32" t="s">
        <v>1895</v>
      </c>
      <c r="AC246" s="38" t="str">
        <f aca="false">HYPERLINK("https://biocodex6--c.vf.force.com/0014L00000KFXLZQA5", "BECHARD DE SPIRLET MARINA")</f>
        <v>BECHARD DE SPIRLET MARINA</v>
      </c>
      <c r="AD246" s="38" t="str">
        <f aca="false">HYPERLINK("https://annuairesante.ameli.fr/professionnels-de-sante/recherche/fiche-detaillee-CbA1lTMwMDS3.html", "BECHARD DE SPIRLET MARINA")</f>
        <v>BECHARD DE SPIRLET MARINA</v>
      </c>
      <c r="AE246" s="39"/>
      <c r="AF246" s="40"/>
      <c r="AG246" s="41"/>
      <c r="AH246" s="32"/>
      <c r="AI246" s="32"/>
      <c r="AL246" s="43" t="s">
        <v>1896</v>
      </c>
      <c r="AM246" s="32"/>
      <c r="AN246" s="43" t="s">
        <v>535</v>
      </c>
      <c r="AO246" s="43" t="s">
        <v>534</v>
      </c>
      <c r="AP246" s="43" t="s">
        <v>1896</v>
      </c>
      <c r="AQ246" s="32"/>
      <c r="AR246" s="43" t="s">
        <v>535</v>
      </c>
      <c r="AS246" s="43" t="s">
        <v>534</v>
      </c>
      <c r="AT246" s="43" t="s">
        <v>1896</v>
      </c>
      <c r="AU246" s="32"/>
      <c r="XEY246" s="27"/>
      <c r="XEZ246" s="27"/>
      <c r="XFA246" s="27"/>
      <c r="XFB246" s="27"/>
      <c r="XFC246" s="27"/>
      <c r="XFD246" s="27"/>
    </row>
    <row r="247" s="42" customFormat="true" ht="14.15" hidden="false" customHeight="true" outlineLevel="0" collapsed="false">
      <c r="A247" s="28" t="s">
        <v>1897</v>
      </c>
      <c r="B247" s="29" t="s">
        <v>543</v>
      </c>
      <c r="C247" s="29" t="s">
        <v>1898</v>
      </c>
      <c r="D247" s="30" t="s">
        <v>172</v>
      </c>
      <c r="E247" s="31"/>
      <c r="F247" s="32" t="n">
        <v>54</v>
      </c>
      <c r="G247" s="31"/>
      <c r="H247" s="31" t="n">
        <v>1</v>
      </c>
      <c r="I247" s="31" t="s">
        <v>119</v>
      </c>
      <c r="J247" s="29"/>
      <c r="K247" s="29" t="s">
        <v>1899</v>
      </c>
      <c r="L247" s="32" t="n">
        <v>6</v>
      </c>
      <c r="M247" s="33" t="s">
        <v>1900</v>
      </c>
      <c r="N247" s="34" t="n">
        <v>75007</v>
      </c>
      <c r="O247" s="35" t="s">
        <v>55</v>
      </c>
      <c r="P247" s="36"/>
      <c r="Q247" s="36" t="n">
        <v>2</v>
      </c>
      <c r="R247" s="32" t="n">
        <v>52</v>
      </c>
      <c r="S247" s="32" t="n">
        <v>6</v>
      </c>
      <c r="T247" s="43" t="s">
        <v>316</v>
      </c>
      <c r="U247" s="32"/>
      <c r="V247" s="37"/>
      <c r="W247" s="32"/>
      <c r="X247" s="34"/>
      <c r="Y247" s="34"/>
      <c r="Z247" s="32"/>
      <c r="AA247" s="32" t="s">
        <v>1901</v>
      </c>
      <c r="AB247" s="32"/>
      <c r="AC247" s="38" t="str">
        <f aca="false">HYPERLINK("https://biocodex6--c.vf.force.com/0014L00000KFZWNQA5", "DUPONT CHRISTINE")</f>
        <v>DUPONT CHRISTINE</v>
      </c>
      <c r="AD247" s="38"/>
      <c r="AE247" s="39"/>
      <c r="AF247" s="40"/>
      <c r="AG247" s="41"/>
      <c r="AH247" s="32"/>
      <c r="AI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XEY247" s="27"/>
      <c r="XEZ247" s="27"/>
      <c r="XFA247" s="27"/>
      <c r="XFB247" s="27"/>
      <c r="XFC247" s="27"/>
      <c r="XFD247" s="27"/>
    </row>
    <row r="248" s="42" customFormat="true" ht="14.15" hidden="false" customHeight="true" outlineLevel="0" collapsed="false">
      <c r="A248" s="28" t="s">
        <v>1902</v>
      </c>
      <c r="B248" s="29" t="s">
        <v>1903</v>
      </c>
      <c r="C248" s="29" t="s">
        <v>1904</v>
      </c>
      <c r="D248" s="30" t="s">
        <v>112</v>
      </c>
      <c r="E248" s="31"/>
      <c r="F248" s="32" t="n">
        <v>36</v>
      </c>
      <c r="G248" s="31" t="s">
        <v>215</v>
      </c>
      <c r="H248" s="31" t="n">
        <v>3</v>
      </c>
      <c r="I248" s="31" t="s">
        <v>62</v>
      </c>
      <c r="J248" s="29"/>
      <c r="K248" s="29" t="s">
        <v>756</v>
      </c>
      <c r="L248" s="32" t="n">
        <v>14</v>
      </c>
      <c r="M248" s="33" t="s">
        <v>757</v>
      </c>
      <c r="N248" s="34" t="n">
        <v>75017</v>
      </c>
      <c r="O248" s="35" t="s">
        <v>55</v>
      </c>
      <c r="P248" s="36" t="s">
        <v>1905</v>
      </c>
      <c r="Q248" s="36" t="n">
        <v>4</v>
      </c>
      <c r="R248" s="32" t="n">
        <v>47</v>
      </c>
      <c r="S248" s="32" t="n">
        <v>6</v>
      </c>
      <c r="T248" s="32"/>
      <c r="U248" s="32"/>
      <c r="V248" s="37" t="n">
        <v>3</v>
      </c>
      <c r="W248" s="32"/>
      <c r="X248" s="34"/>
      <c r="Y248" s="34"/>
      <c r="Z248" s="32"/>
      <c r="AA248" s="32" t="s">
        <v>1906</v>
      </c>
      <c r="AB248" s="32" t="s">
        <v>1907</v>
      </c>
      <c r="AC248" s="38" t="str">
        <f aca="false">HYPERLINK("https://biocodex6--c.vf.force.com/0014L00000KGBl0QAH", "LAHANA ARMAND")</f>
        <v>LAHANA ARMAND</v>
      </c>
      <c r="AD248" s="38" t="str">
        <f aca="false">HYPERLINK("https://annuairesante.ameli.fr/professionnels-de-sante/recherche/fiche-detaillee-B7c1kjs2OTC2.html", "LAHANA ARMAND")</f>
        <v>LAHANA ARMAND</v>
      </c>
      <c r="AE248" s="39" t="n">
        <v>45462.625</v>
      </c>
      <c r="AF248" s="40"/>
      <c r="AG248" s="41"/>
      <c r="AH248" s="32"/>
      <c r="AI248" s="32"/>
      <c r="AL248" s="32"/>
      <c r="AM248" s="32"/>
      <c r="AN248" s="43" t="s">
        <v>338</v>
      </c>
      <c r="AO248" s="32"/>
      <c r="AP248" s="32"/>
      <c r="AQ248" s="32"/>
      <c r="AR248" s="43" t="s">
        <v>338</v>
      </c>
      <c r="AS248" s="32"/>
      <c r="AT248" s="43" t="s">
        <v>909</v>
      </c>
      <c r="AU248" s="43" t="s">
        <v>1908</v>
      </c>
      <c r="XEY248" s="27"/>
      <c r="XEZ248" s="27"/>
      <c r="XFA248" s="27"/>
      <c r="XFB248" s="27"/>
      <c r="XFC248" s="27"/>
      <c r="XFD248" s="27"/>
    </row>
    <row r="249" s="42" customFormat="true" ht="14.15" hidden="false" customHeight="true" outlineLevel="0" collapsed="false">
      <c r="A249" s="28" t="s">
        <v>1909</v>
      </c>
      <c r="B249" s="29" t="s">
        <v>1910</v>
      </c>
      <c r="C249" s="29" t="s">
        <v>1911</v>
      </c>
      <c r="D249" s="30" t="s">
        <v>112</v>
      </c>
      <c r="E249" s="31"/>
      <c r="F249" s="32"/>
      <c r="G249" s="31"/>
      <c r="H249" s="31" t="n">
        <v>1</v>
      </c>
      <c r="I249" s="31" t="s">
        <v>77</v>
      </c>
      <c r="J249" s="29" t="s">
        <v>246</v>
      </c>
      <c r="K249" s="29" t="s">
        <v>247</v>
      </c>
      <c r="L249" s="32" t="n">
        <v>36</v>
      </c>
      <c r="M249" s="33" t="s">
        <v>248</v>
      </c>
      <c r="N249" s="34" t="n">
        <v>92200</v>
      </c>
      <c r="O249" s="35" t="s">
        <v>81</v>
      </c>
      <c r="P249" s="36" t="s">
        <v>365</v>
      </c>
      <c r="Q249" s="36" t="n">
        <v>49</v>
      </c>
      <c r="R249" s="32" t="n">
        <v>46</v>
      </c>
      <c r="S249" s="32" t="n">
        <v>6</v>
      </c>
      <c r="T249" s="32"/>
      <c r="U249" s="32"/>
      <c r="V249" s="37"/>
      <c r="W249" s="32"/>
      <c r="X249" s="34"/>
      <c r="Y249" s="34"/>
      <c r="Z249" s="32"/>
      <c r="AA249" s="32" t="s">
        <v>1912</v>
      </c>
      <c r="AB249" s="32"/>
      <c r="AC249" s="38" t="str">
        <f aca="false">HYPERLINK("https://biocodex6--c.vf.force.com/0014L00000KGLPIQA5", "BELKAID CELENA")</f>
        <v>BELKAID CELENA</v>
      </c>
      <c r="AD249" s="38"/>
      <c r="AE249" s="39" t="n">
        <v>45233.6666666667</v>
      </c>
      <c r="AF249" s="40"/>
      <c r="AG249" s="41"/>
      <c r="AH249" s="32"/>
      <c r="AI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XEY249" s="27"/>
      <c r="XEZ249" s="27"/>
      <c r="XFA249" s="27"/>
      <c r="XFB249" s="27"/>
      <c r="XFC249" s="27"/>
      <c r="XFD249" s="27"/>
    </row>
    <row r="250" s="42" customFormat="true" ht="14.15" hidden="false" customHeight="true" outlineLevel="0" collapsed="false">
      <c r="A250" s="28" t="s">
        <v>1913</v>
      </c>
      <c r="B250" s="29" t="s">
        <v>231</v>
      </c>
      <c r="C250" s="29" t="s">
        <v>1914</v>
      </c>
      <c r="D250" s="30" t="s">
        <v>172</v>
      </c>
      <c r="E250" s="31"/>
      <c r="F250" s="32" t="n">
        <v>45</v>
      </c>
      <c r="G250" s="31"/>
      <c r="H250" s="31" t="n">
        <v>2</v>
      </c>
      <c r="I250" s="31" t="s">
        <v>197</v>
      </c>
      <c r="J250" s="29" t="s">
        <v>1915</v>
      </c>
      <c r="K250" s="29" t="s">
        <v>1916</v>
      </c>
      <c r="L250" s="32" t="n">
        <v>17</v>
      </c>
      <c r="M250" s="33" t="s">
        <v>1917</v>
      </c>
      <c r="N250" s="34" t="n">
        <v>75017</v>
      </c>
      <c r="O250" s="35" t="s">
        <v>55</v>
      </c>
      <c r="P250" s="36" t="s">
        <v>1918</v>
      </c>
      <c r="Q250" s="36" t="n">
        <v>12</v>
      </c>
      <c r="R250" s="32" t="n">
        <v>42</v>
      </c>
      <c r="S250" s="32" t="n">
        <v>6</v>
      </c>
      <c r="T250" s="43" t="s">
        <v>316</v>
      </c>
      <c r="U250" s="32"/>
      <c r="V250" s="37"/>
      <c r="W250" s="32"/>
      <c r="X250" s="34"/>
      <c r="Y250" s="34"/>
      <c r="Z250" s="36"/>
      <c r="AA250" s="32" t="s">
        <v>1919</v>
      </c>
      <c r="AB250" s="32"/>
      <c r="AC250" s="38" t="str">
        <f aca="false">HYPERLINK("https://biocodex6--c.vf.force.com/0014L00000KG0mTQAT", "SEBEYRAN ANNE")</f>
        <v>SEBEYRAN ANNE</v>
      </c>
      <c r="AD250" s="38"/>
      <c r="AE250" s="39"/>
      <c r="AF250" s="40"/>
      <c r="AG250" s="41"/>
      <c r="AH250" s="32" t="s">
        <v>179</v>
      </c>
      <c r="AI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XEY250" s="27"/>
      <c r="XEZ250" s="27"/>
      <c r="XFA250" s="27"/>
      <c r="XFB250" s="27"/>
      <c r="XFC250" s="27"/>
      <c r="XFD250" s="27"/>
    </row>
    <row r="251" s="42" customFormat="true" ht="14.15" hidden="false" customHeight="true" outlineLevel="0" collapsed="false">
      <c r="A251" s="28" t="s">
        <v>1920</v>
      </c>
      <c r="B251" s="29" t="s">
        <v>1403</v>
      </c>
      <c r="C251" s="29" t="s">
        <v>1921</v>
      </c>
      <c r="D251" s="30" t="s">
        <v>172</v>
      </c>
      <c r="E251" s="31"/>
      <c r="F251" s="32" t="n">
        <v>55</v>
      </c>
      <c r="G251" s="31"/>
      <c r="H251" s="31" t="n">
        <v>2</v>
      </c>
      <c r="I251" s="31" t="s">
        <v>173</v>
      </c>
      <c r="J251" s="29"/>
      <c r="K251" s="29" t="s">
        <v>1922</v>
      </c>
      <c r="L251" s="32" t="n">
        <v>29</v>
      </c>
      <c r="M251" s="33" t="s">
        <v>1923</v>
      </c>
      <c r="N251" s="34" t="n">
        <v>75016</v>
      </c>
      <c r="O251" s="35" t="s">
        <v>55</v>
      </c>
      <c r="P251" s="36" t="s">
        <v>1924</v>
      </c>
      <c r="Q251" s="36" t="n">
        <v>3</v>
      </c>
      <c r="R251" s="32" t="n">
        <v>40</v>
      </c>
      <c r="S251" s="32" t="n">
        <v>6</v>
      </c>
      <c r="T251" s="43" t="s">
        <v>1925</v>
      </c>
      <c r="U251" s="32"/>
      <c r="V251" s="37" t="n">
        <v>3</v>
      </c>
      <c r="W251" s="32"/>
      <c r="X251" s="34"/>
      <c r="Y251" s="34"/>
      <c r="Z251" s="36"/>
      <c r="AA251" s="32" t="s">
        <v>1926</v>
      </c>
      <c r="AB251" s="32"/>
      <c r="AC251" s="38" t="str">
        <f aca="false">HYPERLINK("https://biocodex6--c.vf.force.com/0014L00000KFcRlQAL", "GADEYNE BRIGITTE")</f>
        <v>GADEYNE BRIGITTE</v>
      </c>
      <c r="AD251" s="38"/>
      <c r="AE251" s="39"/>
      <c r="AF251" s="40"/>
      <c r="AG251" s="41"/>
      <c r="AH251" s="32" t="s">
        <v>179</v>
      </c>
      <c r="AI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XEY251" s="27"/>
      <c r="XEZ251" s="27"/>
      <c r="XFA251" s="27"/>
      <c r="XFB251" s="27"/>
      <c r="XFC251" s="27"/>
      <c r="XFD251" s="27"/>
    </row>
    <row r="252" s="42" customFormat="true" ht="14.15" hidden="false" customHeight="true" outlineLevel="0" collapsed="false">
      <c r="A252" s="28" t="s">
        <v>1927</v>
      </c>
      <c r="B252" s="29" t="s">
        <v>1928</v>
      </c>
      <c r="C252" s="29" t="s">
        <v>1929</v>
      </c>
      <c r="D252" s="30" t="s">
        <v>244</v>
      </c>
      <c r="E252" s="30" t="s">
        <v>245</v>
      </c>
      <c r="F252" s="32" t="n">
        <v>31</v>
      </c>
      <c r="G252" s="31"/>
      <c r="H252" s="31" t="n">
        <v>2</v>
      </c>
      <c r="I252" s="31" t="s">
        <v>77</v>
      </c>
      <c r="J252" s="29" t="s">
        <v>246</v>
      </c>
      <c r="K252" s="29" t="s">
        <v>247</v>
      </c>
      <c r="L252" s="32" t="n">
        <v>36</v>
      </c>
      <c r="M252" s="33" t="s">
        <v>248</v>
      </c>
      <c r="N252" s="34" t="n">
        <v>92200</v>
      </c>
      <c r="O252" s="35" t="s">
        <v>81</v>
      </c>
      <c r="P252" s="36" t="s">
        <v>614</v>
      </c>
      <c r="Q252" s="36" t="n">
        <v>49</v>
      </c>
      <c r="R252" s="32"/>
      <c r="S252" s="32" t="n">
        <v>6</v>
      </c>
      <c r="T252" s="32"/>
      <c r="U252" s="32"/>
      <c r="V252" s="37"/>
      <c r="W252" s="32" t="n">
        <v>3</v>
      </c>
      <c r="X252" s="34" t="n">
        <v>1</v>
      </c>
      <c r="Y252" s="34" t="n">
        <v>2</v>
      </c>
      <c r="Z252" s="32"/>
      <c r="AA252" s="32" t="s">
        <v>1930</v>
      </c>
      <c r="AB252" s="32"/>
      <c r="AC252" s="38" t="str">
        <f aca="false">HYPERLINK("https://biocodex6--c.vf.force.com/0014L00000KJ93GQAT", "ROSE MATHILDE")</f>
        <v>ROSE MATHILDE</v>
      </c>
      <c r="AD252" s="38"/>
      <c r="AE252" s="39" t="n">
        <v>45184.6041666667</v>
      </c>
      <c r="AF252" s="40"/>
      <c r="AG252" s="41"/>
      <c r="AH252" s="32"/>
      <c r="AI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XEY252" s="27"/>
      <c r="XEZ252" s="27"/>
      <c r="XFA252" s="27"/>
      <c r="XFB252" s="27"/>
      <c r="XFC252" s="27"/>
      <c r="XFD252" s="27"/>
    </row>
    <row r="253" s="42" customFormat="true" ht="14.15" hidden="false" customHeight="true" outlineLevel="0" collapsed="false">
      <c r="A253" s="28" t="s">
        <v>1931</v>
      </c>
      <c r="B253" s="29" t="s">
        <v>1932</v>
      </c>
      <c r="C253" s="29" t="s">
        <v>1933</v>
      </c>
      <c r="D253" s="30" t="s">
        <v>50</v>
      </c>
      <c r="E253" s="30" t="s">
        <v>1934</v>
      </c>
      <c r="F253" s="32" t="n">
        <v>36</v>
      </c>
      <c r="G253" s="31"/>
      <c r="H253" s="31" t="n">
        <v>3</v>
      </c>
      <c r="I253" s="31" t="s">
        <v>99</v>
      </c>
      <c r="J253" s="29"/>
      <c r="K253" s="29" t="s">
        <v>1935</v>
      </c>
      <c r="L253" s="32" t="n">
        <v>10</v>
      </c>
      <c r="M253" s="33" t="s">
        <v>1474</v>
      </c>
      <c r="N253" s="34" t="n">
        <v>75015</v>
      </c>
      <c r="O253" s="35" t="s">
        <v>55</v>
      </c>
      <c r="P253" s="36" t="s">
        <v>1936</v>
      </c>
      <c r="Q253" s="36" t="n">
        <v>5</v>
      </c>
      <c r="R253" s="32"/>
      <c r="S253" s="32" t="n">
        <v>6</v>
      </c>
      <c r="T253" s="32"/>
      <c r="U253" s="32"/>
      <c r="V253" s="37"/>
      <c r="W253" s="32"/>
      <c r="X253" s="34"/>
      <c r="Y253" s="34"/>
      <c r="Z253" s="32"/>
      <c r="AA253" s="32" t="s">
        <v>1937</v>
      </c>
      <c r="AB253" s="32"/>
      <c r="AC253" s="38" t="str">
        <f aca="false">HYPERLINK("https://biocodex6--c.vf.force.com/0014L00000KGEJ9QAP", "BELATRECHE LYDIA")</f>
        <v>BELATRECHE LYDIA</v>
      </c>
      <c r="AD253" s="38"/>
      <c r="AE253" s="39"/>
      <c r="AF253" s="40"/>
      <c r="AG253" s="41"/>
      <c r="AH253" s="32"/>
      <c r="AI253" s="32"/>
      <c r="AJ253" s="42" t="s">
        <v>1128</v>
      </c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XEY253" s="27"/>
      <c r="XEZ253" s="27"/>
      <c r="XFA253" s="27"/>
      <c r="XFB253" s="27"/>
      <c r="XFC253" s="27"/>
      <c r="XFD253" s="27"/>
    </row>
    <row r="254" s="42" customFormat="true" ht="14.15" hidden="false" customHeight="true" outlineLevel="0" collapsed="false">
      <c r="A254" s="28" t="s">
        <v>1938</v>
      </c>
      <c r="B254" s="29" t="s">
        <v>1939</v>
      </c>
      <c r="C254" s="29" t="s">
        <v>1940</v>
      </c>
      <c r="D254" s="30" t="s">
        <v>75</v>
      </c>
      <c r="E254" s="31"/>
      <c r="F254" s="32" t="n">
        <v>32</v>
      </c>
      <c r="G254" s="31"/>
      <c r="H254" s="31" t="n">
        <v>1</v>
      </c>
      <c r="I254" s="31" t="s">
        <v>99</v>
      </c>
      <c r="J254" s="29" t="s">
        <v>595</v>
      </c>
      <c r="K254" s="29" t="s">
        <v>596</v>
      </c>
      <c r="L254" s="32" t="n">
        <v>20</v>
      </c>
      <c r="M254" s="33" t="s">
        <v>597</v>
      </c>
      <c r="N254" s="34" t="n">
        <v>75015</v>
      </c>
      <c r="O254" s="35" t="s">
        <v>55</v>
      </c>
      <c r="P254" s="36" t="s">
        <v>673</v>
      </c>
      <c r="Q254" s="36" t="n">
        <v>90</v>
      </c>
      <c r="R254" s="32"/>
      <c r="S254" s="32" t="n">
        <v>6</v>
      </c>
      <c r="T254" s="32"/>
      <c r="U254" s="32"/>
      <c r="V254" s="37"/>
      <c r="W254" s="32"/>
      <c r="X254" s="34"/>
      <c r="Y254" s="34"/>
      <c r="Z254" s="32"/>
      <c r="AA254" s="32" t="s">
        <v>1941</v>
      </c>
      <c r="AB254" s="32"/>
      <c r="AC254" s="38" t="str">
        <f aca="false">HYPERLINK("https://biocodex6--c.vf.force.com/0014L00000KGGVEQA5", "ALRIC HADRIEN")</f>
        <v>ALRIC HADRIEN</v>
      </c>
      <c r="AD254" s="38"/>
      <c r="AE254" s="39"/>
      <c r="AF254" s="40"/>
      <c r="AG254" s="41"/>
      <c r="AH254" s="32"/>
      <c r="AI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XEY254" s="27"/>
      <c r="XEZ254" s="27"/>
      <c r="XFA254" s="27"/>
      <c r="XFB254" s="27"/>
      <c r="XFC254" s="27"/>
      <c r="XFD254" s="27"/>
    </row>
    <row r="255" s="42" customFormat="true" ht="14.15" hidden="false" customHeight="true" outlineLevel="0" collapsed="false">
      <c r="A255" s="28" t="s">
        <v>1942</v>
      </c>
      <c r="B255" s="29" t="s">
        <v>1943</v>
      </c>
      <c r="C255" s="29" t="s">
        <v>1944</v>
      </c>
      <c r="D255" s="30" t="s">
        <v>75</v>
      </c>
      <c r="E255" s="31"/>
      <c r="F255" s="32" t="n">
        <v>32</v>
      </c>
      <c r="G255" s="31"/>
      <c r="H255" s="31" t="n">
        <v>2</v>
      </c>
      <c r="I255" s="31" t="s">
        <v>99</v>
      </c>
      <c r="J255" s="29" t="s">
        <v>595</v>
      </c>
      <c r="K255" s="29" t="s">
        <v>596</v>
      </c>
      <c r="L255" s="32" t="n">
        <v>20</v>
      </c>
      <c r="M255" s="33" t="s">
        <v>597</v>
      </c>
      <c r="N255" s="34" t="n">
        <v>75015</v>
      </c>
      <c r="O255" s="35" t="s">
        <v>55</v>
      </c>
      <c r="P255" s="36" t="s">
        <v>673</v>
      </c>
      <c r="Q255" s="36" t="n">
        <v>90</v>
      </c>
      <c r="R255" s="32"/>
      <c r="S255" s="32" t="n">
        <v>6</v>
      </c>
      <c r="T255" s="32"/>
      <c r="U255" s="32"/>
      <c r="V255" s="37"/>
      <c r="W255" s="32"/>
      <c r="X255" s="34"/>
      <c r="Y255" s="34"/>
      <c r="Z255" s="32"/>
      <c r="AA255" s="32" t="s">
        <v>1945</v>
      </c>
      <c r="AB255" s="32"/>
      <c r="AC255" s="38" t="str">
        <f aca="false">HYPERLINK("https://biocodex6--c.vf.force.com/0014L00000KGGd9QAH", "MARTIN GABRIELLE MARIE")</f>
        <v>MARTIN GABRIELLE MARIE</v>
      </c>
      <c r="AD255" s="38"/>
      <c r="AE255" s="39"/>
      <c r="AF255" s="40"/>
      <c r="AG255" s="41"/>
      <c r="AH255" s="32"/>
      <c r="AI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XEY255" s="27"/>
      <c r="XEZ255" s="27"/>
      <c r="XFA255" s="27"/>
      <c r="XFB255" s="27"/>
      <c r="XFC255" s="27"/>
      <c r="XFD255" s="27"/>
    </row>
    <row r="256" s="42" customFormat="true" ht="14.15" hidden="false" customHeight="true" outlineLevel="0" collapsed="false">
      <c r="A256" s="28" t="s">
        <v>1946</v>
      </c>
      <c r="B256" s="29" t="s">
        <v>1947</v>
      </c>
      <c r="C256" s="29" t="s">
        <v>1948</v>
      </c>
      <c r="D256" s="30" t="s">
        <v>112</v>
      </c>
      <c r="E256" s="31"/>
      <c r="F256" s="32" t="n">
        <v>36</v>
      </c>
      <c r="G256" s="31"/>
      <c r="H256" s="31" t="n">
        <v>2</v>
      </c>
      <c r="I256" s="31" t="s">
        <v>51</v>
      </c>
      <c r="J256" s="29" t="s">
        <v>52</v>
      </c>
      <c r="K256" s="29" t="s">
        <v>53</v>
      </c>
      <c r="L256" s="32" t="n">
        <v>149</v>
      </c>
      <c r="M256" s="33" t="s">
        <v>54</v>
      </c>
      <c r="N256" s="34" t="n">
        <v>75015</v>
      </c>
      <c r="O256" s="35" t="s">
        <v>55</v>
      </c>
      <c r="P256" s="36" t="s">
        <v>1949</v>
      </c>
      <c r="Q256" s="36" t="n">
        <v>236</v>
      </c>
      <c r="R256" s="32"/>
      <c r="S256" s="32" t="n">
        <v>6</v>
      </c>
      <c r="T256" s="32"/>
      <c r="U256" s="32"/>
      <c r="V256" s="37"/>
      <c r="W256" s="32"/>
      <c r="X256" s="34"/>
      <c r="Y256" s="34"/>
      <c r="Z256" s="32"/>
      <c r="AA256" s="32" t="s">
        <v>1950</v>
      </c>
      <c r="AB256" s="32"/>
      <c r="AC256" s="38" t="str">
        <f aca="false">HYPERLINK("https://biocodex6--c.vf.force.com/0014L00000fcHArQAM", "BENADJAOUD YASMINE")</f>
        <v>BENADJAOUD YASMINE</v>
      </c>
      <c r="AD256" s="38"/>
      <c r="AE256" s="39"/>
      <c r="AF256" s="40"/>
      <c r="AG256" s="41"/>
      <c r="AH256" s="32"/>
      <c r="AI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XEY256" s="27"/>
      <c r="XEZ256" s="27"/>
      <c r="XFA256" s="27"/>
      <c r="XFB256" s="27"/>
      <c r="XFC256" s="27"/>
      <c r="XFD256" s="27"/>
    </row>
    <row r="257" s="42" customFormat="true" ht="14.15" hidden="false" customHeight="true" outlineLevel="0" collapsed="false">
      <c r="A257" s="28" t="s">
        <v>1951</v>
      </c>
      <c r="B257" s="29" t="s">
        <v>951</v>
      </c>
      <c r="C257" s="29" t="s">
        <v>1952</v>
      </c>
      <c r="D257" s="30" t="s">
        <v>244</v>
      </c>
      <c r="E257" s="30" t="s">
        <v>245</v>
      </c>
      <c r="F257" s="32" t="n">
        <v>32</v>
      </c>
      <c r="G257" s="31"/>
      <c r="H257" s="31" t="n">
        <v>1</v>
      </c>
      <c r="I257" s="31" t="s">
        <v>77</v>
      </c>
      <c r="J257" s="29" t="s">
        <v>246</v>
      </c>
      <c r="K257" s="29" t="s">
        <v>247</v>
      </c>
      <c r="L257" s="32" t="n">
        <v>36</v>
      </c>
      <c r="M257" s="33" t="s">
        <v>248</v>
      </c>
      <c r="N257" s="34" t="n">
        <v>92200</v>
      </c>
      <c r="O257" s="35" t="s">
        <v>81</v>
      </c>
      <c r="P257" s="36" t="s">
        <v>614</v>
      </c>
      <c r="Q257" s="36" t="n">
        <v>49</v>
      </c>
      <c r="R257" s="32"/>
      <c r="S257" s="32" t="n">
        <v>6</v>
      </c>
      <c r="T257" s="32"/>
      <c r="U257" s="32"/>
      <c r="V257" s="37"/>
      <c r="W257" s="32"/>
      <c r="X257" s="34"/>
      <c r="Y257" s="34"/>
      <c r="Z257" s="32"/>
      <c r="AA257" s="32" t="s">
        <v>1953</v>
      </c>
      <c r="AB257" s="32"/>
      <c r="AC257" s="38" t="str">
        <f aca="false">HYPERLINK("https://biocodex6--c.vf.force.com/0014L00000bNS64QAG", "LEQUOY MARIE AMELIE")</f>
        <v>LEQUOY MARIE AMELIE</v>
      </c>
      <c r="AD257" s="38"/>
      <c r="AE257" s="39"/>
      <c r="AF257" s="40"/>
      <c r="AG257" s="41"/>
      <c r="AH257" s="32"/>
      <c r="AI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XEY257" s="27"/>
      <c r="XEZ257" s="27"/>
      <c r="XFA257" s="27"/>
      <c r="XFB257" s="27"/>
      <c r="XFC257" s="27"/>
      <c r="XFD257" s="27"/>
    </row>
    <row r="258" s="42" customFormat="true" ht="14.15" hidden="false" customHeight="true" outlineLevel="0" collapsed="false">
      <c r="A258" s="28" t="s">
        <v>1954</v>
      </c>
      <c r="B258" s="29" t="s">
        <v>1955</v>
      </c>
      <c r="C258" s="29" t="s">
        <v>1956</v>
      </c>
      <c r="D258" s="30" t="s">
        <v>50</v>
      </c>
      <c r="E258" s="30" t="s">
        <v>776</v>
      </c>
      <c r="F258" s="32" t="n">
        <v>68</v>
      </c>
      <c r="G258" s="31"/>
      <c r="H258" s="31" t="n">
        <v>1</v>
      </c>
      <c r="I258" s="31" t="s">
        <v>197</v>
      </c>
      <c r="J258" s="29"/>
      <c r="K258" s="29" t="s">
        <v>1957</v>
      </c>
      <c r="L258" s="32" t="n">
        <v>3</v>
      </c>
      <c r="M258" s="33" t="s">
        <v>1958</v>
      </c>
      <c r="N258" s="34" t="n">
        <v>75017</v>
      </c>
      <c r="O258" s="35" t="s">
        <v>55</v>
      </c>
      <c r="P258" s="36" t="s">
        <v>1959</v>
      </c>
      <c r="Q258" s="36" t="n">
        <v>1</v>
      </c>
      <c r="R258" s="32" t="n">
        <v>436</v>
      </c>
      <c r="S258" s="32" t="n">
        <v>5</v>
      </c>
      <c r="T258" s="32"/>
      <c r="U258" s="32"/>
      <c r="V258" s="37"/>
      <c r="W258" s="32"/>
      <c r="X258" s="34"/>
      <c r="Y258" s="34"/>
      <c r="Z258" s="32"/>
      <c r="AA258" s="32" t="s">
        <v>1960</v>
      </c>
      <c r="AB258" s="32"/>
      <c r="AC258" s="38" t="str">
        <f aca="false">HYPERLINK("https://biocodex6--c.vf.force.com/0014L00000KFrs6QAD", "MIFSUD REMI")</f>
        <v>MIFSUD REMI</v>
      </c>
      <c r="AD258" s="38"/>
      <c r="AE258" s="39"/>
      <c r="AF258" s="40"/>
      <c r="AG258" s="41"/>
      <c r="AH258" s="32"/>
      <c r="AI258" s="32"/>
      <c r="AJ258" s="42" t="s">
        <v>1961</v>
      </c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XEY258" s="27"/>
      <c r="XEZ258" s="27"/>
      <c r="XFA258" s="27"/>
      <c r="XFB258" s="27"/>
      <c r="XFC258" s="27"/>
      <c r="XFD258" s="27"/>
    </row>
    <row r="259" s="42" customFormat="true" ht="14.15" hidden="false" customHeight="true" outlineLevel="0" collapsed="false">
      <c r="A259" s="28" t="s">
        <v>1962</v>
      </c>
      <c r="B259" s="29" t="s">
        <v>1963</v>
      </c>
      <c r="C259" s="29" t="s">
        <v>1964</v>
      </c>
      <c r="D259" s="30" t="s">
        <v>50</v>
      </c>
      <c r="E259" s="31"/>
      <c r="F259" s="32" t="n">
        <v>33</v>
      </c>
      <c r="G259" s="31"/>
      <c r="H259" s="31" t="n">
        <v>1</v>
      </c>
      <c r="I259" s="31" t="s">
        <v>99</v>
      </c>
      <c r="J259" s="29" t="s">
        <v>595</v>
      </c>
      <c r="K259" s="29" t="s">
        <v>596</v>
      </c>
      <c r="L259" s="32" t="n">
        <v>20</v>
      </c>
      <c r="M259" s="33" t="s">
        <v>597</v>
      </c>
      <c r="N259" s="34" t="n">
        <v>75015</v>
      </c>
      <c r="O259" s="35" t="s">
        <v>55</v>
      </c>
      <c r="P259" s="36" t="s">
        <v>1965</v>
      </c>
      <c r="Q259" s="36" t="n">
        <v>90</v>
      </c>
      <c r="R259" s="32" t="n">
        <v>400</v>
      </c>
      <c r="S259" s="32" t="n">
        <v>5</v>
      </c>
      <c r="T259" s="32"/>
      <c r="U259" s="32"/>
      <c r="V259" s="37"/>
      <c r="W259" s="32"/>
      <c r="X259" s="34"/>
      <c r="Y259" s="34"/>
      <c r="Z259" s="32"/>
      <c r="AA259" s="32" t="s">
        <v>1966</v>
      </c>
      <c r="AB259" s="32"/>
      <c r="AC259" s="38" t="str">
        <f aca="false">HYPERLINK("https://biocodex6--c.vf.force.com/0014L00000KGI2VQAX", "OKAMBA BELLE DIANA")</f>
        <v>OKAMBA BELLE DIANA</v>
      </c>
      <c r="AD259" s="38"/>
      <c r="AE259" s="39"/>
      <c r="AF259" s="40"/>
      <c r="AG259" s="41"/>
      <c r="AH259" s="32"/>
      <c r="AI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XEY259" s="27"/>
      <c r="XEZ259" s="27"/>
      <c r="XFA259" s="27"/>
      <c r="XFB259" s="27"/>
      <c r="XFC259" s="27"/>
      <c r="XFD259" s="27"/>
    </row>
    <row r="260" s="42" customFormat="true" ht="14.15" hidden="false" customHeight="true" outlineLevel="0" collapsed="false">
      <c r="A260" s="28" t="s">
        <v>1967</v>
      </c>
      <c r="B260" s="29" t="s">
        <v>1968</v>
      </c>
      <c r="C260" s="29" t="s">
        <v>1969</v>
      </c>
      <c r="D260" s="30" t="s">
        <v>112</v>
      </c>
      <c r="E260" s="31"/>
      <c r="F260" s="32" t="n">
        <v>31</v>
      </c>
      <c r="G260" s="31"/>
      <c r="H260" s="31" t="n">
        <v>2</v>
      </c>
      <c r="I260" s="31" t="s">
        <v>51</v>
      </c>
      <c r="J260" s="29" t="s">
        <v>52</v>
      </c>
      <c r="K260" s="29" t="s">
        <v>53</v>
      </c>
      <c r="L260" s="32" t="n">
        <v>149</v>
      </c>
      <c r="M260" s="33" t="s">
        <v>54</v>
      </c>
      <c r="N260" s="34" t="n">
        <v>75015</v>
      </c>
      <c r="O260" s="35" t="s">
        <v>55</v>
      </c>
      <c r="P260" s="36" t="s">
        <v>1970</v>
      </c>
      <c r="Q260" s="36" t="n">
        <v>236</v>
      </c>
      <c r="R260" s="32" t="n">
        <v>400</v>
      </c>
      <c r="S260" s="32" t="n">
        <v>5</v>
      </c>
      <c r="T260" s="32"/>
      <c r="U260" s="32"/>
      <c r="V260" s="37"/>
      <c r="W260" s="32"/>
      <c r="X260" s="34"/>
      <c r="Y260" s="34"/>
      <c r="Z260" s="32"/>
      <c r="AA260" s="32" t="s">
        <v>1971</v>
      </c>
      <c r="AB260" s="32"/>
      <c r="AC260" s="38" t="str">
        <f aca="false">HYPERLINK("https://biocodex6--c.vf.force.com/0014L00000KGI5iQAH", "LE SEBASTIEN")</f>
        <v>LE SEBASTIEN</v>
      </c>
      <c r="AD260" s="38"/>
      <c r="AE260" s="39"/>
      <c r="AF260" s="40"/>
      <c r="AG260" s="41"/>
      <c r="AH260" s="32"/>
      <c r="AI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XEY260" s="27"/>
      <c r="XEZ260" s="27"/>
      <c r="XFA260" s="27"/>
      <c r="XFB260" s="27"/>
      <c r="XFC260" s="27"/>
      <c r="XFD260" s="27"/>
    </row>
    <row r="261" s="42" customFormat="true" ht="14.15" hidden="false" customHeight="true" outlineLevel="0" collapsed="false">
      <c r="A261" s="28" t="s">
        <v>1972</v>
      </c>
      <c r="B261" s="29" t="s">
        <v>1973</v>
      </c>
      <c r="C261" s="29" t="s">
        <v>1974</v>
      </c>
      <c r="D261" s="30" t="s">
        <v>244</v>
      </c>
      <c r="E261" s="30" t="s">
        <v>113</v>
      </c>
      <c r="F261" s="32"/>
      <c r="G261" s="31"/>
      <c r="H261" s="31" t="n">
        <v>1</v>
      </c>
      <c r="I261" s="31" t="s">
        <v>77</v>
      </c>
      <c r="J261" s="29" t="s">
        <v>246</v>
      </c>
      <c r="K261" s="29" t="s">
        <v>247</v>
      </c>
      <c r="L261" s="32" t="n">
        <v>36</v>
      </c>
      <c r="M261" s="33" t="s">
        <v>248</v>
      </c>
      <c r="N261" s="34" t="n">
        <v>92200</v>
      </c>
      <c r="O261" s="35" t="s">
        <v>81</v>
      </c>
      <c r="P261" s="36" t="s">
        <v>614</v>
      </c>
      <c r="Q261" s="36" t="n">
        <v>49</v>
      </c>
      <c r="R261" s="32" t="n">
        <v>400</v>
      </c>
      <c r="S261" s="32" t="n">
        <v>5</v>
      </c>
      <c r="T261" s="32"/>
      <c r="U261" s="32"/>
      <c r="V261" s="37"/>
      <c r="W261" s="32"/>
      <c r="X261" s="34"/>
      <c r="Y261" s="34"/>
      <c r="Z261" s="32"/>
      <c r="AA261" s="32" t="s">
        <v>1975</v>
      </c>
      <c r="AB261" s="32"/>
      <c r="AC261" s="38" t="str">
        <f aca="false">HYPERLINK("https://biocodex6--c.vf.force.com/0014L00000eecORQAY", "BEN NASR MEHDI")</f>
        <v>BEN NASR MEHDI</v>
      </c>
      <c r="AD261" s="38"/>
      <c r="AE261" s="39"/>
      <c r="AF261" s="40"/>
      <c r="AG261" s="41"/>
      <c r="AH261" s="32"/>
      <c r="AI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XEY261" s="27"/>
      <c r="XEZ261" s="27"/>
      <c r="XFA261" s="27"/>
      <c r="XFB261" s="27"/>
      <c r="XFC261" s="27"/>
      <c r="XFD261" s="27"/>
    </row>
    <row r="262" s="42" customFormat="true" ht="14.15" hidden="false" customHeight="true" outlineLevel="0" collapsed="false">
      <c r="A262" s="28" t="s">
        <v>1976</v>
      </c>
      <c r="B262" s="29" t="s">
        <v>1977</v>
      </c>
      <c r="C262" s="29" t="s">
        <v>1978</v>
      </c>
      <c r="D262" s="30" t="s">
        <v>50</v>
      </c>
      <c r="E262" s="30" t="s">
        <v>344</v>
      </c>
      <c r="F262" s="32" t="n">
        <v>42</v>
      </c>
      <c r="G262" s="31" t="s">
        <v>98</v>
      </c>
      <c r="H262" s="31" t="n">
        <v>1</v>
      </c>
      <c r="I262" s="31" t="s">
        <v>572</v>
      </c>
      <c r="J262" s="29"/>
      <c r="K262" s="29" t="s">
        <v>1979</v>
      </c>
      <c r="L262" s="32" t="n">
        <v>30</v>
      </c>
      <c r="M262" s="33" t="s">
        <v>347</v>
      </c>
      <c r="N262" s="34" t="n">
        <v>75008</v>
      </c>
      <c r="O262" s="35" t="s">
        <v>55</v>
      </c>
      <c r="P262" s="36" t="s">
        <v>1980</v>
      </c>
      <c r="Q262" s="36" t="n">
        <v>2</v>
      </c>
      <c r="R262" s="32" t="n">
        <v>296</v>
      </c>
      <c r="S262" s="32" t="n">
        <v>5</v>
      </c>
      <c r="T262" s="32"/>
      <c r="U262" s="32"/>
      <c r="V262" s="37"/>
      <c r="W262" s="32"/>
      <c r="X262" s="34"/>
      <c r="Y262" s="34"/>
      <c r="Z262" s="32"/>
      <c r="AA262" s="32" t="s">
        <v>1981</v>
      </c>
      <c r="AB262" s="32" t="s">
        <v>1982</v>
      </c>
      <c r="AC262" s="38" t="str">
        <f aca="false">HYPERLINK("https://biocodex6--c.vf.force.com/0014L00000KFhm0QAD", "JUNG HAMOUDE SOLANGE")</f>
        <v>JUNG HAMOUDE SOLANGE</v>
      </c>
      <c r="AD262" s="38" t="str">
        <f aca="false">HYPERLINK("https://annuairesante.ameli.fr/professionnels-de-sante/recherche/fiche-detaillee-B7c1kjIzMDu6.html", "JUNG HAMOUDE SOLANGE")</f>
        <v>JUNG HAMOUDE SOLANGE</v>
      </c>
      <c r="AE262" s="39" t="n">
        <v>45254.6458333333</v>
      </c>
      <c r="AF262" s="40"/>
      <c r="AG262" s="41"/>
      <c r="AH262" s="32"/>
      <c r="AI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XEY262" s="27"/>
      <c r="XEZ262" s="27"/>
      <c r="XFA262" s="27"/>
      <c r="XFB262" s="27"/>
      <c r="XFC262" s="27"/>
      <c r="XFD262" s="27"/>
    </row>
    <row r="263" s="42" customFormat="true" ht="14.15" hidden="false" customHeight="true" outlineLevel="0" collapsed="false">
      <c r="A263" s="28" t="s">
        <v>1983</v>
      </c>
      <c r="B263" s="29" t="s">
        <v>1984</v>
      </c>
      <c r="C263" s="29" t="s">
        <v>1985</v>
      </c>
      <c r="D263" s="30" t="s">
        <v>244</v>
      </c>
      <c r="E263" s="30" t="s">
        <v>741</v>
      </c>
      <c r="F263" s="32" t="n">
        <v>72</v>
      </c>
      <c r="G263" s="31" t="s">
        <v>215</v>
      </c>
      <c r="H263" s="31" t="n">
        <v>1</v>
      </c>
      <c r="I263" s="31" t="s">
        <v>173</v>
      </c>
      <c r="J263" s="29" t="s">
        <v>1986</v>
      </c>
      <c r="K263" s="29" t="s">
        <v>1987</v>
      </c>
      <c r="L263" s="32" t="n">
        <v>76</v>
      </c>
      <c r="M263" s="33" t="s">
        <v>1988</v>
      </c>
      <c r="N263" s="34" t="n">
        <v>75016</v>
      </c>
      <c r="O263" s="35" t="s">
        <v>55</v>
      </c>
      <c r="P263" s="36" t="s">
        <v>1989</v>
      </c>
      <c r="Q263" s="36" t="n">
        <v>5</v>
      </c>
      <c r="R263" s="32" t="n">
        <v>282</v>
      </c>
      <c r="S263" s="32" t="n">
        <v>5</v>
      </c>
      <c r="T263" s="32"/>
      <c r="U263" s="32"/>
      <c r="V263" s="37"/>
      <c r="W263" s="32"/>
      <c r="X263" s="34"/>
      <c r="Y263" s="34"/>
      <c r="Z263" s="32" t="s">
        <v>1990</v>
      </c>
      <c r="AA263" s="32" t="s">
        <v>1991</v>
      </c>
      <c r="AB263" s="32" t="s">
        <v>1992</v>
      </c>
      <c r="AC263" s="38" t="str">
        <f aca="false">HYPERLINK("https://biocodex6--c.vf.force.com/0014L00000KFjzuQAD", "JOCHIMEK CHOLAL FRANCINE")</f>
        <v>JOCHIMEK CHOLAL FRANCINE</v>
      </c>
      <c r="AD263" s="38" t="str">
        <f aca="false">HYPERLINK("https://annuairesante.ameli.fr/professionnels-de-sante/recherche/fiche-detaillee-B7c1ljM1ODe3.html", "JOCHIMEK CHOLAL FRANCINE")</f>
        <v>JOCHIMEK CHOLAL FRANCINE</v>
      </c>
      <c r="AE263" s="39"/>
      <c r="AF263" s="40"/>
      <c r="AG263" s="41"/>
      <c r="AH263" s="32"/>
      <c r="AI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XEY263" s="27"/>
      <c r="XEZ263" s="27"/>
      <c r="XFA263" s="27"/>
      <c r="XFB263" s="27"/>
      <c r="XFC263" s="27"/>
      <c r="XFD263" s="27"/>
    </row>
    <row r="264" s="42" customFormat="true" ht="14.15" hidden="false" customHeight="true" outlineLevel="0" collapsed="false">
      <c r="A264" s="28" t="s">
        <v>1993</v>
      </c>
      <c r="B264" s="29" t="s">
        <v>652</v>
      </c>
      <c r="C264" s="29" t="s">
        <v>1994</v>
      </c>
      <c r="D264" s="30" t="s">
        <v>50</v>
      </c>
      <c r="E264" s="31"/>
      <c r="F264" s="32" t="n">
        <v>42</v>
      </c>
      <c r="G264" s="31" t="s">
        <v>98</v>
      </c>
      <c r="H264" s="31" t="n">
        <v>1</v>
      </c>
      <c r="I264" s="31" t="s">
        <v>233</v>
      </c>
      <c r="J264" s="29"/>
      <c r="K264" s="29" t="s">
        <v>1995</v>
      </c>
      <c r="L264" s="32" t="n">
        <v>1</v>
      </c>
      <c r="M264" s="33" t="s">
        <v>1996</v>
      </c>
      <c r="N264" s="34" t="n">
        <v>75015</v>
      </c>
      <c r="O264" s="35" t="s">
        <v>55</v>
      </c>
      <c r="P264" s="36" t="s">
        <v>1997</v>
      </c>
      <c r="Q264" s="36" t="n">
        <v>3</v>
      </c>
      <c r="R264" s="32" t="n">
        <v>269</v>
      </c>
      <c r="S264" s="32" t="n">
        <v>5</v>
      </c>
      <c r="T264" s="32"/>
      <c r="U264" s="32"/>
      <c r="V264" s="37"/>
      <c r="W264" s="32"/>
      <c r="X264" s="34"/>
      <c r="Y264" s="34"/>
      <c r="Z264" s="32"/>
      <c r="AA264" s="32" t="s">
        <v>1998</v>
      </c>
      <c r="AB264" s="32" t="s">
        <v>1999</v>
      </c>
      <c r="AC264" s="38" t="str">
        <f aca="false">HYPERLINK("https://biocodex6--c.vf.force.com/0014L00000KG2UrQAL", "SAUVAGE RIGAL SOPHIE")</f>
        <v>SAUVAGE RIGAL SOPHIE</v>
      </c>
      <c r="AD264" s="38" t="str">
        <f aca="false">HYPERLINK("https://annuairesante.ameli.fr/professionnels-de-sante/recherche/fiche-detaillee-B7c1mzYyNDS3.html", "SAUVAGE RIGAL SOPHIE")</f>
        <v>SAUVAGE RIGAL SOPHIE</v>
      </c>
      <c r="AE264" s="39"/>
      <c r="AF264" s="40"/>
      <c r="AG264" s="41"/>
      <c r="AH264" s="32"/>
      <c r="AI264" s="32"/>
      <c r="AL264" s="43" t="s">
        <v>338</v>
      </c>
      <c r="AM264" s="43" t="s">
        <v>137</v>
      </c>
      <c r="AN264" s="43" t="s">
        <v>338</v>
      </c>
      <c r="AO264" s="43" t="s">
        <v>137</v>
      </c>
      <c r="AP264" s="32"/>
      <c r="AQ264" s="32"/>
      <c r="AR264" s="43" t="s">
        <v>338</v>
      </c>
      <c r="AS264" s="43" t="s">
        <v>137</v>
      </c>
      <c r="AT264" s="43" t="s">
        <v>338</v>
      </c>
      <c r="AU264" s="43" t="s">
        <v>476</v>
      </c>
      <c r="XEY264" s="27"/>
      <c r="XEZ264" s="27"/>
      <c r="XFA264" s="27"/>
      <c r="XFB264" s="27"/>
      <c r="XFC264" s="27"/>
      <c r="XFD264" s="27"/>
    </row>
    <row r="265" s="42" customFormat="true" ht="14.15" hidden="false" customHeight="true" outlineLevel="0" collapsed="false">
      <c r="A265" s="28" t="s">
        <v>2000</v>
      </c>
      <c r="B265" s="29" t="s">
        <v>2001</v>
      </c>
      <c r="C265" s="29" t="s">
        <v>2002</v>
      </c>
      <c r="D265" s="30" t="s">
        <v>50</v>
      </c>
      <c r="E265" s="30" t="s">
        <v>386</v>
      </c>
      <c r="F265" s="32" t="n">
        <v>67</v>
      </c>
      <c r="G265" s="31" t="s">
        <v>215</v>
      </c>
      <c r="H265" s="31" t="n">
        <v>1</v>
      </c>
      <c r="I265" s="31" t="s">
        <v>99</v>
      </c>
      <c r="J265" s="29"/>
      <c r="K265" s="29" t="s">
        <v>2003</v>
      </c>
      <c r="L265" s="32" t="n">
        <v>152</v>
      </c>
      <c r="M265" s="33" t="s">
        <v>2004</v>
      </c>
      <c r="N265" s="34" t="n">
        <v>75015</v>
      </c>
      <c r="O265" s="35" t="s">
        <v>55</v>
      </c>
      <c r="P265" s="36" t="s">
        <v>2005</v>
      </c>
      <c r="Q265" s="36" t="n">
        <v>1</v>
      </c>
      <c r="R265" s="32" t="n">
        <v>260</v>
      </c>
      <c r="S265" s="32" t="n">
        <v>5</v>
      </c>
      <c r="T265" s="32"/>
      <c r="U265" s="32"/>
      <c r="V265" s="37"/>
      <c r="W265" s="32"/>
      <c r="X265" s="34"/>
      <c r="Y265" s="34"/>
      <c r="Z265" s="32"/>
      <c r="AA265" s="32" t="s">
        <v>2006</v>
      </c>
      <c r="AB265" s="32" t="s">
        <v>2007</v>
      </c>
      <c r="AC265" s="38" t="str">
        <f aca="false">HYPERLINK("https://biocodex6--c.vf.force.com/0014L00000KFVwkQAH", "BELLIS CHAHIM MARYAM")</f>
        <v>BELLIS CHAHIM MARYAM</v>
      </c>
      <c r="AD265" s="38" t="str">
        <f aca="false">HYPERLINK("https://annuairesante.ameli.fr/professionnels-de-sante/recherche/fiche-detaillee-B7c1ljU1Mja6.html", "BELLIS CHAHIM MARYAM")</f>
        <v>BELLIS CHAHIM MARYAM</v>
      </c>
      <c r="AE265" s="39" t="n">
        <v>45201.5625</v>
      </c>
      <c r="AF265" s="40"/>
      <c r="AG265" s="41"/>
      <c r="AH265" s="32"/>
      <c r="AI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XEY265" s="27"/>
      <c r="XEZ265" s="27"/>
      <c r="XFA265" s="27"/>
      <c r="XFB265" s="27"/>
      <c r="XFC265" s="27"/>
      <c r="XFD265" s="27"/>
    </row>
    <row r="266" s="42" customFormat="true" ht="14.15" hidden="false" customHeight="true" outlineLevel="0" collapsed="false">
      <c r="A266" s="28" t="s">
        <v>2008</v>
      </c>
      <c r="B266" s="29" t="s">
        <v>560</v>
      </c>
      <c r="C266" s="29" t="s">
        <v>2009</v>
      </c>
      <c r="D266" s="30" t="s">
        <v>112</v>
      </c>
      <c r="E266" s="31"/>
      <c r="F266" s="32" t="n">
        <v>72</v>
      </c>
      <c r="G266" s="31"/>
      <c r="H266" s="31" t="n">
        <v>1</v>
      </c>
      <c r="I266" s="31" t="s">
        <v>51</v>
      </c>
      <c r="J266" s="29" t="s">
        <v>2010</v>
      </c>
      <c r="K266" s="29" t="s">
        <v>2011</v>
      </c>
      <c r="L266" s="32" t="n">
        <v>37</v>
      </c>
      <c r="M266" s="33" t="s">
        <v>2012</v>
      </c>
      <c r="N266" s="34" t="n">
        <v>75015</v>
      </c>
      <c r="O266" s="35" t="s">
        <v>55</v>
      </c>
      <c r="P266" s="36" t="s">
        <v>2013</v>
      </c>
      <c r="Q266" s="36" t="n">
        <v>19</v>
      </c>
      <c r="R266" s="32" t="n">
        <v>253</v>
      </c>
      <c r="S266" s="32" t="n">
        <v>5</v>
      </c>
      <c r="T266" s="32"/>
      <c r="U266" s="32"/>
      <c r="V266" s="37"/>
      <c r="W266" s="32" t="n">
        <v>3</v>
      </c>
      <c r="X266" s="34" t="n">
        <v>1</v>
      </c>
      <c r="Y266" s="34" t="n">
        <v>1</v>
      </c>
      <c r="Z266" s="32"/>
      <c r="AA266" s="32" t="s">
        <v>2014</v>
      </c>
      <c r="AB266" s="32"/>
      <c r="AC266" s="38" t="str">
        <f aca="false">HYPERLINK("https://biocodex6--c.vf.force.com/0014L00000KFjoWQAT", "JAULT ELISABETH")</f>
        <v>JAULT ELISABETH</v>
      </c>
      <c r="AD266" s="38"/>
      <c r="AE266" s="39" t="n">
        <v>45177.4375</v>
      </c>
      <c r="AF266" s="40"/>
      <c r="AG266" s="41"/>
      <c r="AH266" s="32"/>
      <c r="AI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XEY266" s="27"/>
      <c r="XEZ266" s="27"/>
      <c r="XFA266" s="27"/>
      <c r="XFB266" s="27"/>
      <c r="XFC266" s="27"/>
      <c r="XFD266" s="27"/>
    </row>
    <row r="267" s="42" customFormat="true" ht="14.15" hidden="false" customHeight="true" outlineLevel="0" collapsed="false">
      <c r="A267" s="28" t="s">
        <v>2015</v>
      </c>
      <c r="B267" s="29" t="s">
        <v>2016</v>
      </c>
      <c r="C267" s="29" t="s">
        <v>2017</v>
      </c>
      <c r="D267" s="30" t="s">
        <v>50</v>
      </c>
      <c r="E267" s="30" t="s">
        <v>776</v>
      </c>
      <c r="F267" s="32" t="n">
        <v>60</v>
      </c>
      <c r="G267" s="31" t="s">
        <v>98</v>
      </c>
      <c r="H267" s="31" t="n">
        <v>2</v>
      </c>
      <c r="I267" s="31" t="s">
        <v>77</v>
      </c>
      <c r="J267" s="29" t="s">
        <v>78</v>
      </c>
      <c r="K267" s="29" t="s">
        <v>79</v>
      </c>
      <c r="L267" s="32" t="n">
        <v>26</v>
      </c>
      <c r="M267" s="33" t="s">
        <v>80</v>
      </c>
      <c r="N267" s="34" t="n">
        <v>92200</v>
      </c>
      <c r="O267" s="35" t="s">
        <v>81</v>
      </c>
      <c r="P267" s="36" t="s">
        <v>2018</v>
      </c>
      <c r="Q267" s="36" t="n">
        <v>10</v>
      </c>
      <c r="R267" s="32" t="n">
        <v>236</v>
      </c>
      <c r="S267" s="32" t="n">
        <v>5</v>
      </c>
      <c r="T267" s="32"/>
      <c r="U267" s="32"/>
      <c r="V267" s="37"/>
      <c r="W267" s="32"/>
      <c r="X267" s="34"/>
      <c r="Y267" s="34"/>
      <c r="Z267" s="32"/>
      <c r="AA267" s="32" t="s">
        <v>2019</v>
      </c>
      <c r="AB267" s="32" t="s">
        <v>2020</v>
      </c>
      <c r="AC267" s="38" t="str">
        <f aca="false">HYPERLINK("https://biocodex6--c.vf.force.com/0014L00000KFhvmQAD", "KHEFACHA AHMED")</f>
        <v>KHEFACHA AHMED</v>
      </c>
      <c r="AD267" s="38" t="str">
        <f aca="false">HYPERLINK("https://annuairesante.ameli.fr/professionnels-de-sante/recherche/fiche-detaillee-CbA1kzo1ODS1.html", "KHEFACHA AHMED")</f>
        <v>KHEFACHA AHMED</v>
      </c>
      <c r="AE267" s="39"/>
      <c r="AF267" s="40"/>
      <c r="AG267" s="41"/>
      <c r="AH267" s="32"/>
      <c r="AI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XEY267" s="27"/>
      <c r="XEZ267" s="27"/>
      <c r="XFA267" s="27"/>
      <c r="XFB267" s="27"/>
      <c r="XFC267" s="27"/>
      <c r="XFD267" s="27"/>
    </row>
    <row r="268" s="42" customFormat="true" ht="14.15" hidden="false" customHeight="true" outlineLevel="0" collapsed="false">
      <c r="A268" s="28" t="s">
        <v>2021</v>
      </c>
      <c r="B268" s="29" t="s">
        <v>411</v>
      </c>
      <c r="C268" s="29" t="s">
        <v>2022</v>
      </c>
      <c r="D268" s="30" t="s">
        <v>50</v>
      </c>
      <c r="E268" s="30" t="s">
        <v>245</v>
      </c>
      <c r="F268" s="32" t="n">
        <v>42</v>
      </c>
      <c r="G268" s="31" t="s">
        <v>98</v>
      </c>
      <c r="H268" s="31" t="n">
        <v>1</v>
      </c>
      <c r="I268" s="31" t="s">
        <v>51</v>
      </c>
      <c r="J268" s="29"/>
      <c r="K268" s="29" t="s">
        <v>2023</v>
      </c>
      <c r="L268" s="32" t="n">
        <v>27</v>
      </c>
      <c r="M268" s="33" t="s">
        <v>588</v>
      </c>
      <c r="N268" s="34" t="n">
        <v>75015</v>
      </c>
      <c r="O268" s="35" t="s">
        <v>55</v>
      </c>
      <c r="P268" s="36" t="s">
        <v>2024</v>
      </c>
      <c r="Q268" s="36" t="n">
        <v>3</v>
      </c>
      <c r="R268" s="32" t="n">
        <v>199</v>
      </c>
      <c r="S268" s="32" t="n">
        <v>5</v>
      </c>
      <c r="T268" s="32"/>
      <c r="U268" s="32"/>
      <c r="V268" s="37"/>
      <c r="W268" s="32"/>
      <c r="X268" s="34"/>
      <c r="Y268" s="34"/>
      <c r="Z268" s="32"/>
      <c r="AA268" s="32" t="s">
        <v>2025</v>
      </c>
      <c r="AB268" s="32" t="s">
        <v>2026</v>
      </c>
      <c r="AC268" s="38" t="str">
        <f aca="false">HYPERLINK("https://biocodex6--c.vf.force.com/0014L00000KFNbvQAH", "DE QUINCEROT ANNE CHARLOTTE")</f>
        <v>DE QUINCEROT ANNE CHARLOTTE</v>
      </c>
      <c r="AD268" s="38" t="str">
        <f aca="false">HYPERLINK("https://annuairesante.ameli.fr/professionnels-de-sante/recherche/fiche-detaillee-B7c1mzYwMju3.html", "DE QUINCEROT ANNE CHARLOTTE")</f>
        <v>DE QUINCEROT ANNE CHARLOTTE</v>
      </c>
      <c r="AE268" s="39"/>
      <c r="AF268" s="40"/>
      <c r="AG268" s="41"/>
      <c r="AH268" s="32"/>
      <c r="AI268" s="32"/>
      <c r="AL268" s="43" t="s">
        <v>657</v>
      </c>
      <c r="AM268" s="43" t="s">
        <v>792</v>
      </c>
      <c r="AN268" s="43" t="s">
        <v>657</v>
      </c>
      <c r="AO268" s="43" t="s">
        <v>126</v>
      </c>
      <c r="AP268" s="43" t="s">
        <v>657</v>
      </c>
      <c r="AQ268" s="43" t="s">
        <v>137</v>
      </c>
      <c r="AR268" s="43" t="s">
        <v>657</v>
      </c>
      <c r="AS268" s="43" t="s">
        <v>137</v>
      </c>
      <c r="AT268" s="43" t="s">
        <v>657</v>
      </c>
      <c r="AU268" s="43" t="s">
        <v>262</v>
      </c>
      <c r="XEY268" s="27"/>
      <c r="XEZ268" s="27"/>
      <c r="XFA268" s="27"/>
      <c r="XFB268" s="27"/>
      <c r="XFC268" s="27"/>
      <c r="XFD268" s="27"/>
    </row>
    <row r="269" s="42" customFormat="true" ht="14.15" hidden="false" customHeight="true" outlineLevel="0" collapsed="false">
      <c r="A269" s="28" t="s">
        <v>2027</v>
      </c>
      <c r="B269" s="29" t="s">
        <v>543</v>
      </c>
      <c r="C269" s="29" t="s">
        <v>2028</v>
      </c>
      <c r="D269" s="30" t="s">
        <v>268</v>
      </c>
      <c r="E269" s="30" t="s">
        <v>2029</v>
      </c>
      <c r="F269" s="32" t="n">
        <v>63</v>
      </c>
      <c r="G269" s="31"/>
      <c r="H269" s="31" t="n">
        <v>1</v>
      </c>
      <c r="I269" s="31" t="s">
        <v>51</v>
      </c>
      <c r="J269" s="29" t="s">
        <v>52</v>
      </c>
      <c r="K269" s="29" t="s">
        <v>53</v>
      </c>
      <c r="L269" s="32" t="n">
        <v>149</v>
      </c>
      <c r="M269" s="33" t="s">
        <v>54</v>
      </c>
      <c r="N269" s="34" t="n">
        <v>75015</v>
      </c>
      <c r="O269" s="35" t="s">
        <v>55</v>
      </c>
      <c r="P269" s="36" t="s">
        <v>2030</v>
      </c>
      <c r="Q269" s="36" t="n">
        <v>236</v>
      </c>
      <c r="R269" s="32" t="n">
        <v>198</v>
      </c>
      <c r="S269" s="32" t="n">
        <v>5</v>
      </c>
      <c r="T269" s="32"/>
      <c r="U269" s="32"/>
      <c r="V269" s="37"/>
      <c r="W269" s="32"/>
      <c r="X269" s="34"/>
      <c r="Y269" s="34"/>
      <c r="Z269" s="36"/>
      <c r="AA269" s="32" t="s">
        <v>2031</v>
      </c>
      <c r="AB269" s="32"/>
      <c r="AC269" s="38" t="str">
        <f aca="false">HYPERLINK("https://biocodex6--c.vf.force.com/0014L00000KG1wdQAD", "SOUFFLET CHRISTINE")</f>
        <v>SOUFFLET CHRISTINE</v>
      </c>
      <c r="AD269" s="38"/>
      <c r="AE269" s="39"/>
      <c r="AF269" s="40"/>
      <c r="AG269" s="41"/>
      <c r="AH269" s="32" t="s">
        <v>179</v>
      </c>
      <c r="AI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XEY269" s="27"/>
      <c r="XEZ269" s="27"/>
      <c r="XFA269" s="27"/>
      <c r="XFB269" s="27"/>
      <c r="XFC269" s="27"/>
      <c r="XFD269" s="27"/>
    </row>
    <row r="270" s="42" customFormat="true" ht="14.15" hidden="false" customHeight="true" outlineLevel="0" collapsed="false">
      <c r="A270" s="28" t="s">
        <v>2032</v>
      </c>
      <c r="B270" s="29" t="s">
        <v>2033</v>
      </c>
      <c r="C270" s="29" t="s">
        <v>2034</v>
      </c>
      <c r="D270" s="30" t="s">
        <v>75</v>
      </c>
      <c r="E270" s="31"/>
      <c r="F270" s="32" t="n">
        <v>37</v>
      </c>
      <c r="G270" s="31"/>
      <c r="H270" s="31" t="n">
        <v>1</v>
      </c>
      <c r="I270" s="31" t="s">
        <v>99</v>
      </c>
      <c r="J270" s="29" t="s">
        <v>595</v>
      </c>
      <c r="K270" s="29" t="s">
        <v>596</v>
      </c>
      <c r="L270" s="32" t="n">
        <v>20</v>
      </c>
      <c r="M270" s="33" t="s">
        <v>597</v>
      </c>
      <c r="N270" s="34" t="n">
        <v>75015</v>
      </c>
      <c r="O270" s="35" t="s">
        <v>55</v>
      </c>
      <c r="P270" s="36" t="s">
        <v>2035</v>
      </c>
      <c r="Q270" s="36" t="n">
        <v>90</v>
      </c>
      <c r="R270" s="32" t="n">
        <v>197</v>
      </c>
      <c r="S270" s="32" t="n">
        <v>5</v>
      </c>
      <c r="T270" s="32"/>
      <c r="U270" s="32"/>
      <c r="V270" s="37"/>
      <c r="W270" s="32"/>
      <c r="X270" s="34"/>
      <c r="Y270" s="34"/>
      <c r="Z270" s="32"/>
      <c r="AA270" s="32" t="s">
        <v>2036</v>
      </c>
      <c r="AB270" s="32"/>
      <c r="AC270" s="38" t="str">
        <f aca="false">HYPERLINK("https://biocodex6--c.vf.force.com/0014L00000KFPRwQAP", "LAPEYRE PROST ALEXANDRA")</f>
        <v>LAPEYRE PROST ALEXANDRA</v>
      </c>
      <c r="AD270" s="38"/>
      <c r="AE270" s="39"/>
      <c r="AF270" s="40"/>
      <c r="AG270" s="41"/>
      <c r="AH270" s="32"/>
      <c r="AI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XEY270" s="27"/>
      <c r="XEZ270" s="27"/>
      <c r="XFA270" s="27"/>
      <c r="XFB270" s="27"/>
      <c r="XFC270" s="27"/>
      <c r="XFD270" s="27"/>
    </row>
    <row r="271" s="42" customFormat="true" ht="14.15" hidden="false" customHeight="true" outlineLevel="0" collapsed="false">
      <c r="A271" s="28" t="s">
        <v>2037</v>
      </c>
      <c r="B271" s="29" t="s">
        <v>2038</v>
      </c>
      <c r="C271" s="29" t="s">
        <v>2039</v>
      </c>
      <c r="D271" s="30" t="s">
        <v>50</v>
      </c>
      <c r="E271" s="30" t="s">
        <v>386</v>
      </c>
      <c r="F271" s="32" t="n">
        <v>80</v>
      </c>
      <c r="G271" s="31"/>
      <c r="H271" s="31" t="n">
        <v>1</v>
      </c>
      <c r="I271" s="31" t="s">
        <v>51</v>
      </c>
      <c r="J271" s="29" t="s">
        <v>286</v>
      </c>
      <c r="K271" s="29" t="s">
        <v>287</v>
      </c>
      <c r="L271" s="32" t="n">
        <v>12</v>
      </c>
      <c r="M271" s="33" t="s">
        <v>288</v>
      </c>
      <c r="N271" s="34" t="n">
        <v>75015</v>
      </c>
      <c r="O271" s="35" t="s">
        <v>55</v>
      </c>
      <c r="P271" s="36" t="s">
        <v>289</v>
      </c>
      <c r="Q271" s="36" t="n">
        <v>14</v>
      </c>
      <c r="R271" s="32" t="n">
        <v>192</v>
      </c>
      <c r="S271" s="32" t="n">
        <v>5</v>
      </c>
      <c r="T271" s="32"/>
      <c r="U271" s="32"/>
      <c r="V271" s="37"/>
      <c r="W271" s="32"/>
      <c r="X271" s="34"/>
      <c r="Y271" s="34"/>
      <c r="Z271" s="32"/>
      <c r="AA271" s="32" t="s">
        <v>2040</v>
      </c>
      <c r="AB271" s="32"/>
      <c r="AC271" s="38" t="str">
        <f aca="false">HYPERLINK("https://biocodex6--c.vf.force.com/0014L00000KG2PyQAL", "SZEJNER GUEZ ANNIE")</f>
        <v>SZEJNER GUEZ ANNIE</v>
      </c>
      <c r="AD271" s="38"/>
      <c r="AE271" s="39" t="n">
        <v>45460.7083333333</v>
      </c>
      <c r="AF271" s="40" t="s">
        <v>2041</v>
      </c>
      <c r="AG271" s="41"/>
      <c r="AH271" s="32"/>
      <c r="AI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XEY271" s="27"/>
      <c r="XEZ271" s="27"/>
      <c r="XFA271" s="27"/>
      <c r="XFB271" s="27"/>
      <c r="XFC271" s="27"/>
      <c r="XFD271" s="27"/>
    </row>
    <row r="272" s="42" customFormat="true" ht="14.15" hidden="false" customHeight="true" outlineLevel="0" collapsed="false">
      <c r="A272" s="28" t="s">
        <v>2042</v>
      </c>
      <c r="B272" s="29" t="s">
        <v>2043</v>
      </c>
      <c r="C272" s="29" t="s">
        <v>2044</v>
      </c>
      <c r="D272" s="30" t="s">
        <v>206</v>
      </c>
      <c r="E272" s="31"/>
      <c r="F272" s="32" t="n">
        <v>41</v>
      </c>
      <c r="G272" s="31"/>
      <c r="H272" s="31" t="n">
        <v>1</v>
      </c>
      <c r="I272" s="31" t="s">
        <v>51</v>
      </c>
      <c r="J272" s="29" t="s">
        <v>850</v>
      </c>
      <c r="K272" s="29" t="s">
        <v>851</v>
      </c>
      <c r="L272" s="32" t="n">
        <v>178</v>
      </c>
      <c r="M272" s="33" t="s">
        <v>852</v>
      </c>
      <c r="N272" s="34" t="n">
        <v>75015</v>
      </c>
      <c r="O272" s="35" t="s">
        <v>55</v>
      </c>
      <c r="P272" s="36" t="s">
        <v>853</v>
      </c>
      <c r="Q272" s="36" t="n">
        <v>24</v>
      </c>
      <c r="R272" s="32" t="n">
        <v>176</v>
      </c>
      <c r="S272" s="32" t="n">
        <v>5</v>
      </c>
      <c r="T272" s="32"/>
      <c r="U272" s="32" t="n">
        <v>3</v>
      </c>
      <c r="V272" s="37" t="n">
        <v>3</v>
      </c>
      <c r="W272" s="32" t="n">
        <v>3</v>
      </c>
      <c r="X272" s="34"/>
      <c r="Y272" s="34" t="n">
        <v>1</v>
      </c>
      <c r="Z272" s="32"/>
      <c r="AA272" s="32" t="s">
        <v>2045</v>
      </c>
      <c r="AB272" s="32"/>
      <c r="AC272" s="38" t="str">
        <f aca="false">HYPERLINK("https://biocodex6--c.vf.force.com/0014L00000KFvZQQA1", "PENNAMEN ELODIE")</f>
        <v>PENNAMEN ELODIE</v>
      </c>
      <c r="AD272" s="38"/>
      <c r="AE272" s="39" t="n">
        <v>45425.5416666667</v>
      </c>
      <c r="AF272" s="40" t="s">
        <v>2046</v>
      </c>
      <c r="AG272" s="41" t="s">
        <v>69</v>
      </c>
      <c r="AH272" s="32" t="s">
        <v>70</v>
      </c>
      <c r="AI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XEY272" s="27"/>
      <c r="XEZ272" s="27"/>
      <c r="XFA272" s="27"/>
      <c r="XFB272" s="27"/>
      <c r="XFC272" s="27"/>
      <c r="XFD272" s="27"/>
    </row>
    <row r="273" s="42" customFormat="true" ht="14.15" hidden="false" customHeight="true" outlineLevel="0" collapsed="false">
      <c r="A273" s="28" t="s">
        <v>2047</v>
      </c>
      <c r="B273" s="29" t="s">
        <v>2048</v>
      </c>
      <c r="C273" s="29" t="s">
        <v>2049</v>
      </c>
      <c r="D273" s="30" t="s">
        <v>50</v>
      </c>
      <c r="E273" s="30" t="s">
        <v>1228</v>
      </c>
      <c r="F273" s="32" t="n">
        <v>77</v>
      </c>
      <c r="G273" s="31" t="s">
        <v>61</v>
      </c>
      <c r="H273" s="31" t="n">
        <v>1</v>
      </c>
      <c r="I273" s="31" t="s">
        <v>51</v>
      </c>
      <c r="J273" s="29"/>
      <c r="K273" s="29" t="s">
        <v>2050</v>
      </c>
      <c r="L273" s="32" t="n">
        <v>68</v>
      </c>
      <c r="M273" s="33" t="s">
        <v>2051</v>
      </c>
      <c r="N273" s="34" t="n">
        <v>75015</v>
      </c>
      <c r="O273" s="35" t="s">
        <v>55</v>
      </c>
      <c r="P273" s="36" t="s">
        <v>2052</v>
      </c>
      <c r="Q273" s="36" t="n">
        <v>1</v>
      </c>
      <c r="R273" s="32" t="n">
        <v>168</v>
      </c>
      <c r="S273" s="32" t="n">
        <v>5</v>
      </c>
      <c r="T273" s="32"/>
      <c r="U273" s="32"/>
      <c r="V273" s="37"/>
      <c r="W273" s="32"/>
      <c r="X273" s="34" t="n">
        <v>1</v>
      </c>
      <c r="Y273" s="34"/>
      <c r="Z273" s="32"/>
      <c r="AA273" s="32" t="s">
        <v>2053</v>
      </c>
      <c r="AB273" s="32" t="s">
        <v>2054</v>
      </c>
      <c r="AC273" s="38" t="str">
        <f aca="false">HYPERLINK("https://biocodex6--c.vf.force.com/0014L00000KG0iCQAT", "SCEMAMA RENE")</f>
        <v>SCEMAMA RENE</v>
      </c>
      <c r="AD273" s="38" t="str">
        <f aca="false">HYPERLINK("https://annuairesante.ameli.fr/professionnels-de-sante/recherche/fiche-detaillee-B7c1kTMxMzKz.html", "SCEMAMA RENE")</f>
        <v>SCEMAMA RENE</v>
      </c>
      <c r="AE273" s="39" t="n">
        <v>45190.625</v>
      </c>
      <c r="AF273" s="40"/>
      <c r="AG273" s="41"/>
      <c r="AH273" s="32"/>
      <c r="AI273" s="32" t="s">
        <v>168</v>
      </c>
      <c r="AJ273" s="42" t="s">
        <v>180</v>
      </c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XEY273" s="27"/>
      <c r="XEZ273" s="27"/>
      <c r="XFA273" s="27"/>
      <c r="XFB273" s="27"/>
      <c r="XFC273" s="27"/>
      <c r="XFD273" s="27"/>
    </row>
    <row r="274" s="42" customFormat="true" ht="14.15" hidden="false" customHeight="true" outlineLevel="0" collapsed="false">
      <c r="A274" s="28" t="s">
        <v>2055</v>
      </c>
      <c r="B274" s="29" t="s">
        <v>376</v>
      </c>
      <c r="C274" s="29" t="s">
        <v>2056</v>
      </c>
      <c r="D274" s="30" t="s">
        <v>50</v>
      </c>
      <c r="E274" s="30" t="s">
        <v>255</v>
      </c>
      <c r="F274" s="32" t="n">
        <v>0</v>
      </c>
      <c r="G274" s="31"/>
      <c r="H274" s="31" t="n">
        <v>1</v>
      </c>
      <c r="I274" s="31" t="s">
        <v>99</v>
      </c>
      <c r="J274" s="29" t="s">
        <v>595</v>
      </c>
      <c r="K274" s="29" t="s">
        <v>596</v>
      </c>
      <c r="L274" s="32" t="n">
        <v>20</v>
      </c>
      <c r="M274" s="33" t="s">
        <v>597</v>
      </c>
      <c r="N274" s="34" t="n">
        <v>75015</v>
      </c>
      <c r="O274" s="35" t="s">
        <v>55</v>
      </c>
      <c r="P274" s="36" t="s">
        <v>2057</v>
      </c>
      <c r="Q274" s="36" t="n">
        <v>90</v>
      </c>
      <c r="R274" s="32" t="n">
        <v>161</v>
      </c>
      <c r="S274" s="32" t="n">
        <v>5</v>
      </c>
      <c r="T274" s="32"/>
      <c r="U274" s="32"/>
      <c r="V274" s="37"/>
      <c r="W274" s="32"/>
      <c r="X274" s="34" t="n">
        <v>1</v>
      </c>
      <c r="Y274" s="34"/>
      <c r="Z274" s="32"/>
      <c r="AA274" s="32"/>
      <c r="AB274" s="32"/>
      <c r="AC274" s="38"/>
      <c r="AD274" s="38"/>
      <c r="AE274" s="39" t="n">
        <v>45170.5</v>
      </c>
      <c r="AF274" s="40"/>
      <c r="AG274" s="45"/>
      <c r="AH274" s="32"/>
      <c r="AI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XEY274" s="27"/>
      <c r="XEZ274" s="27"/>
      <c r="XFA274" s="27"/>
      <c r="XFB274" s="27"/>
      <c r="XFC274" s="27"/>
      <c r="XFD274" s="27"/>
    </row>
    <row r="275" s="42" customFormat="true" ht="14.15" hidden="false" customHeight="true" outlineLevel="0" collapsed="false">
      <c r="A275" s="28" t="s">
        <v>2058</v>
      </c>
      <c r="B275" s="29" t="s">
        <v>128</v>
      </c>
      <c r="C275" s="29" t="s">
        <v>2059</v>
      </c>
      <c r="D275" s="30" t="s">
        <v>244</v>
      </c>
      <c r="E275" s="30" t="s">
        <v>245</v>
      </c>
      <c r="F275" s="32" t="n">
        <v>82</v>
      </c>
      <c r="G275" s="31"/>
      <c r="H275" s="31" t="n">
        <v>1</v>
      </c>
      <c r="I275" s="31" t="s">
        <v>99</v>
      </c>
      <c r="J275" s="29"/>
      <c r="K275" s="29" t="s">
        <v>1768</v>
      </c>
      <c r="L275" s="32" t="n">
        <v>50</v>
      </c>
      <c r="M275" s="33" t="s">
        <v>1769</v>
      </c>
      <c r="N275" s="34" t="n">
        <v>75015</v>
      </c>
      <c r="O275" s="35" t="s">
        <v>55</v>
      </c>
      <c r="P275" s="36" t="s">
        <v>1770</v>
      </c>
      <c r="Q275" s="36" t="n">
        <v>2</v>
      </c>
      <c r="R275" s="32" t="n">
        <v>157</v>
      </c>
      <c r="S275" s="32" t="n">
        <v>5</v>
      </c>
      <c r="T275" s="32"/>
      <c r="U275" s="32" t="n">
        <v>3</v>
      </c>
      <c r="V275" s="37"/>
      <c r="W275" s="32" t="n">
        <v>3</v>
      </c>
      <c r="X275" s="34" t="n">
        <v>1</v>
      </c>
      <c r="Y275" s="34" t="n">
        <v>2</v>
      </c>
      <c r="Z275" s="32" t="s">
        <v>2060</v>
      </c>
      <c r="AA275" s="32" t="s">
        <v>2061</v>
      </c>
      <c r="AB275" s="32"/>
      <c r="AC275" s="38" t="str">
        <f aca="false">HYPERLINK("https://biocodex6--c.vf.force.com/0014L00000KFyrOQAT", "ROBEY LELIEVRE FRANCOISE")</f>
        <v>ROBEY LELIEVRE FRANCOISE</v>
      </c>
      <c r="AD275" s="38"/>
      <c r="AE275" s="39" t="n">
        <v>45274.5833333333</v>
      </c>
      <c r="AF275" s="40" t="s">
        <v>2062</v>
      </c>
      <c r="AG275" s="41"/>
      <c r="AH275" s="32"/>
      <c r="AI275" s="32" t="s">
        <v>106</v>
      </c>
      <c r="AJ275" s="32" t="s">
        <v>2063</v>
      </c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XEY275" s="27"/>
      <c r="XEZ275" s="27"/>
      <c r="XFA275" s="27"/>
      <c r="XFB275" s="27"/>
      <c r="XFC275" s="27"/>
      <c r="XFD275" s="27"/>
    </row>
    <row r="276" s="42" customFormat="true" ht="14.15" hidden="false" customHeight="true" outlineLevel="0" collapsed="false">
      <c r="A276" s="28" t="s">
        <v>2064</v>
      </c>
      <c r="B276" s="29" t="s">
        <v>2065</v>
      </c>
      <c r="C276" s="29" t="s">
        <v>2066</v>
      </c>
      <c r="D276" s="30" t="s">
        <v>50</v>
      </c>
      <c r="E276" s="31"/>
      <c r="F276" s="32" t="n">
        <v>61</v>
      </c>
      <c r="G276" s="31"/>
      <c r="H276" s="31" t="n">
        <v>3</v>
      </c>
      <c r="I276" s="31" t="s">
        <v>295</v>
      </c>
      <c r="J276" s="29" t="s">
        <v>489</v>
      </c>
      <c r="K276" s="29" t="s">
        <v>490</v>
      </c>
      <c r="L276" s="32" t="n">
        <v>3</v>
      </c>
      <c r="M276" s="33" t="s">
        <v>491</v>
      </c>
      <c r="N276" s="34" t="n">
        <v>92300</v>
      </c>
      <c r="O276" s="35" t="s">
        <v>298</v>
      </c>
      <c r="P276" s="36" t="s">
        <v>492</v>
      </c>
      <c r="Q276" s="36" t="n">
        <v>26</v>
      </c>
      <c r="R276" s="32" t="n">
        <v>156</v>
      </c>
      <c r="S276" s="32" t="n">
        <v>5</v>
      </c>
      <c r="T276" s="32"/>
      <c r="U276" s="32"/>
      <c r="V276" s="37"/>
      <c r="W276" s="32"/>
      <c r="X276" s="34"/>
      <c r="Y276" s="34"/>
      <c r="Z276" s="32"/>
      <c r="AA276" s="32" t="s">
        <v>2067</v>
      </c>
      <c r="AB276" s="32"/>
      <c r="AC276" s="38" t="str">
        <f aca="false">HYPERLINK("https://biocodex6--c.vf.force.com/0014L00000KFhNJQA1", "JOLLY PAUL GUNITA")</f>
        <v>JOLLY PAUL GUNITA</v>
      </c>
      <c r="AD276" s="38"/>
      <c r="AE276" s="39"/>
      <c r="AF276" s="40"/>
      <c r="AG276" s="41"/>
      <c r="AH276" s="32"/>
      <c r="AI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XEY276" s="27"/>
      <c r="XEZ276" s="27"/>
      <c r="XFA276" s="27"/>
      <c r="XFB276" s="27"/>
      <c r="XFC276" s="27"/>
      <c r="XFD276" s="27"/>
    </row>
    <row r="277" s="42" customFormat="true" ht="14.15" hidden="false" customHeight="true" outlineLevel="0" collapsed="false">
      <c r="A277" s="28" t="s">
        <v>2068</v>
      </c>
      <c r="B277" s="29" t="s">
        <v>117</v>
      </c>
      <c r="C277" s="29" t="s">
        <v>2069</v>
      </c>
      <c r="D277" s="30" t="s">
        <v>50</v>
      </c>
      <c r="E277" s="30" t="s">
        <v>421</v>
      </c>
      <c r="F277" s="32" t="n">
        <v>71</v>
      </c>
      <c r="G277" s="31"/>
      <c r="H277" s="31" t="n">
        <v>1</v>
      </c>
      <c r="I277" s="31" t="s">
        <v>572</v>
      </c>
      <c r="J277" s="29" t="s">
        <v>678</v>
      </c>
      <c r="K277" s="29" t="s">
        <v>679</v>
      </c>
      <c r="L277" s="32" t="n">
        <v>6</v>
      </c>
      <c r="M277" s="33" t="s">
        <v>680</v>
      </c>
      <c r="N277" s="34" t="n">
        <v>75008</v>
      </c>
      <c r="O277" s="35" t="s">
        <v>55</v>
      </c>
      <c r="P277" s="36" t="s">
        <v>870</v>
      </c>
      <c r="Q277" s="36" t="n">
        <v>43</v>
      </c>
      <c r="R277" s="32" t="n">
        <v>150</v>
      </c>
      <c r="S277" s="32" t="n">
        <v>5</v>
      </c>
      <c r="T277" s="32"/>
      <c r="U277" s="32" t="n">
        <v>3</v>
      </c>
      <c r="V277" s="37"/>
      <c r="W277" s="32" t="n">
        <v>3</v>
      </c>
      <c r="X277" s="34"/>
      <c r="Y277" s="34" t="n">
        <v>1</v>
      </c>
      <c r="Z277" s="32"/>
      <c r="AA277" s="32" t="s">
        <v>2070</v>
      </c>
      <c r="AB277" s="32"/>
      <c r="AC277" s="38" t="str">
        <f aca="false">HYPERLINK("https://biocodex6--c.vf.force.com/0014L00000KFT1nQAH", "BERREBI DOMINIQUE")</f>
        <v>BERREBI DOMINIQUE</v>
      </c>
      <c r="AD277" s="38"/>
      <c r="AE277" s="39" t="n">
        <v>45327.6458333333</v>
      </c>
      <c r="AF277" s="40"/>
      <c r="AG277" s="41"/>
      <c r="AH277" s="32"/>
      <c r="AI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XEY277" s="27"/>
      <c r="XEZ277" s="27"/>
      <c r="XFA277" s="27"/>
      <c r="XFB277" s="27"/>
      <c r="XFC277" s="27"/>
      <c r="XFD277" s="27"/>
    </row>
    <row r="278" s="42" customFormat="true" ht="14.15" hidden="false" customHeight="true" outlineLevel="0" collapsed="false">
      <c r="A278" s="28" t="s">
        <v>2071</v>
      </c>
      <c r="B278" s="29" t="s">
        <v>2072</v>
      </c>
      <c r="C278" s="29" t="s">
        <v>2073</v>
      </c>
      <c r="D278" s="30" t="s">
        <v>50</v>
      </c>
      <c r="E278" s="31"/>
      <c r="F278" s="32" t="n">
        <v>72</v>
      </c>
      <c r="G278" s="31" t="s">
        <v>61</v>
      </c>
      <c r="H278" s="31" t="n">
        <v>1</v>
      </c>
      <c r="I278" s="31" t="s">
        <v>295</v>
      </c>
      <c r="J278" s="29"/>
      <c r="K278" s="29" t="s">
        <v>2074</v>
      </c>
      <c r="L278" s="32" t="n">
        <v>129</v>
      </c>
      <c r="M278" s="33" t="s">
        <v>2075</v>
      </c>
      <c r="N278" s="34" t="n">
        <v>92300</v>
      </c>
      <c r="O278" s="35" t="s">
        <v>298</v>
      </c>
      <c r="P278" s="36" t="s">
        <v>2076</v>
      </c>
      <c r="Q278" s="36" t="n">
        <v>1</v>
      </c>
      <c r="R278" s="32" t="n">
        <v>150</v>
      </c>
      <c r="S278" s="32" t="n">
        <v>5</v>
      </c>
      <c r="T278" s="32"/>
      <c r="U278" s="32"/>
      <c r="V278" s="37"/>
      <c r="W278" s="32"/>
      <c r="X278" s="34"/>
      <c r="Y278" s="34"/>
      <c r="Z278" s="32"/>
      <c r="AA278" s="32" t="s">
        <v>2077</v>
      </c>
      <c r="AB278" s="32" t="s">
        <v>2078</v>
      </c>
      <c r="AC278" s="38" t="str">
        <f aca="false">HYPERLINK("https://biocodex6--c.vf.force.com/0014L00000KG1DbQAL", "SENNEPIN PATRICE")</f>
        <v>SENNEPIN PATRICE</v>
      </c>
      <c r="AD278" s="38" t="str">
        <f aca="false">HYPERLINK("https://annuairesante.ameli.fr/professionnels-de-sante/recherche/fiche-detaillee-CbA1kzM0MDW1.html", "SENNEPIN PATRICE")</f>
        <v>SENNEPIN PATRICE</v>
      </c>
      <c r="AE278" s="39"/>
      <c r="AF278" s="40"/>
      <c r="AG278" s="41"/>
      <c r="AH278" s="32"/>
      <c r="AI278" s="32"/>
      <c r="AL278" s="43" t="s">
        <v>2079</v>
      </c>
      <c r="AM278" s="32"/>
      <c r="AN278" s="43" t="s">
        <v>169</v>
      </c>
      <c r="AO278" s="43" t="s">
        <v>137</v>
      </c>
      <c r="AP278" s="43" t="s">
        <v>2079</v>
      </c>
      <c r="AQ278" s="32"/>
      <c r="AR278" s="43" t="s">
        <v>169</v>
      </c>
      <c r="AS278" s="43" t="s">
        <v>137</v>
      </c>
      <c r="AT278" s="43" t="s">
        <v>2079</v>
      </c>
      <c r="AU278" s="32"/>
      <c r="XEY278" s="27"/>
      <c r="XEZ278" s="27"/>
      <c r="XFA278" s="27"/>
      <c r="XFB278" s="27"/>
      <c r="XFC278" s="27"/>
      <c r="XFD278" s="27"/>
    </row>
    <row r="279" s="42" customFormat="true" ht="14.15" hidden="false" customHeight="true" outlineLevel="0" collapsed="false">
      <c r="A279" s="28" t="s">
        <v>2080</v>
      </c>
      <c r="B279" s="29" t="s">
        <v>2081</v>
      </c>
      <c r="C279" s="29" t="s">
        <v>2082</v>
      </c>
      <c r="D279" s="30" t="s">
        <v>244</v>
      </c>
      <c r="E279" s="31"/>
      <c r="F279" s="32" t="n">
        <v>78</v>
      </c>
      <c r="G279" s="31"/>
      <c r="H279" s="31" t="n">
        <v>1</v>
      </c>
      <c r="I279" s="31" t="s">
        <v>572</v>
      </c>
      <c r="J279" s="29" t="s">
        <v>678</v>
      </c>
      <c r="K279" s="29" t="s">
        <v>679</v>
      </c>
      <c r="L279" s="32" t="n">
        <v>6</v>
      </c>
      <c r="M279" s="33" t="s">
        <v>680</v>
      </c>
      <c r="N279" s="34" t="n">
        <v>75008</v>
      </c>
      <c r="O279" s="35" t="s">
        <v>55</v>
      </c>
      <c r="P279" s="36" t="s">
        <v>870</v>
      </c>
      <c r="Q279" s="36" t="n">
        <v>43</v>
      </c>
      <c r="R279" s="32" t="n">
        <v>141</v>
      </c>
      <c r="S279" s="32" t="n">
        <v>5</v>
      </c>
      <c r="T279" s="32"/>
      <c r="U279" s="32"/>
      <c r="V279" s="37"/>
      <c r="W279" s="32"/>
      <c r="X279" s="34" t="n">
        <v>1</v>
      </c>
      <c r="Y279" s="34"/>
      <c r="Z279" s="32"/>
      <c r="AA279" s="32" t="s">
        <v>2083</v>
      </c>
      <c r="AB279" s="32"/>
      <c r="AC279" s="38" t="str">
        <f aca="false">HYPERLINK("https://biocodex6--c.vf.force.com/0014L00000KG3VSQA1", "TORTOLANI GALEPIDES PATRICIA")</f>
        <v>TORTOLANI GALEPIDES PATRICIA</v>
      </c>
      <c r="AD279" s="38"/>
      <c r="AE279" s="39" t="n">
        <v>45280.3958333333</v>
      </c>
      <c r="AF279" s="40" t="s">
        <v>2084</v>
      </c>
      <c r="AG279" s="41"/>
      <c r="AH279" s="32"/>
      <c r="AI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XEY279" s="27"/>
      <c r="XEZ279" s="27"/>
      <c r="XFA279" s="27"/>
      <c r="XFB279" s="27"/>
      <c r="XFC279" s="27"/>
      <c r="XFD279" s="27"/>
    </row>
    <row r="280" s="42" customFormat="true" ht="14.15" hidden="false" customHeight="true" outlineLevel="0" collapsed="false">
      <c r="A280" s="28" t="s">
        <v>2085</v>
      </c>
      <c r="B280" s="29" t="s">
        <v>1101</v>
      </c>
      <c r="C280" s="29" t="s">
        <v>2086</v>
      </c>
      <c r="D280" s="30" t="s">
        <v>112</v>
      </c>
      <c r="E280" s="31"/>
      <c r="F280" s="32" t="n">
        <v>61</v>
      </c>
      <c r="G280" s="31"/>
      <c r="H280" s="31" t="n">
        <v>2</v>
      </c>
      <c r="I280" s="31" t="s">
        <v>51</v>
      </c>
      <c r="J280" s="29" t="s">
        <v>52</v>
      </c>
      <c r="K280" s="29" t="s">
        <v>53</v>
      </c>
      <c r="L280" s="32" t="n">
        <v>149</v>
      </c>
      <c r="M280" s="33" t="s">
        <v>54</v>
      </c>
      <c r="N280" s="34" t="n">
        <v>75015</v>
      </c>
      <c r="O280" s="35" t="s">
        <v>55</v>
      </c>
      <c r="P280" s="36" t="s">
        <v>687</v>
      </c>
      <c r="Q280" s="36" t="n">
        <v>236</v>
      </c>
      <c r="R280" s="32" t="n">
        <v>134</v>
      </c>
      <c r="S280" s="32" t="n">
        <v>5</v>
      </c>
      <c r="T280" s="32"/>
      <c r="U280" s="32"/>
      <c r="V280" s="37"/>
      <c r="W280" s="32"/>
      <c r="X280" s="34"/>
      <c r="Y280" s="34"/>
      <c r="Z280" s="32"/>
      <c r="AA280" s="32" t="s">
        <v>2087</v>
      </c>
      <c r="AB280" s="32"/>
      <c r="AC280" s="38" t="str">
        <f aca="false">HYPERLINK("https://biocodex6--c.vf.force.com/0014L00000KG11sQAD", "SERMET GAUDELUS ISABELLE")</f>
        <v>SERMET GAUDELUS ISABELLE</v>
      </c>
      <c r="AD280" s="38"/>
      <c r="AE280" s="39"/>
      <c r="AF280" s="40"/>
      <c r="AG280" s="41"/>
      <c r="AH280" s="32"/>
      <c r="AI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XEY280" s="27"/>
      <c r="XEZ280" s="27"/>
      <c r="XFA280" s="27"/>
      <c r="XFB280" s="27"/>
      <c r="XFC280" s="27"/>
      <c r="XFD280" s="27"/>
    </row>
    <row r="281" s="42" customFormat="true" ht="14.15" hidden="false" customHeight="true" outlineLevel="0" collapsed="false">
      <c r="A281" s="28" t="s">
        <v>2088</v>
      </c>
      <c r="B281" s="29" t="s">
        <v>652</v>
      </c>
      <c r="C281" s="29" t="s">
        <v>2089</v>
      </c>
      <c r="D281" s="30" t="s">
        <v>112</v>
      </c>
      <c r="E281" s="31"/>
      <c r="F281" s="32" t="n">
        <v>44</v>
      </c>
      <c r="G281" s="31" t="s">
        <v>215</v>
      </c>
      <c r="H281" s="31" t="n">
        <v>1</v>
      </c>
      <c r="I281" s="31" t="s">
        <v>295</v>
      </c>
      <c r="J281" s="29"/>
      <c r="K281" s="29" t="s">
        <v>2090</v>
      </c>
      <c r="L281" s="32" t="n">
        <v>30</v>
      </c>
      <c r="M281" s="33" t="s">
        <v>2091</v>
      </c>
      <c r="N281" s="34" t="n">
        <v>92300</v>
      </c>
      <c r="O281" s="35" t="s">
        <v>298</v>
      </c>
      <c r="P281" s="36" t="s">
        <v>2092</v>
      </c>
      <c r="Q281" s="36" t="n">
        <v>2</v>
      </c>
      <c r="R281" s="32" t="n">
        <v>131</v>
      </c>
      <c r="S281" s="32" t="n">
        <v>5</v>
      </c>
      <c r="T281" s="32"/>
      <c r="U281" s="32" t="n">
        <v>3</v>
      </c>
      <c r="V281" s="37"/>
      <c r="W281" s="32" t="n">
        <v>3</v>
      </c>
      <c r="X281" s="34"/>
      <c r="Y281" s="34" t="n">
        <v>1</v>
      </c>
      <c r="Z281" s="32" t="s">
        <v>2093</v>
      </c>
      <c r="AA281" s="32" t="s">
        <v>2094</v>
      </c>
      <c r="AB281" s="32" t="s">
        <v>2095</v>
      </c>
      <c r="AC281" s="38" t="str">
        <f aca="false">HYPERLINK("https://biocodex6--c.vf.force.com/0014L00000KFlWhQAL", "SOUDEE MAYER SOPHIE")</f>
        <v>SOUDEE MAYER SOPHIE</v>
      </c>
      <c r="AD281" s="38" t="str">
        <f aca="false">HYPERLINK("https://annuairesante.ameli.fr/professionnels-de-sante/recherche/fiche-detaillee-CbA1kjEwMjqw.html", "SOUDEE MAYER SOPHIE")</f>
        <v>SOUDEE MAYER SOPHIE</v>
      </c>
      <c r="AE281" s="39"/>
      <c r="AF281" s="40"/>
      <c r="AG281" s="41"/>
      <c r="AH281" s="32"/>
      <c r="AI281" s="32"/>
      <c r="AL281" s="43" t="s">
        <v>657</v>
      </c>
      <c r="AM281" s="43" t="s">
        <v>137</v>
      </c>
      <c r="AN281" s="43" t="s">
        <v>657</v>
      </c>
      <c r="AO281" s="43" t="s">
        <v>137</v>
      </c>
      <c r="AP281" s="43" t="s">
        <v>657</v>
      </c>
      <c r="AQ281" s="43" t="s">
        <v>137</v>
      </c>
      <c r="AR281" s="43" t="s">
        <v>657</v>
      </c>
      <c r="AS281" s="43" t="s">
        <v>137</v>
      </c>
      <c r="AT281" s="43" t="s">
        <v>657</v>
      </c>
      <c r="AU281" s="43" t="s">
        <v>137</v>
      </c>
      <c r="XEY281" s="27"/>
      <c r="XEZ281" s="27"/>
      <c r="XFA281" s="27"/>
      <c r="XFB281" s="27"/>
      <c r="XFC281" s="27"/>
      <c r="XFD281" s="27"/>
    </row>
    <row r="282" s="42" customFormat="true" ht="14.15" hidden="false" customHeight="true" outlineLevel="0" collapsed="false">
      <c r="A282" s="28" t="s">
        <v>2096</v>
      </c>
      <c r="B282" s="29" t="s">
        <v>2097</v>
      </c>
      <c r="C282" s="29" t="s">
        <v>2098</v>
      </c>
      <c r="D282" s="30" t="s">
        <v>244</v>
      </c>
      <c r="E282" s="30" t="s">
        <v>245</v>
      </c>
      <c r="F282" s="32" t="n">
        <v>38</v>
      </c>
      <c r="G282" s="31" t="s">
        <v>215</v>
      </c>
      <c r="H282" s="31" t="n">
        <v>1</v>
      </c>
      <c r="I282" s="31" t="s">
        <v>435</v>
      </c>
      <c r="J282" s="29"/>
      <c r="K282" s="29" t="s">
        <v>2099</v>
      </c>
      <c r="L282" s="32" t="n">
        <v>80</v>
      </c>
      <c r="M282" s="33" t="s">
        <v>2100</v>
      </c>
      <c r="N282" s="34" t="n">
        <v>75016</v>
      </c>
      <c r="O282" s="35" t="s">
        <v>55</v>
      </c>
      <c r="P282" s="50" t="s">
        <v>2101</v>
      </c>
      <c r="Q282" s="36" t="n">
        <v>4</v>
      </c>
      <c r="R282" s="32" t="n">
        <v>130</v>
      </c>
      <c r="S282" s="32" t="n">
        <v>5</v>
      </c>
      <c r="T282" s="32"/>
      <c r="U282" s="32"/>
      <c r="V282" s="37" t="n">
        <v>3</v>
      </c>
      <c r="W282" s="32"/>
      <c r="X282" s="34"/>
      <c r="Y282" s="34"/>
      <c r="Z282" s="32"/>
      <c r="AA282" s="32" t="s">
        <v>2102</v>
      </c>
      <c r="AB282" s="32" t="s">
        <v>2103</v>
      </c>
      <c r="AC282" s="38" t="str">
        <f aca="false">HYPERLINK("https://biocodex6--c.vf.force.com/0014L00000KFOY3QAP", "KEFELIAN FLEUR")</f>
        <v>KEFELIAN FLEUR</v>
      </c>
      <c r="AD282" s="38" t="str">
        <f aca="false">HYPERLINK("https://annuairesante.ameli.fr/professionnels-de-sante/recherche/fiche-detaillee-B7c1kjUwOTSy.html", "KEFELIAN FLEUR")</f>
        <v>KEFELIAN FLEUR</v>
      </c>
      <c r="AE282" s="39"/>
      <c r="AF282" s="40"/>
      <c r="AG282" s="41"/>
      <c r="AH282" s="32"/>
      <c r="AI282" s="32"/>
      <c r="AL282" s="43" t="s">
        <v>2104</v>
      </c>
      <c r="AM282" s="32"/>
      <c r="AN282" s="32"/>
      <c r="AO282" s="32"/>
      <c r="AP282" s="32"/>
      <c r="AQ282" s="32"/>
      <c r="AR282" s="43" t="s">
        <v>263</v>
      </c>
      <c r="AS282" s="43" t="s">
        <v>137</v>
      </c>
      <c r="AT282" s="32"/>
      <c r="AU282" s="32"/>
      <c r="XEY282" s="27"/>
      <c r="XEZ282" s="27"/>
      <c r="XFA282" s="27"/>
      <c r="XFB282" s="27"/>
      <c r="XFC282" s="27"/>
      <c r="XFD282" s="27"/>
    </row>
    <row r="283" s="42" customFormat="true" ht="14.15" hidden="false" customHeight="true" outlineLevel="0" collapsed="false">
      <c r="A283" s="28" t="s">
        <v>2105</v>
      </c>
      <c r="B283" s="29" t="s">
        <v>2106</v>
      </c>
      <c r="C283" s="29" t="s">
        <v>2107</v>
      </c>
      <c r="D283" s="30" t="s">
        <v>244</v>
      </c>
      <c r="E283" s="30" t="s">
        <v>245</v>
      </c>
      <c r="F283" s="32" t="n">
        <v>53</v>
      </c>
      <c r="G283" s="31"/>
      <c r="H283" s="31" t="n">
        <v>2</v>
      </c>
      <c r="I283" s="31" t="s">
        <v>77</v>
      </c>
      <c r="J283" s="29" t="s">
        <v>580</v>
      </c>
      <c r="K283" s="29" t="s">
        <v>581</v>
      </c>
      <c r="L283" s="32" t="n">
        <v>63</v>
      </c>
      <c r="M283" s="33" t="s">
        <v>80</v>
      </c>
      <c r="N283" s="34" t="n">
        <v>92200</v>
      </c>
      <c r="O283" s="35" t="s">
        <v>81</v>
      </c>
      <c r="P283" s="36" t="s">
        <v>2108</v>
      </c>
      <c r="Q283" s="36" t="n">
        <v>39</v>
      </c>
      <c r="R283" s="32" t="n">
        <v>124</v>
      </c>
      <c r="S283" s="32" t="n">
        <v>5</v>
      </c>
      <c r="T283" s="32"/>
      <c r="U283" s="32"/>
      <c r="V283" s="37"/>
      <c r="W283" s="32" t="n">
        <v>3</v>
      </c>
      <c r="X283" s="34"/>
      <c r="Y283" s="34" t="n">
        <v>1</v>
      </c>
      <c r="Z283" s="32" t="s">
        <v>2109</v>
      </c>
      <c r="AA283" s="32" t="s">
        <v>2110</v>
      </c>
      <c r="AB283" s="32"/>
      <c r="AC283" s="38" t="str">
        <f aca="false">HYPERLINK("https://biocodex6--c.vf.force.com/0014L00000KG6n9QAD", "YAMGNANE KIRSCH AMINA")</f>
        <v>YAMGNANE KIRSCH AMINA</v>
      </c>
      <c r="AD283" s="38"/>
      <c r="AE283" s="39"/>
      <c r="AF283" s="40"/>
      <c r="AG283" s="41"/>
      <c r="AH283" s="32"/>
      <c r="AI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XEY283" s="27"/>
      <c r="XEZ283" s="27"/>
      <c r="XFA283" s="27"/>
      <c r="XFB283" s="27"/>
      <c r="XFC283" s="27"/>
      <c r="XFD283" s="27"/>
    </row>
    <row r="284" s="42" customFormat="true" ht="14.15" hidden="false" customHeight="true" outlineLevel="0" collapsed="false">
      <c r="A284" s="53" t="s">
        <v>2111</v>
      </c>
      <c r="B284" s="29" t="s">
        <v>2038</v>
      </c>
      <c r="C284" s="29" t="s">
        <v>2112</v>
      </c>
      <c r="D284" s="30" t="s">
        <v>244</v>
      </c>
      <c r="E284" s="30" t="s">
        <v>245</v>
      </c>
      <c r="F284" s="32" t="n">
        <v>66</v>
      </c>
      <c r="G284" s="31"/>
      <c r="H284" s="31" t="n">
        <v>1</v>
      </c>
      <c r="I284" s="31" t="s">
        <v>51</v>
      </c>
      <c r="J284" s="29" t="s">
        <v>850</v>
      </c>
      <c r="K284" s="29" t="s">
        <v>851</v>
      </c>
      <c r="L284" s="32" t="n">
        <v>178</v>
      </c>
      <c r="M284" s="33" t="s">
        <v>852</v>
      </c>
      <c r="N284" s="34" t="n">
        <v>75015</v>
      </c>
      <c r="O284" s="35" t="s">
        <v>55</v>
      </c>
      <c r="P284" s="36" t="s">
        <v>853</v>
      </c>
      <c r="Q284" s="36" t="n">
        <v>24</v>
      </c>
      <c r="R284" s="32" t="n">
        <v>120</v>
      </c>
      <c r="S284" s="32" t="n">
        <v>5</v>
      </c>
      <c r="T284" s="32"/>
      <c r="U284" s="32" t="n">
        <v>3</v>
      </c>
      <c r="V284" s="37" t="n">
        <v>3</v>
      </c>
      <c r="W284" s="32" t="n">
        <v>3</v>
      </c>
      <c r="X284" s="34" t="n">
        <v>1</v>
      </c>
      <c r="Y284" s="34" t="n">
        <v>2</v>
      </c>
      <c r="Z284" s="32"/>
      <c r="AA284" s="32" t="s">
        <v>2113</v>
      </c>
      <c r="AB284" s="32"/>
      <c r="AC284" s="38" t="str">
        <f aca="false">HYPERLINK("https://biocodex6--c.vf.force.com/0014L00000KG1KKQA1", "SERVAIS ANNIE")</f>
        <v>SERVAIS ANNIE</v>
      </c>
      <c r="AD284" s="38"/>
      <c r="AE284" s="39" t="n">
        <v>45309.4166666667</v>
      </c>
      <c r="AF284" s="40" t="s">
        <v>2114</v>
      </c>
      <c r="AG284" s="41" t="s">
        <v>69</v>
      </c>
      <c r="AH284" s="32" t="s">
        <v>70</v>
      </c>
      <c r="AI284" s="32" t="s">
        <v>106</v>
      </c>
      <c r="AJ284" s="32"/>
      <c r="AK284" s="32"/>
      <c r="AL284" s="32"/>
      <c r="AM284" s="32"/>
      <c r="AN284" s="32"/>
      <c r="AO284" s="43" t="s">
        <v>1850</v>
      </c>
      <c r="AP284" s="32"/>
      <c r="AQ284" s="43" t="s">
        <v>1850</v>
      </c>
      <c r="AR284" s="43" t="s">
        <v>2115</v>
      </c>
      <c r="AS284" s="32"/>
      <c r="AT284" s="32"/>
      <c r="AU284" s="32"/>
      <c r="XEY284" s="27"/>
      <c r="XEZ284" s="27"/>
      <c r="XFA284" s="27"/>
      <c r="XFB284" s="27"/>
      <c r="XFC284" s="27"/>
      <c r="XFD284" s="27"/>
    </row>
    <row r="285" s="42" customFormat="true" ht="14.15" hidden="false" customHeight="true" outlineLevel="0" collapsed="false">
      <c r="A285" s="28" t="s">
        <v>2116</v>
      </c>
      <c r="B285" s="29" t="s">
        <v>320</v>
      </c>
      <c r="C285" s="29" t="s">
        <v>2117</v>
      </c>
      <c r="D285" s="30" t="s">
        <v>244</v>
      </c>
      <c r="E285" s="30" t="s">
        <v>245</v>
      </c>
      <c r="F285" s="32" t="n">
        <v>58</v>
      </c>
      <c r="G285" s="31" t="s">
        <v>215</v>
      </c>
      <c r="H285" s="31" t="n">
        <v>5</v>
      </c>
      <c r="I285" s="31" t="s">
        <v>77</v>
      </c>
      <c r="J285" s="29" t="s">
        <v>580</v>
      </c>
      <c r="K285" s="29" t="s">
        <v>581</v>
      </c>
      <c r="L285" s="32" t="n">
        <v>63</v>
      </c>
      <c r="M285" s="33" t="s">
        <v>80</v>
      </c>
      <c r="N285" s="34" t="n">
        <v>92200</v>
      </c>
      <c r="O285" s="35" t="s">
        <v>81</v>
      </c>
      <c r="P285" s="36" t="s">
        <v>2118</v>
      </c>
      <c r="Q285" s="36" t="n">
        <v>39</v>
      </c>
      <c r="R285" s="32" t="n">
        <v>118</v>
      </c>
      <c r="S285" s="32" t="n">
        <v>5</v>
      </c>
      <c r="T285" s="32"/>
      <c r="U285" s="32"/>
      <c r="V285" s="37"/>
      <c r="W285" s="32"/>
      <c r="X285" s="34"/>
      <c r="Y285" s="34"/>
      <c r="Z285" s="32"/>
      <c r="AA285" s="32" t="s">
        <v>2119</v>
      </c>
      <c r="AB285" s="32" t="s">
        <v>2120</v>
      </c>
      <c r="AC285" s="38" t="str">
        <f aca="false">HYPERLINK("https://biocodex6--c.vf.force.com/0014L00000KG0N8QAL", "SANANES SERGE")</f>
        <v>SANANES SERGE</v>
      </c>
      <c r="AD285" s="38" t="str">
        <f aca="false">HYPERLINK("https://annuairesante.ameli.fr/professionnels-de-sante/recherche/fiche-detaillee-B7c1lTM0NDaw.html", "SANANES SERGE")</f>
        <v>SANANES SERGE</v>
      </c>
      <c r="AE285" s="39" t="n">
        <v>45232.4583333333</v>
      </c>
      <c r="AF285" s="40"/>
      <c r="AG285" s="41"/>
      <c r="AH285" s="32"/>
      <c r="AI285" s="32"/>
      <c r="AL285" s="43" t="s">
        <v>338</v>
      </c>
      <c r="AM285" s="32"/>
      <c r="AN285" s="32"/>
      <c r="AO285" s="43" t="s">
        <v>924</v>
      </c>
      <c r="AP285" s="43" t="s">
        <v>1268</v>
      </c>
      <c r="AQ285" s="32"/>
      <c r="AR285" s="32"/>
      <c r="AS285" s="43" t="s">
        <v>924</v>
      </c>
      <c r="AT285" s="43" t="s">
        <v>909</v>
      </c>
      <c r="AU285" s="43" t="s">
        <v>2121</v>
      </c>
      <c r="XEY285" s="27"/>
      <c r="XEZ285" s="27"/>
      <c r="XFA285" s="27"/>
      <c r="XFB285" s="27"/>
      <c r="XFC285" s="27"/>
      <c r="XFD285" s="27"/>
    </row>
    <row r="286" s="42" customFormat="true" ht="14.15" hidden="false" customHeight="true" outlineLevel="0" collapsed="false">
      <c r="A286" s="28" t="s">
        <v>2122</v>
      </c>
      <c r="B286" s="29" t="s">
        <v>2123</v>
      </c>
      <c r="C286" s="29" t="s">
        <v>2124</v>
      </c>
      <c r="D286" s="30" t="s">
        <v>112</v>
      </c>
      <c r="E286" s="31"/>
      <c r="F286" s="32" t="n">
        <v>70</v>
      </c>
      <c r="G286" s="31"/>
      <c r="H286" s="31" t="n">
        <v>2</v>
      </c>
      <c r="I286" s="31" t="s">
        <v>295</v>
      </c>
      <c r="J286" s="29"/>
      <c r="K286" s="29" t="s">
        <v>2125</v>
      </c>
      <c r="L286" s="32" t="n">
        <v>2</v>
      </c>
      <c r="M286" s="33" t="s">
        <v>2126</v>
      </c>
      <c r="N286" s="34" t="n">
        <v>92300</v>
      </c>
      <c r="O286" s="35" t="s">
        <v>298</v>
      </c>
      <c r="P286" s="36" t="s">
        <v>1592</v>
      </c>
      <c r="Q286" s="36" t="n">
        <v>1</v>
      </c>
      <c r="R286" s="32" t="n">
        <v>115</v>
      </c>
      <c r="S286" s="32" t="n">
        <v>5</v>
      </c>
      <c r="T286" s="32"/>
      <c r="U286" s="32" t="n">
        <v>3</v>
      </c>
      <c r="V286" s="37" t="n">
        <v>3</v>
      </c>
      <c r="W286" s="32" t="n">
        <v>3</v>
      </c>
      <c r="X286" s="34"/>
      <c r="Y286" s="34"/>
      <c r="Z286" s="32"/>
      <c r="AA286" s="32" t="s">
        <v>2127</v>
      </c>
      <c r="AB286" s="32"/>
      <c r="AC286" s="38" t="str">
        <f aca="false">HYPERLINK("https://biocodex6--c.vf.force.com/0014L00000KFRChQAP", "BABCHIA HABIB")</f>
        <v>BABCHIA HABIB</v>
      </c>
      <c r="AD286" s="38"/>
      <c r="AE286" s="39" t="n">
        <v>45223.7083333333</v>
      </c>
      <c r="AF286" s="40"/>
      <c r="AG286" s="41"/>
      <c r="AH286" s="32"/>
      <c r="AI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XEY286" s="27"/>
      <c r="XEZ286" s="27"/>
      <c r="XFA286" s="27"/>
      <c r="XFB286" s="27"/>
      <c r="XFC286" s="27"/>
      <c r="XFD286" s="27"/>
    </row>
    <row r="287" s="42" customFormat="true" ht="14.15" hidden="false" customHeight="true" outlineLevel="0" collapsed="false">
      <c r="A287" s="28" t="s">
        <v>195</v>
      </c>
      <c r="B287" s="29" t="s">
        <v>399</v>
      </c>
      <c r="C287" s="29" t="s">
        <v>2128</v>
      </c>
      <c r="D287" s="30" t="s">
        <v>112</v>
      </c>
      <c r="E287" s="31"/>
      <c r="F287" s="32" t="n">
        <v>65</v>
      </c>
      <c r="G287" s="31"/>
      <c r="H287" s="31" t="n">
        <v>3</v>
      </c>
      <c r="I287" s="31" t="s">
        <v>77</v>
      </c>
      <c r="J287" s="29" t="s">
        <v>580</v>
      </c>
      <c r="K287" s="29" t="s">
        <v>581</v>
      </c>
      <c r="L287" s="32" t="n">
        <v>63</v>
      </c>
      <c r="M287" s="33" t="s">
        <v>80</v>
      </c>
      <c r="N287" s="34" t="n">
        <v>92200</v>
      </c>
      <c r="O287" s="35" t="s">
        <v>81</v>
      </c>
      <c r="P287" s="36" t="s">
        <v>2129</v>
      </c>
      <c r="Q287" s="36" t="n">
        <v>39</v>
      </c>
      <c r="R287" s="32" t="n">
        <v>106</v>
      </c>
      <c r="S287" s="32" t="n">
        <v>5</v>
      </c>
      <c r="T287" s="32"/>
      <c r="U287" s="32"/>
      <c r="V287" s="37"/>
      <c r="W287" s="32" t="n">
        <v>3</v>
      </c>
      <c r="X287" s="34"/>
      <c r="Y287" s="34"/>
      <c r="Z287" s="32"/>
      <c r="AA287" s="32" t="s">
        <v>2130</v>
      </c>
      <c r="AB287" s="32"/>
      <c r="AC287" s="38" t="str">
        <f aca="false">HYPERLINK("https://biocodex6--c.vf.force.com/0014L00000KFvquQAD", "PHILIPPE OLIVIER")</f>
        <v>PHILIPPE OLIVIER</v>
      </c>
      <c r="AD287" s="38"/>
      <c r="AE287" s="39"/>
      <c r="AF287" s="40"/>
      <c r="AG287" s="41"/>
      <c r="AH287" s="32"/>
      <c r="AI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XEY287" s="27"/>
      <c r="XEZ287" s="27"/>
      <c r="XFA287" s="27"/>
      <c r="XFB287" s="27"/>
      <c r="XFC287" s="27"/>
      <c r="XFD287" s="27"/>
    </row>
    <row r="288" s="42" customFormat="true" ht="14.15" hidden="false" customHeight="true" outlineLevel="0" collapsed="false">
      <c r="A288" s="28" t="s">
        <v>2131</v>
      </c>
      <c r="B288" s="29" t="s">
        <v>2132</v>
      </c>
      <c r="C288" s="29" t="s">
        <v>2133</v>
      </c>
      <c r="D288" s="30" t="s">
        <v>75</v>
      </c>
      <c r="E288" s="31"/>
      <c r="F288" s="32" t="n">
        <v>37</v>
      </c>
      <c r="G288" s="31"/>
      <c r="H288" s="31" t="n">
        <v>1</v>
      </c>
      <c r="I288" s="31" t="s">
        <v>295</v>
      </c>
      <c r="J288" s="29" t="s">
        <v>489</v>
      </c>
      <c r="K288" s="29" t="s">
        <v>1183</v>
      </c>
      <c r="L288" s="32" t="n">
        <v>4</v>
      </c>
      <c r="M288" s="33" t="s">
        <v>297</v>
      </c>
      <c r="N288" s="34" t="n">
        <v>92300</v>
      </c>
      <c r="O288" s="35" t="s">
        <v>298</v>
      </c>
      <c r="P288" s="36" t="s">
        <v>2134</v>
      </c>
      <c r="Q288" s="36" t="n">
        <v>27</v>
      </c>
      <c r="R288" s="32" t="n">
        <v>101</v>
      </c>
      <c r="S288" s="32" t="n">
        <v>5</v>
      </c>
      <c r="T288" s="32"/>
      <c r="U288" s="32"/>
      <c r="V288" s="37" t="n">
        <v>2</v>
      </c>
      <c r="W288" s="32"/>
      <c r="X288" s="34"/>
      <c r="Y288" s="34"/>
      <c r="Z288" s="32"/>
      <c r="AA288" s="32" t="s">
        <v>2135</v>
      </c>
      <c r="AB288" s="32"/>
      <c r="AC288" s="38" t="str">
        <f aca="false">HYPERLINK("https://biocodex6--c.vf.force.com/0014L00000KGAznQAH", "LATRACHE SOFYA")</f>
        <v>LATRACHE SOFYA</v>
      </c>
      <c r="AD288" s="38"/>
      <c r="AE288" s="39" t="n">
        <v>45222.5</v>
      </c>
      <c r="AF288" s="40"/>
      <c r="AG288" s="41"/>
      <c r="AH288" s="32"/>
      <c r="AI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XEY288" s="27"/>
      <c r="XEZ288" s="27"/>
      <c r="XFA288" s="27"/>
      <c r="XFB288" s="27"/>
      <c r="XFC288" s="27"/>
      <c r="XFD288" s="27"/>
    </row>
    <row r="289" s="42" customFormat="true" ht="14.15" hidden="false" customHeight="true" outlineLevel="0" collapsed="false">
      <c r="A289" s="28" t="s">
        <v>2136</v>
      </c>
      <c r="B289" s="29" t="s">
        <v>1438</v>
      </c>
      <c r="C289" s="29" t="s">
        <v>2137</v>
      </c>
      <c r="D289" s="30" t="s">
        <v>244</v>
      </c>
      <c r="E289" s="30" t="s">
        <v>245</v>
      </c>
      <c r="F289" s="32" t="n">
        <v>36</v>
      </c>
      <c r="G289" s="31"/>
      <c r="H289" s="31" t="n">
        <v>1</v>
      </c>
      <c r="I289" s="31" t="s">
        <v>295</v>
      </c>
      <c r="J289" s="29" t="s">
        <v>489</v>
      </c>
      <c r="K289" s="29" t="s">
        <v>490</v>
      </c>
      <c r="L289" s="32" t="n">
        <v>3</v>
      </c>
      <c r="M289" s="33" t="s">
        <v>491</v>
      </c>
      <c r="N289" s="34" t="n">
        <v>92300</v>
      </c>
      <c r="O289" s="35" t="s">
        <v>298</v>
      </c>
      <c r="P289" s="36" t="s">
        <v>1592</v>
      </c>
      <c r="Q289" s="36" t="n">
        <v>26</v>
      </c>
      <c r="R289" s="32" t="n">
        <v>101</v>
      </c>
      <c r="S289" s="32" t="n">
        <v>5</v>
      </c>
      <c r="T289" s="32"/>
      <c r="U289" s="32"/>
      <c r="V289" s="37" t="n">
        <v>3</v>
      </c>
      <c r="W289" s="32"/>
      <c r="X289" s="34"/>
      <c r="Y289" s="34"/>
      <c r="Z289" s="32"/>
      <c r="AA289" s="32" t="s">
        <v>2138</v>
      </c>
      <c r="AB289" s="32"/>
      <c r="AC289" s="38" t="str">
        <f aca="false">HYPERLINK("https://biocodex6--c.vf.force.com/0014L00000KG9fLQAT", "SUSSFELD JULIE")</f>
        <v>SUSSFELD JULIE</v>
      </c>
      <c r="AD289" s="38"/>
      <c r="AE289" s="39"/>
      <c r="AF289" s="40"/>
      <c r="AG289" s="41"/>
      <c r="AH289" s="32"/>
      <c r="AI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XEY289" s="27"/>
      <c r="XEZ289" s="27"/>
      <c r="XFA289" s="27"/>
      <c r="XFB289" s="27"/>
      <c r="XFC289" s="27"/>
      <c r="XFD289" s="27"/>
    </row>
    <row r="290" s="42" customFormat="true" ht="14.15" hidden="false" customHeight="true" outlineLevel="0" collapsed="false">
      <c r="A290" s="28" t="s">
        <v>2139</v>
      </c>
      <c r="B290" s="29" t="s">
        <v>2140</v>
      </c>
      <c r="C290" s="29" t="s">
        <v>2141</v>
      </c>
      <c r="D290" s="30" t="s">
        <v>244</v>
      </c>
      <c r="E290" s="30" t="s">
        <v>245</v>
      </c>
      <c r="F290" s="32" t="n">
        <v>67</v>
      </c>
      <c r="G290" s="31" t="s">
        <v>98</v>
      </c>
      <c r="H290" s="31" t="n">
        <v>1</v>
      </c>
      <c r="I290" s="31" t="s">
        <v>119</v>
      </c>
      <c r="J290" s="29"/>
      <c r="K290" s="29" t="s">
        <v>2142</v>
      </c>
      <c r="L290" s="32" t="n">
        <v>138</v>
      </c>
      <c r="M290" s="33" t="s">
        <v>2143</v>
      </c>
      <c r="N290" s="34" t="n">
        <v>75007</v>
      </c>
      <c r="O290" s="35" t="s">
        <v>55</v>
      </c>
      <c r="P290" s="36" t="s">
        <v>2144</v>
      </c>
      <c r="Q290" s="36" t="n">
        <v>1</v>
      </c>
      <c r="R290" s="32" t="n">
        <v>96</v>
      </c>
      <c r="S290" s="32" t="n">
        <v>5</v>
      </c>
      <c r="T290" s="32"/>
      <c r="U290" s="32"/>
      <c r="V290" s="37" t="n">
        <v>3</v>
      </c>
      <c r="W290" s="32" t="n">
        <v>3</v>
      </c>
      <c r="X290" s="34"/>
      <c r="Y290" s="34" t="n">
        <v>3</v>
      </c>
      <c r="Z290" s="32" t="s">
        <v>2145</v>
      </c>
      <c r="AA290" s="32" t="s">
        <v>2146</v>
      </c>
      <c r="AB290" s="32" t="s">
        <v>2147</v>
      </c>
      <c r="AC290" s="38" t="str">
        <f aca="false">HYPERLINK("https://biocodex6--c.vf.force.com/0014L00000KFQ3PQAX", "AISSAOUI SADYA")</f>
        <v>AISSAOUI SADYA</v>
      </c>
      <c r="AD290" s="38" t="str">
        <f aca="false">HYPERLINK("https://annuairesante.ameli.fr/professionnels-de-sante/recherche/fiche-detaillee-B7c1lzo0MzO0.html", "AISSAOUI SADYA")</f>
        <v>AISSAOUI SADYA</v>
      </c>
      <c r="AE290" s="39"/>
      <c r="AF290" s="40"/>
      <c r="AG290" s="41"/>
      <c r="AH290" s="32"/>
      <c r="AI290" s="32"/>
      <c r="AL290" s="43" t="s">
        <v>2148</v>
      </c>
      <c r="AM290" s="43" t="s">
        <v>137</v>
      </c>
      <c r="AN290" s="43" t="s">
        <v>2148</v>
      </c>
      <c r="AO290" s="43" t="s">
        <v>137</v>
      </c>
      <c r="AP290" s="43" t="s">
        <v>2148</v>
      </c>
      <c r="AQ290" s="43" t="s">
        <v>137</v>
      </c>
      <c r="AR290" s="43" t="s">
        <v>2148</v>
      </c>
      <c r="AS290" s="43" t="s">
        <v>137</v>
      </c>
      <c r="AT290" s="43" t="s">
        <v>2148</v>
      </c>
      <c r="AU290" s="43" t="s">
        <v>137</v>
      </c>
      <c r="XEY290" s="27"/>
      <c r="XEZ290" s="27"/>
      <c r="XFA290" s="27"/>
      <c r="XFB290" s="27"/>
      <c r="XFC290" s="27"/>
      <c r="XFD290" s="27"/>
    </row>
    <row r="291" s="42" customFormat="true" ht="14.15" hidden="false" customHeight="true" outlineLevel="0" collapsed="false">
      <c r="A291" s="28" t="s">
        <v>2149</v>
      </c>
      <c r="B291" s="29" t="s">
        <v>1101</v>
      </c>
      <c r="C291" s="29" t="s">
        <v>2150</v>
      </c>
      <c r="D291" s="30" t="s">
        <v>112</v>
      </c>
      <c r="E291" s="31"/>
      <c r="F291" s="32" t="n">
        <v>40</v>
      </c>
      <c r="G291" s="31"/>
      <c r="H291" s="31" t="n">
        <v>1</v>
      </c>
      <c r="I291" s="31" t="s">
        <v>77</v>
      </c>
      <c r="J291" s="29" t="s">
        <v>246</v>
      </c>
      <c r="K291" s="29" t="s">
        <v>247</v>
      </c>
      <c r="L291" s="32" t="n">
        <v>36</v>
      </c>
      <c r="M291" s="33" t="s">
        <v>248</v>
      </c>
      <c r="N291" s="34" t="n">
        <v>92200</v>
      </c>
      <c r="O291" s="35" t="s">
        <v>81</v>
      </c>
      <c r="P291" s="36" t="s">
        <v>365</v>
      </c>
      <c r="Q291" s="36" t="n">
        <v>49</v>
      </c>
      <c r="R291" s="32" t="n">
        <v>94</v>
      </c>
      <c r="S291" s="32" t="n">
        <v>5</v>
      </c>
      <c r="T291" s="32"/>
      <c r="U291" s="32"/>
      <c r="V291" s="37"/>
      <c r="W291" s="32" t="n">
        <v>3</v>
      </c>
      <c r="X291" s="34"/>
      <c r="Y291" s="34" t="n">
        <v>1</v>
      </c>
      <c r="Z291" s="32"/>
      <c r="AA291" s="32" t="s">
        <v>2151</v>
      </c>
      <c r="AB291" s="32"/>
      <c r="AC291" s="38" t="str">
        <f aca="false">HYPERLINK("https://biocodex6--c.vf.force.com/0014L00000KFMQVQA5", "LOGE ISABELLE")</f>
        <v>LOGE ISABELLE</v>
      </c>
      <c r="AD291" s="38"/>
      <c r="AE291" s="39"/>
      <c r="AF291" s="40"/>
      <c r="AG291" s="41"/>
      <c r="AH291" s="32"/>
      <c r="AI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XEY291" s="27"/>
      <c r="XEZ291" s="27"/>
      <c r="XFA291" s="27"/>
      <c r="XFB291" s="27"/>
      <c r="XFC291" s="27"/>
      <c r="XFD291" s="27"/>
    </row>
    <row r="292" s="42" customFormat="true" ht="14.15" hidden="false" customHeight="true" outlineLevel="0" collapsed="false">
      <c r="A292" s="28" t="s">
        <v>2152</v>
      </c>
      <c r="B292" s="29" t="s">
        <v>2153</v>
      </c>
      <c r="C292" s="29" t="s">
        <v>2154</v>
      </c>
      <c r="D292" s="30" t="s">
        <v>244</v>
      </c>
      <c r="E292" s="30" t="s">
        <v>245</v>
      </c>
      <c r="F292" s="32" t="n">
        <v>36</v>
      </c>
      <c r="G292" s="31"/>
      <c r="H292" s="31" t="n">
        <v>1</v>
      </c>
      <c r="I292" s="31" t="s">
        <v>77</v>
      </c>
      <c r="J292" s="29" t="s">
        <v>246</v>
      </c>
      <c r="K292" s="29" t="s">
        <v>247</v>
      </c>
      <c r="L292" s="32" t="n">
        <v>36</v>
      </c>
      <c r="M292" s="33" t="s">
        <v>248</v>
      </c>
      <c r="N292" s="34" t="n">
        <v>92200</v>
      </c>
      <c r="O292" s="35" t="s">
        <v>81</v>
      </c>
      <c r="P292" s="36" t="s">
        <v>614</v>
      </c>
      <c r="Q292" s="36" t="n">
        <v>49</v>
      </c>
      <c r="R292" s="32" t="n">
        <v>80</v>
      </c>
      <c r="S292" s="32" t="n">
        <v>5</v>
      </c>
      <c r="T292" s="32"/>
      <c r="U292" s="32"/>
      <c r="V292" s="37"/>
      <c r="W292" s="32"/>
      <c r="X292" s="34"/>
      <c r="Y292" s="34"/>
      <c r="Z292" s="32"/>
      <c r="AA292" s="32" t="s">
        <v>2155</v>
      </c>
      <c r="AB292" s="32"/>
      <c r="AC292" s="38" t="str">
        <f aca="false">HYPERLINK("https://biocodex6--c.vf.force.com/0014L00000KFPP8QAP", "WEYMULLER VICTOIRE")</f>
        <v>WEYMULLER VICTOIRE</v>
      </c>
      <c r="AD292" s="38"/>
      <c r="AE292" s="39"/>
      <c r="AF292" s="40"/>
      <c r="AG292" s="41"/>
      <c r="AH292" s="32"/>
      <c r="AI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XEY292" s="27"/>
      <c r="XEZ292" s="27"/>
      <c r="XFA292" s="27"/>
      <c r="XFB292" s="27"/>
      <c r="XFC292" s="27"/>
      <c r="XFD292" s="27"/>
    </row>
    <row r="293" s="42" customFormat="true" ht="14.15" hidden="false" customHeight="true" outlineLevel="0" collapsed="false">
      <c r="A293" s="28" t="s">
        <v>2156</v>
      </c>
      <c r="B293" s="29" t="s">
        <v>2157</v>
      </c>
      <c r="C293" s="29" t="s">
        <v>2158</v>
      </c>
      <c r="D293" s="30" t="s">
        <v>112</v>
      </c>
      <c r="E293" s="31"/>
      <c r="F293" s="32" t="n">
        <v>54</v>
      </c>
      <c r="G293" s="31"/>
      <c r="H293" s="31" t="n">
        <v>1</v>
      </c>
      <c r="I293" s="31" t="s">
        <v>387</v>
      </c>
      <c r="J293" s="29"/>
      <c r="K293" s="29" t="s">
        <v>2159</v>
      </c>
      <c r="L293" s="32" t="n">
        <v>2</v>
      </c>
      <c r="M293" s="33" t="s">
        <v>2160</v>
      </c>
      <c r="N293" s="34" t="n">
        <v>75016</v>
      </c>
      <c r="O293" s="35" t="s">
        <v>55</v>
      </c>
      <c r="P293" s="36" t="s">
        <v>2161</v>
      </c>
      <c r="Q293" s="36" t="n">
        <v>1</v>
      </c>
      <c r="R293" s="32" t="n">
        <v>76</v>
      </c>
      <c r="S293" s="32" t="n">
        <v>5</v>
      </c>
      <c r="T293" s="32"/>
      <c r="U293" s="32"/>
      <c r="V293" s="37"/>
      <c r="W293" s="32"/>
      <c r="X293" s="34"/>
      <c r="Y293" s="34"/>
      <c r="Z293" s="32"/>
      <c r="AA293" s="32" t="s">
        <v>2162</v>
      </c>
      <c r="AB293" s="32"/>
      <c r="AC293" s="38" t="str">
        <f aca="false">HYPERLINK("https://biocodex6--c.vf.force.com/0014L00000KFugAQAT", "MANSOUR OBEID VIOLETTE")</f>
        <v>MANSOUR OBEID VIOLETTE</v>
      </c>
      <c r="AD293" s="38"/>
      <c r="AE293" s="39"/>
      <c r="AF293" s="40"/>
      <c r="AG293" s="41"/>
      <c r="AH293" s="32"/>
      <c r="AI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XEY293" s="27"/>
      <c r="XEZ293" s="27"/>
      <c r="XFA293" s="27"/>
      <c r="XFB293" s="27"/>
      <c r="XFC293" s="27"/>
      <c r="XFD293" s="27"/>
    </row>
    <row r="294" s="42" customFormat="true" ht="14.15" hidden="false" customHeight="true" outlineLevel="0" collapsed="false">
      <c r="A294" s="28" t="s">
        <v>2163</v>
      </c>
      <c r="B294" s="29" t="s">
        <v>2164</v>
      </c>
      <c r="C294" s="29" t="s">
        <v>2165</v>
      </c>
      <c r="D294" s="30" t="s">
        <v>206</v>
      </c>
      <c r="E294" s="30" t="s">
        <v>245</v>
      </c>
      <c r="F294" s="32" t="n">
        <v>74</v>
      </c>
      <c r="G294" s="31"/>
      <c r="H294" s="31" t="n">
        <v>1</v>
      </c>
      <c r="I294" s="31" t="s">
        <v>51</v>
      </c>
      <c r="J294" s="29" t="s">
        <v>850</v>
      </c>
      <c r="K294" s="29" t="s">
        <v>851</v>
      </c>
      <c r="L294" s="32" t="n">
        <v>178</v>
      </c>
      <c r="M294" s="33" t="s">
        <v>852</v>
      </c>
      <c r="N294" s="34" t="n">
        <v>75015</v>
      </c>
      <c r="O294" s="35" t="s">
        <v>55</v>
      </c>
      <c r="P294" s="36" t="s">
        <v>853</v>
      </c>
      <c r="Q294" s="36" t="n">
        <v>24</v>
      </c>
      <c r="R294" s="32" t="n">
        <v>73</v>
      </c>
      <c r="S294" s="32" t="n">
        <v>5</v>
      </c>
      <c r="T294" s="32"/>
      <c r="U294" s="32"/>
      <c r="V294" s="37"/>
      <c r="W294" s="32" t="n">
        <v>3</v>
      </c>
      <c r="X294" s="34"/>
      <c r="Y294" s="34" t="n">
        <v>2</v>
      </c>
      <c r="Z294" s="32"/>
      <c r="AA294" s="32" t="s">
        <v>2166</v>
      </c>
      <c r="AB294" s="32"/>
      <c r="AC294" s="38" t="str">
        <f aca="false">HYPERLINK("https://biocodex6--c.vf.force.com/0014L00000KFi3aQAD", "HAIDAR ASSAAD")</f>
        <v>HAIDAR ASSAAD</v>
      </c>
      <c r="AD294" s="38"/>
      <c r="AE294" s="39" t="n">
        <v>45240.5833333333</v>
      </c>
      <c r="AF294" s="40"/>
      <c r="AG294" s="41"/>
      <c r="AH294" s="32"/>
      <c r="AI294" s="32"/>
      <c r="AL294" s="32"/>
      <c r="AM294" s="32"/>
      <c r="AN294" s="32"/>
      <c r="AO294" s="32"/>
      <c r="AP294" s="43" t="s">
        <v>2167</v>
      </c>
      <c r="AQ294" s="43" t="s">
        <v>2168</v>
      </c>
      <c r="AR294" s="32"/>
      <c r="AS294" s="32"/>
      <c r="AT294" s="32"/>
      <c r="AU294" s="32"/>
      <c r="XEY294" s="27"/>
      <c r="XEZ294" s="27"/>
      <c r="XFA294" s="27"/>
      <c r="XFB294" s="27"/>
      <c r="XFC294" s="27"/>
      <c r="XFD294" s="27"/>
    </row>
    <row r="295" s="42" customFormat="true" ht="14.15" hidden="false" customHeight="true" outlineLevel="0" collapsed="false">
      <c r="A295" s="28" t="s">
        <v>2169</v>
      </c>
      <c r="B295" s="29" t="s">
        <v>2170</v>
      </c>
      <c r="C295" s="29" t="s">
        <v>2171</v>
      </c>
      <c r="D295" s="30" t="s">
        <v>112</v>
      </c>
      <c r="E295" s="30" t="s">
        <v>245</v>
      </c>
      <c r="F295" s="32" t="n">
        <v>0</v>
      </c>
      <c r="G295" s="31"/>
      <c r="H295" s="31" t="n">
        <v>1</v>
      </c>
      <c r="I295" s="31" t="s">
        <v>51</v>
      </c>
      <c r="J295" s="29" t="s">
        <v>2172</v>
      </c>
      <c r="K295" s="29" t="s">
        <v>2173</v>
      </c>
      <c r="L295" s="32" t="n">
        <v>2</v>
      </c>
      <c r="M295" s="33" t="s">
        <v>2174</v>
      </c>
      <c r="N295" s="34" t="n">
        <v>75015</v>
      </c>
      <c r="O295" s="35" t="s">
        <v>55</v>
      </c>
      <c r="P295" s="36"/>
      <c r="Q295" s="36" t="n">
        <v>5</v>
      </c>
      <c r="R295" s="32" t="n">
        <v>70</v>
      </c>
      <c r="S295" s="32" t="n">
        <v>5</v>
      </c>
      <c r="T295" s="32"/>
      <c r="U295" s="32"/>
      <c r="V295" s="37"/>
      <c r="W295" s="32"/>
      <c r="X295" s="34"/>
      <c r="Y295" s="34"/>
      <c r="Z295" s="32"/>
      <c r="AA295" s="32"/>
      <c r="AB295" s="32"/>
      <c r="AC295" s="38"/>
      <c r="AD295" s="38"/>
      <c r="AE295" s="39"/>
      <c r="AF295" s="40"/>
      <c r="AG295" s="45"/>
      <c r="AH295" s="32"/>
      <c r="AI295" s="32"/>
      <c r="AJ295" s="42" t="s">
        <v>2175</v>
      </c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XEY295" s="27"/>
      <c r="XEZ295" s="27"/>
      <c r="XFA295" s="27"/>
      <c r="XFB295" s="27"/>
      <c r="XFC295" s="27"/>
      <c r="XFD295" s="27"/>
    </row>
    <row r="296" s="42" customFormat="true" ht="14.15" hidden="false" customHeight="true" outlineLevel="0" collapsed="false">
      <c r="A296" s="28" t="s">
        <v>2176</v>
      </c>
      <c r="B296" s="29" t="s">
        <v>2177</v>
      </c>
      <c r="C296" s="29" t="s">
        <v>2178</v>
      </c>
      <c r="D296" s="30" t="s">
        <v>112</v>
      </c>
      <c r="E296" s="31"/>
      <c r="F296" s="32" t="n">
        <v>44</v>
      </c>
      <c r="G296" s="31"/>
      <c r="H296" s="31" t="n">
        <v>1</v>
      </c>
      <c r="I296" s="31" t="s">
        <v>295</v>
      </c>
      <c r="J296" s="29"/>
      <c r="K296" s="29" t="s">
        <v>2090</v>
      </c>
      <c r="L296" s="32" t="n">
        <v>30</v>
      </c>
      <c r="M296" s="33" t="s">
        <v>2091</v>
      </c>
      <c r="N296" s="34" t="n">
        <v>92300</v>
      </c>
      <c r="O296" s="35" t="s">
        <v>298</v>
      </c>
      <c r="P296" s="36" t="s">
        <v>2092</v>
      </c>
      <c r="Q296" s="36" t="n">
        <v>2</v>
      </c>
      <c r="R296" s="32" t="n">
        <v>56</v>
      </c>
      <c r="S296" s="32" t="n">
        <v>5</v>
      </c>
      <c r="T296" s="32"/>
      <c r="U296" s="32" t="n">
        <v>3</v>
      </c>
      <c r="V296" s="37"/>
      <c r="W296" s="32" t="n">
        <v>3</v>
      </c>
      <c r="X296" s="34"/>
      <c r="Y296" s="34" t="n">
        <v>2</v>
      </c>
      <c r="Z296" s="32" t="s">
        <v>2179</v>
      </c>
      <c r="AA296" s="32" t="s">
        <v>2180</v>
      </c>
      <c r="AB296" s="32"/>
      <c r="AC296" s="38" t="str">
        <f aca="false">HYPERLINK("https://biocodex6--c.vf.force.com/0014L00000KFZTWQA5", "DUMITRESCU MADALINA ANDREA")</f>
        <v>DUMITRESCU MADALINA ANDREA</v>
      </c>
      <c r="AD296" s="38"/>
      <c r="AE296" s="39"/>
      <c r="AF296" s="40"/>
      <c r="AG296" s="41"/>
      <c r="AH296" s="32"/>
      <c r="AI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XEY296" s="27"/>
      <c r="XEZ296" s="27"/>
      <c r="XFA296" s="27"/>
      <c r="XFB296" s="27"/>
      <c r="XFC296" s="27"/>
      <c r="XFD296" s="27"/>
    </row>
    <row r="297" s="42" customFormat="true" ht="14.15" hidden="false" customHeight="true" outlineLevel="0" collapsed="false">
      <c r="A297" s="28" t="s">
        <v>195</v>
      </c>
      <c r="B297" s="29" t="s">
        <v>399</v>
      </c>
      <c r="C297" s="49" t="s">
        <v>2128</v>
      </c>
      <c r="D297" s="30" t="s">
        <v>172</v>
      </c>
      <c r="E297" s="31"/>
      <c r="F297" s="32" t="n">
        <v>65</v>
      </c>
      <c r="G297" s="31"/>
      <c r="H297" s="31" t="n">
        <v>3</v>
      </c>
      <c r="I297" s="31" t="s">
        <v>572</v>
      </c>
      <c r="J297" s="29"/>
      <c r="K297" s="29" t="s">
        <v>2181</v>
      </c>
      <c r="L297" s="32" t="n">
        <v>37</v>
      </c>
      <c r="M297" s="33" t="s">
        <v>798</v>
      </c>
      <c r="N297" s="34" t="n">
        <v>75008</v>
      </c>
      <c r="O297" s="35" t="s">
        <v>55</v>
      </c>
      <c r="P297" s="36" t="s">
        <v>2182</v>
      </c>
      <c r="Q297" s="36" t="n">
        <v>39</v>
      </c>
      <c r="R297" s="32" t="n">
        <v>55</v>
      </c>
      <c r="S297" s="32" t="n">
        <v>5</v>
      </c>
      <c r="T297" s="43" t="s">
        <v>2183</v>
      </c>
      <c r="U297" s="32"/>
      <c r="V297" s="37"/>
      <c r="W297" s="32"/>
      <c r="X297" s="34"/>
      <c r="Y297" s="34"/>
      <c r="Z297" s="36"/>
      <c r="AA297" s="32" t="s">
        <v>2130</v>
      </c>
      <c r="AB297" s="32"/>
      <c r="AC297" s="38" t="str">
        <f aca="false">HYPERLINK("https://biocodex6--c.vf.force.com/0014L00000KFvquQAD", "PHILIPPE OLIVIER")</f>
        <v>PHILIPPE OLIVIER</v>
      </c>
      <c r="AD297" s="38"/>
      <c r="AE297" s="39"/>
      <c r="AF297" s="40"/>
      <c r="AG297" s="41"/>
      <c r="AH297" s="32" t="s">
        <v>179</v>
      </c>
      <c r="AI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XEY297" s="27"/>
      <c r="XEZ297" s="27"/>
      <c r="XFA297" s="27"/>
      <c r="XFB297" s="27"/>
      <c r="XFC297" s="27"/>
      <c r="XFD297" s="27"/>
    </row>
    <row r="298" s="42" customFormat="true" ht="14.15" hidden="false" customHeight="true" outlineLevel="0" collapsed="false">
      <c r="A298" s="28" t="s">
        <v>2184</v>
      </c>
      <c r="B298" s="51" t="s">
        <v>593</v>
      </c>
      <c r="C298" s="51" t="s">
        <v>2185</v>
      </c>
      <c r="D298" s="30" t="s">
        <v>172</v>
      </c>
      <c r="E298" s="30" t="s">
        <v>818</v>
      </c>
      <c r="F298" s="32" t="n">
        <v>62</v>
      </c>
      <c r="G298" s="31"/>
      <c r="H298" s="31" t="n">
        <v>2</v>
      </c>
      <c r="I298" s="31" t="s">
        <v>173</v>
      </c>
      <c r="J298" s="29"/>
      <c r="K298" s="29" t="s">
        <v>2186</v>
      </c>
      <c r="L298" s="32" t="n">
        <v>10</v>
      </c>
      <c r="M298" s="33" t="s">
        <v>2187</v>
      </c>
      <c r="N298" s="34" t="n">
        <v>75016</v>
      </c>
      <c r="O298" s="35" t="s">
        <v>55</v>
      </c>
      <c r="P298" s="36" t="s">
        <v>2188</v>
      </c>
      <c r="Q298" s="36" t="n">
        <v>1</v>
      </c>
      <c r="R298" s="36" t="n">
        <v>43</v>
      </c>
      <c r="S298" s="32" t="n">
        <v>5</v>
      </c>
      <c r="T298" s="43" t="s">
        <v>2189</v>
      </c>
      <c r="U298" s="32"/>
      <c r="V298" s="37" t="n">
        <v>3</v>
      </c>
      <c r="W298" s="32"/>
      <c r="X298" s="34"/>
      <c r="Y298" s="34"/>
      <c r="Z298" s="32"/>
      <c r="AA298" s="32" t="s">
        <v>2190</v>
      </c>
      <c r="AB298" s="44"/>
      <c r="AC298" s="38" t="str">
        <f aca="false">HYPERLINK("https://biocodex6--c.vf.force.com/0014L00000KFoRZQA1", "LEYDIER ANTOINE")</f>
        <v>LEYDIER ANTOINE</v>
      </c>
      <c r="AD298" s="38"/>
      <c r="AE298" s="39"/>
      <c r="AF298" s="40"/>
      <c r="AG298" s="41" t="s">
        <v>125</v>
      </c>
      <c r="AH298" s="32" t="s">
        <v>2191</v>
      </c>
      <c r="AI298" s="32" t="s">
        <v>2191</v>
      </c>
      <c r="AJ298" s="42" t="s">
        <v>2192</v>
      </c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XEY298" s="27"/>
      <c r="XEZ298" s="27"/>
      <c r="XFA298" s="27"/>
      <c r="XFB298" s="27"/>
      <c r="XFC298" s="27"/>
      <c r="XFD298" s="27"/>
    </row>
    <row r="299" s="42" customFormat="true" ht="14.15" hidden="false" customHeight="true" outlineLevel="0" collapsed="false">
      <c r="A299" s="28" t="s">
        <v>2193</v>
      </c>
      <c r="B299" s="29" t="s">
        <v>2194</v>
      </c>
      <c r="C299" s="29" t="s">
        <v>2195</v>
      </c>
      <c r="D299" s="30" t="s">
        <v>1103</v>
      </c>
      <c r="E299" s="31"/>
      <c r="F299" s="32" t="n">
        <v>38</v>
      </c>
      <c r="G299" s="31"/>
      <c r="H299" s="31" t="n">
        <v>2</v>
      </c>
      <c r="I299" s="31" t="s">
        <v>173</v>
      </c>
      <c r="J299" s="29"/>
      <c r="K299" s="29" t="s">
        <v>1104</v>
      </c>
      <c r="L299" s="32" t="n">
        <v>6</v>
      </c>
      <c r="M299" s="33" t="s">
        <v>1105</v>
      </c>
      <c r="N299" s="34" t="n">
        <v>75016</v>
      </c>
      <c r="O299" s="35" t="s">
        <v>55</v>
      </c>
      <c r="P299" s="36" t="s">
        <v>2196</v>
      </c>
      <c r="Q299" s="36" t="n">
        <v>3</v>
      </c>
      <c r="R299" s="32" t="n">
        <v>41</v>
      </c>
      <c r="S299" s="32" t="n">
        <v>5</v>
      </c>
      <c r="T299" s="43" t="s">
        <v>2197</v>
      </c>
      <c r="U299" s="32"/>
      <c r="V299" s="37"/>
      <c r="W299" s="32"/>
      <c r="X299" s="34"/>
      <c r="Y299" s="34"/>
      <c r="Z299" s="36"/>
      <c r="AA299" s="32" t="s">
        <v>2198</v>
      </c>
      <c r="AB299" s="32"/>
      <c r="AC299" s="38" t="str">
        <f aca="false">HYPERLINK("https://biocodex6--c.vf.force.com/0014L00000KG9oDQAT", "SOULAN CLARISSE")</f>
        <v>SOULAN CLARISSE</v>
      </c>
      <c r="AD299" s="38"/>
      <c r="AE299" s="39"/>
      <c r="AF299" s="40"/>
      <c r="AG299" s="41"/>
      <c r="AH299" s="32" t="s">
        <v>179</v>
      </c>
      <c r="AI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XEY299" s="27"/>
      <c r="XEZ299" s="27"/>
      <c r="XFA299" s="27"/>
      <c r="XFB299" s="27"/>
      <c r="XFC299" s="27"/>
      <c r="XFD299" s="27"/>
    </row>
    <row r="300" s="42" customFormat="true" ht="14.15" hidden="false" customHeight="true" outlineLevel="0" collapsed="false">
      <c r="A300" s="28" t="s">
        <v>2199</v>
      </c>
      <c r="B300" s="29" t="s">
        <v>2200</v>
      </c>
      <c r="C300" s="29" t="s">
        <v>2201</v>
      </c>
      <c r="D300" s="30" t="s">
        <v>172</v>
      </c>
      <c r="E300" s="31"/>
      <c r="F300" s="32" t="n">
        <v>48</v>
      </c>
      <c r="G300" s="31"/>
      <c r="H300" s="31" t="n">
        <v>1</v>
      </c>
      <c r="I300" s="31" t="s">
        <v>435</v>
      </c>
      <c r="J300" s="29" t="s">
        <v>2202</v>
      </c>
      <c r="K300" s="29" t="s">
        <v>2203</v>
      </c>
      <c r="L300" s="32" t="n">
        <v>2</v>
      </c>
      <c r="M300" s="33" t="s">
        <v>2204</v>
      </c>
      <c r="N300" s="34" t="n">
        <v>75016</v>
      </c>
      <c r="O300" s="35" t="s">
        <v>55</v>
      </c>
      <c r="P300" s="36" t="s">
        <v>2205</v>
      </c>
      <c r="Q300" s="36" t="n">
        <v>5</v>
      </c>
      <c r="R300" s="36" t="n">
        <v>40</v>
      </c>
      <c r="S300" s="32" t="n">
        <v>5</v>
      </c>
      <c r="T300" s="43" t="s">
        <v>2189</v>
      </c>
      <c r="U300" s="32"/>
      <c r="V300" s="37" t="n">
        <v>3</v>
      </c>
      <c r="W300" s="32"/>
      <c r="X300" s="34"/>
      <c r="Y300" s="34"/>
      <c r="Z300" s="36"/>
      <c r="AA300" s="32" t="s">
        <v>2206</v>
      </c>
      <c r="AB300" s="32"/>
      <c r="AC300" s="38" t="str">
        <f aca="false">HYPERLINK("https://biocodex6--c.vf.force.com/0014L00000KFxAoQAL", "POJIDAEVA IANINA")</f>
        <v>POJIDAEVA IANINA</v>
      </c>
      <c r="AD300" s="38"/>
      <c r="AE300" s="39"/>
      <c r="AF300" s="40"/>
      <c r="AG300" s="41"/>
      <c r="AH300" s="32" t="s">
        <v>179</v>
      </c>
      <c r="AI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XEY300" s="27"/>
      <c r="XEZ300" s="27"/>
      <c r="XFA300" s="27"/>
      <c r="XFB300" s="27"/>
      <c r="XFC300" s="27"/>
      <c r="XFD300" s="27"/>
    </row>
    <row r="301" s="42" customFormat="true" ht="14.15" hidden="false" customHeight="true" outlineLevel="0" collapsed="false">
      <c r="A301" s="28" t="s">
        <v>2207</v>
      </c>
      <c r="B301" s="29" t="s">
        <v>709</v>
      </c>
      <c r="C301" s="29" t="s">
        <v>2208</v>
      </c>
      <c r="D301" s="30" t="s">
        <v>244</v>
      </c>
      <c r="E301" s="30" t="s">
        <v>245</v>
      </c>
      <c r="F301" s="32" t="n">
        <v>35</v>
      </c>
      <c r="G301" s="31" t="s">
        <v>215</v>
      </c>
      <c r="H301" s="31" t="n">
        <v>1</v>
      </c>
      <c r="I301" s="31" t="s">
        <v>435</v>
      </c>
      <c r="J301" s="29" t="s">
        <v>2209</v>
      </c>
      <c r="K301" s="29" t="s">
        <v>2210</v>
      </c>
      <c r="L301" s="32" t="n">
        <v>29</v>
      </c>
      <c r="M301" s="33" t="s">
        <v>2211</v>
      </c>
      <c r="N301" s="34" t="n">
        <v>75016</v>
      </c>
      <c r="O301" s="35" t="s">
        <v>55</v>
      </c>
      <c r="P301" s="50" t="s">
        <v>2212</v>
      </c>
      <c r="Q301" s="36" t="n">
        <v>2</v>
      </c>
      <c r="R301" s="32"/>
      <c r="S301" s="32" t="n">
        <v>5</v>
      </c>
      <c r="T301" s="32"/>
      <c r="U301" s="32"/>
      <c r="V301" s="37"/>
      <c r="W301" s="32" t="n">
        <v>3</v>
      </c>
      <c r="X301" s="34"/>
      <c r="Y301" s="34" t="n">
        <v>1</v>
      </c>
      <c r="Z301" s="32"/>
      <c r="AA301" s="32" t="s">
        <v>2213</v>
      </c>
      <c r="AB301" s="32" t="s">
        <v>2214</v>
      </c>
      <c r="AC301" s="38" t="str">
        <f aca="false">HYPERLINK("https://biocodex6--c.vf.force.com/0014L00000KGBH5QAP", "OUAZANA MARION")</f>
        <v>OUAZANA MARION</v>
      </c>
      <c r="AD301" s="38" t="str">
        <f aca="false">HYPERLINK("https://annuairesante.ameli.fr/professionnels-de-sante/recherche/fiche-detaillee-B7c1lTYwNDu1.html", "OUAZANA MARION")</f>
        <v>OUAZANA MARION</v>
      </c>
      <c r="AE301" s="39"/>
      <c r="AF301" s="40"/>
      <c r="AG301" s="41"/>
      <c r="AH301" s="32"/>
      <c r="AI301" s="32"/>
      <c r="AL301" s="43" t="s">
        <v>909</v>
      </c>
      <c r="AM301" s="43" t="s">
        <v>2215</v>
      </c>
      <c r="AN301" s="43" t="s">
        <v>909</v>
      </c>
      <c r="AO301" s="43" t="s">
        <v>2215</v>
      </c>
      <c r="AP301" s="43" t="s">
        <v>909</v>
      </c>
      <c r="AQ301" s="43" t="s">
        <v>2215</v>
      </c>
      <c r="AR301" s="43" t="s">
        <v>909</v>
      </c>
      <c r="AS301" s="43" t="s">
        <v>2215</v>
      </c>
      <c r="AT301" s="43" t="s">
        <v>909</v>
      </c>
      <c r="AU301" s="43" t="s">
        <v>2215</v>
      </c>
      <c r="XEY301" s="27"/>
      <c r="XEZ301" s="27"/>
      <c r="XFA301" s="27"/>
      <c r="XFB301" s="27"/>
      <c r="XFC301" s="27"/>
      <c r="XFD301" s="27"/>
    </row>
    <row r="302" s="42" customFormat="true" ht="14.15" hidden="false" customHeight="true" outlineLevel="0" collapsed="false">
      <c r="A302" s="28" t="s">
        <v>2216</v>
      </c>
      <c r="B302" s="29" t="s">
        <v>2217</v>
      </c>
      <c r="C302" s="29" t="s">
        <v>2218</v>
      </c>
      <c r="D302" s="30" t="s">
        <v>206</v>
      </c>
      <c r="E302" s="30" t="s">
        <v>112</v>
      </c>
      <c r="F302" s="32"/>
      <c r="G302" s="31" t="s">
        <v>98</v>
      </c>
      <c r="H302" s="31" t="n">
        <v>1</v>
      </c>
      <c r="I302" s="31" t="s">
        <v>77</v>
      </c>
      <c r="J302" s="29"/>
      <c r="K302" s="29" t="s">
        <v>2219</v>
      </c>
      <c r="L302" s="32" t="n">
        <v>21</v>
      </c>
      <c r="M302" s="33" t="s">
        <v>2220</v>
      </c>
      <c r="N302" s="34" t="n">
        <v>92200</v>
      </c>
      <c r="O302" s="35" t="s">
        <v>81</v>
      </c>
      <c r="P302" s="36" t="s">
        <v>2221</v>
      </c>
      <c r="Q302" s="36" t="n">
        <v>2</v>
      </c>
      <c r="R302" s="32"/>
      <c r="S302" s="32" t="n">
        <v>5</v>
      </c>
      <c r="T302" s="32"/>
      <c r="U302" s="32"/>
      <c r="V302" s="37"/>
      <c r="W302" s="32"/>
      <c r="X302" s="34"/>
      <c r="Y302" s="34"/>
      <c r="Z302" s="32"/>
      <c r="AA302" s="32"/>
      <c r="AB302" s="32" t="s">
        <v>2222</v>
      </c>
      <c r="AC302" s="38"/>
      <c r="AD302" s="38" t="str">
        <f aca="false">HYPERLINK("https://annuairesante.ameli.fr/professionnels-de-sante/recherche/fiche-detaillee-B7c1mzcyNTa6.html", "RICCHI SARAH")</f>
        <v>RICCHI SARAH</v>
      </c>
      <c r="AE302" s="39"/>
      <c r="AF302" s="40"/>
      <c r="AG302" s="45"/>
      <c r="AH302" s="32"/>
      <c r="AI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XEY302" s="27"/>
      <c r="XEZ302" s="27"/>
      <c r="XFA302" s="27"/>
      <c r="XFB302" s="27"/>
      <c r="XFC302" s="27"/>
      <c r="XFD302" s="27"/>
    </row>
    <row r="303" s="42" customFormat="true" ht="14.15" hidden="false" customHeight="true" outlineLevel="0" collapsed="false">
      <c r="A303" s="28" t="s">
        <v>2223</v>
      </c>
      <c r="B303" s="29" t="s">
        <v>1143</v>
      </c>
      <c r="C303" s="29" t="s">
        <v>2224</v>
      </c>
      <c r="D303" s="30" t="s">
        <v>50</v>
      </c>
      <c r="E303" s="31"/>
      <c r="F303" s="32" t="n">
        <v>69</v>
      </c>
      <c r="G303" s="31" t="s">
        <v>61</v>
      </c>
      <c r="H303" s="31" t="n">
        <v>1</v>
      </c>
      <c r="I303" s="31" t="s">
        <v>119</v>
      </c>
      <c r="J303" s="29"/>
      <c r="K303" s="29" t="s">
        <v>2225</v>
      </c>
      <c r="L303" s="32" t="n">
        <v>55</v>
      </c>
      <c r="M303" s="33" t="s">
        <v>2226</v>
      </c>
      <c r="N303" s="34" t="n">
        <v>75007</v>
      </c>
      <c r="O303" s="35" t="s">
        <v>55</v>
      </c>
      <c r="P303" s="36" t="s">
        <v>2227</v>
      </c>
      <c r="Q303" s="36" t="n">
        <v>1</v>
      </c>
      <c r="R303" s="32" t="n">
        <v>889</v>
      </c>
      <c r="S303" s="32" t="n">
        <v>4</v>
      </c>
      <c r="T303" s="32"/>
      <c r="U303" s="32" t="n">
        <v>3</v>
      </c>
      <c r="V303" s="37" t="n">
        <v>3</v>
      </c>
      <c r="W303" s="32" t="n">
        <v>3</v>
      </c>
      <c r="X303" s="34" t="n">
        <v>1</v>
      </c>
      <c r="Y303" s="34" t="n">
        <v>2</v>
      </c>
      <c r="Z303" s="32"/>
      <c r="AA303" s="32" t="s">
        <v>2228</v>
      </c>
      <c r="AB303" s="32" t="s">
        <v>2229</v>
      </c>
      <c r="AC303" s="38" t="str">
        <f aca="false">HYPERLINK("https://biocodex6--c.vf.force.com/0014L00000KFbDsQAL", "DOUCHET MARC")</f>
        <v>DOUCHET MARC</v>
      </c>
      <c r="AD303" s="38" t="str">
        <f aca="false">HYPERLINK("https://annuairesante.ameli.fr/professionnels-de-sante/recherche/fiche-detaillee-B7c1ljI1Mjew.html", "DOUCHET MARC")</f>
        <v>DOUCHET MARC</v>
      </c>
      <c r="AE303" s="39" t="n">
        <v>45135.4583333333</v>
      </c>
      <c r="AF303" s="40"/>
      <c r="AG303" s="41"/>
      <c r="AH303" s="32"/>
      <c r="AI303" s="32" t="s">
        <v>180</v>
      </c>
      <c r="AJ303" s="42" t="s">
        <v>2230</v>
      </c>
      <c r="AL303" s="32"/>
      <c r="AM303" s="43" t="s">
        <v>126</v>
      </c>
      <c r="AN303" s="32"/>
      <c r="AO303" s="43" t="s">
        <v>126</v>
      </c>
      <c r="AP303" s="32"/>
      <c r="AQ303" s="43" t="s">
        <v>126</v>
      </c>
      <c r="AR303" s="32"/>
      <c r="AS303" s="43" t="s">
        <v>126</v>
      </c>
      <c r="AT303" s="32"/>
      <c r="AU303" s="43" t="s">
        <v>126</v>
      </c>
      <c r="XEY303" s="27"/>
      <c r="XEZ303" s="27"/>
      <c r="XFA303" s="27"/>
      <c r="XFB303" s="27"/>
      <c r="XFC303" s="27"/>
      <c r="XFD303" s="27"/>
    </row>
    <row r="304" s="42" customFormat="true" ht="14.15" hidden="false" customHeight="true" outlineLevel="0" collapsed="false">
      <c r="A304" s="28" t="s">
        <v>159</v>
      </c>
      <c r="B304" s="29" t="s">
        <v>883</v>
      </c>
      <c r="C304" s="29" t="s">
        <v>2231</v>
      </c>
      <c r="D304" s="30" t="s">
        <v>50</v>
      </c>
      <c r="E304" s="30" t="s">
        <v>421</v>
      </c>
      <c r="F304" s="32" t="n">
        <v>75</v>
      </c>
      <c r="G304" s="31"/>
      <c r="H304" s="31" t="n">
        <v>2</v>
      </c>
      <c r="I304" s="31" t="s">
        <v>572</v>
      </c>
      <c r="J304" s="29" t="s">
        <v>678</v>
      </c>
      <c r="K304" s="29" t="s">
        <v>679</v>
      </c>
      <c r="L304" s="32" t="n">
        <v>6</v>
      </c>
      <c r="M304" s="33" t="s">
        <v>680</v>
      </c>
      <c r="N304" s="34" t="n">
        <v>75008</v>
      </c>
      <c r="O304" s="35" t="s">
        <v>55</v>
      </c>
      <c r="P304" s="36" t="s">
        <v>1825</v>
      </c>
      <c r="Q304" s="36" t="n">
        <v>43</v>
      </c>
      <c r="R304" s="32" t="n">
        <v>593</v>
      </c>
      <c r="S304" s="32" t="n">
        <v>4</v>
      </c>
      <c r="T304" s="32"/>
      <c r="U304" s="32"/>
      <c r="V304" s="37"/>
      <c r="W304" s="32"/>
      <c r="X304" s="34"/>
      <c r="Y304" s="34"/>
      <c r="Z304" s="32"/>
      <c r="AA304" s="36" t="s">
        <v>2232</v>
      </c>
      <c r="AC304" s="38" t="str">
        <f aca="false">HYPERLINK("https://biocodex6--c.vf.force.com/0014L00000KFRBdQAP", "AZOULAY JACQUES")</f>
        <v>AZOULAY JACQUES</v>
      </c>
      <c r="AD304" s="38"/>
      <c r="AE304" s="39"/>
      <c r="AF304" s="40"/>
      <c r="AG304" s="41"/>
      <c r="AH304" s="32"/>
      <c r="AI304" s="32" t="s">
        <v>1032</v>
      </c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XEY304" s="27"/>
      <c r="XEZ304" s="27"/>
      <c r="XFA304" s="27"/>
      <c r="XFB304" s="27"/>
      <c r="XFC304" s="27"/>
      <c r="XFD304" s="27"/>
    </row>
    <row r="305" s="42" customFormat="true" ht="14.15" hidden="false" customHeight="true" outlineLevel="0" collapsed="false">
      <c r="A305" s="28" t="s">
        <v>2233</v>
      </c>
      <c r="B305" s="29" t="s">
        <v>2234</v>
      </c>
      <c r="C305" s="29" t="s">
        <v>2235</v>
      </c>
      <c r="D305" s="30" t="s">
        <v>244</v>
      </c>
      <c r="E305" s="30" t="s">
        <v>245</v>
      </c>
      <c r="F305" s="32" t="n">
        <v>76</v>
      </c>
      <c r="G305" s="31"/>
      <c r="H305" s="31" t="n">
        <v>1</v>
      </c>
      <c r="I305" s="31" t="s">
        <v>173</v>
      </c>
      <c r="J305" s="29"/>
      <c r="K305" s="29" t="s">
        <v>2236</v>
      </c>
      <c r="L305" s="32" t="n">
        <v>97</v>
      </c>
      <c r="M305" s="33" t="s">
        <v>175</v>
      </c>
      <c r="N305" s="34" t="n">
        <v>75016</v>
      </c>
      <c r="O305" s="35" t="s">
        <v>55</v>
      </c>
      <c r="P305" s="36" t="s">
        <v>2237</v>
      </c>
      <c r="Q305" s="36" t="n">
        <v>2</v>
      </c>
      <c r="R305" s="32" t="n">
        <v>406</v>
      </c>
      <c r="S305" s="32" t="n">
        <v>4</v>
      </c>
      <c r="T305" s="32"/>
      <c r="U305" s="32" t="n">
        <v>3</v>
      </c>
      <c r="V305" s="37"/>
      <c r="W305" s="32" t="n">
        <v>3</v>
      </c>
      <c r="X305" s="34" t="n">
        <v>2</v>
      </c>
      <c r="Y305" s="34" t="n">
        <v>3</v>
      </c>
      <c r="Z305" s="32" t="s">
        <v>2238</v>
      </c>
      <c r="AA305" s="32" t="s">
        <v>2239</v>
      </c>
      <c r="AB305" s="32"/>
      <c r="AC305" s="38" t="str">
        <f aca="false">HYPERLINK("https://biocodex6--c.vf.force.com/0014L00000KFS70QAH", "BAZIN BORLOO JEANNE MARIE")</f>
        <v>BAZIN BORLOO JEANNE MARIE</v>
      </c>
      <c r="AD305" s="38"/>
      <c r="AE305" s="39" t="n">
        <v>45128.4722222222</v>
      </c>
      <c r="AF305" s="40" t="s">
        <v>2240</v>
      </c>
      <c r="AG305" s="41" t="s">
        <v>125</v>
      </c>
      <c r="AH305" s="32" t="s">
        <v>70</v>
      </c>
      <c r="AI305" s="32" t="s">
        <v>71</v>
      </c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XEY305" s="27"/>
      <c r="XEZ305" s="27"/>
      <c r="XFA305" s="27"/>
      <c r="XFB305" s="27"/>
      <c r="XFC305" s="27"/>
      <c r="XFD305" s="27"/>
    </row>
    <row r="306" s="42" customFormat="true" ht="14.15" hidden="false" customHeight="true" outlineLevel="0" collapsed="false">
      <c r="A306" s="28" t="s">
        <v>2241</v>
      </c>
      <c r="B306" s="29" t="s">
        <v>1007</v>
      </c>
      <c r="C306" s="29" t="s">
        <v>2242</v>
      </c>
      <c r="D306" s="30" t="s">
        <v>112</v>
      </c>
      <c r="E306" s="31"/>
      <c r="F306" s="32" t="n">
        <v>0</v>
      </c>
      <c r="G306" s="31" t="s">
        <v>215</v>
      </c>
      <c r="H306" s="31" t="n">
        <v>1</v>
      </c>
      <c r="I306" s="31" t="s">
        <v>99</v>
      </c>
      <c r="J306" s="29"/>
      <c r="K306" s="29" t="s">
        <v>2243</v>
      </c>
      <c r="L306" s="32" t="n">
        <v>12</v>
      </c>
      <c r="M306" s="33" t="s">
        <v>2244</v>
      </c>
      <c r="N306" s="34" t="n">
        <v>75015</v>
      </c>
      <c r="O306" s="35" t="s">
        <v>55</v>
      </c>
      <c r="P306" s="36" t="s">
        <v>2245</v>
      </c>
      <c r="Q306" s="36" t="n">
        <v>1</v>
      </c>
      <c r="R306" s="32" t="n">
        <v>400</v>
      </c>
      <c r="S306" s="32" t="n">
        <v>4</v>
      </c>
      <c r="T306" s="32"/>
      <c r="U306" s="32"/>
      <c r="V306" s="37"/>
      <c r="W306" s="32"/>
      <c r="X306" s="34"/>
      <c r="Y306" s="34"/>
      <c r="Z306" s="32"/>
      <c r="AA306" s="32" t="s">
        <v>2246</v>
      </c>
      <c r="AB306" s="32" t="s">
        <v>2247</v>
      </c>
      <c r="AC306" s="38" t="str">
        <f aca="false">HYPERLINK("https://biocodex6--c.vf.force.com/0014L00000KHYwrQAH", "YANG DAVID")</f>
        <v>YANG DAVID</v>
      </c>
      <c r="AD306" s="38" t="str">
        <f aca="false">HYPERLINK("https://annuairesante.ameli.fr/professionnels-de-sante/recherche/fiche-detaillee-B7c1kjs4NTS3.html", "YANG DAVID")</f>
        <v>YANG DAVID</v>
      </c>
      <c r="AE306" s="39" t="n">
        <v>45204.4791666667</v>
      </c>
      <c r="AF306" s="40"/>
      <c r="AG306" s="41"/>
      <c r="AH306" s="32"/>
      <c r="AI306" s="32"/>
      <c r="AL306" s="43" t="s">
        <v>657</v>
      </c>
      <c r="AM306" s="43" t="s">
        <v>137</v>
      </c>
      <c r="AN306" s="43" t="s">
        <v>657</v>
      </c>
      <c r="AO306" s="43" t="s">
        <v>534</v>
      </c>
      <c r="AP306" s="43" t="s">
        <v>639</v>
      </c>
      <c r="AQ306" s="43" t="s">
        <v>534</v>
      </c>
      <c r="AR306" s="43" t="s">
        <v>639</v>
      </c>
      <c r="AS306" s="43" t="s">
        <v>534</v>
      </c>
      <c r="AT306" s="43" t="s">
        <v>657</v>
      </c>
      <c r="AU306" s="43" t="s">
        <v>534</v>
      </c>
      <c r="XEY306" s="27"/>
      <c r="XEZ306" s="27"/>
      <c r="XFA306" s="27"/>
      <c r="XFB306" s="27"/>
      <c r="XFC306" s="27"/>
      <c r="XFD306" s="27"/>
    </row>
    <row r="307" s="42" customFormat="true" ht="14.15" hidden="false" customHeight="true" outlineLevel="0" collapsed="false">
      <c r="A307" s="28" t="s">
        <v>2248</v>
      </c>
      <c r="B307" s="29" t="s">
        <v>2249</v>
      </c>
      <c r="C307" s="29" t="s">
        <v>2250</v>
      </c>
      <c r="D307" s="30" t="s">
        <v>75</v>
      </c>
      <c r="E307" s="31"/>
      <c r="F307" s="32" t="n">
        <v>32</v>
      </c>
      <c r="G307" s="31"/>
      <c r="H307" s="31" t="n">
        <v>1</v>
      </c>
      <c r="I307" s="31" t="s">
        <v>99</v>
      </c>
      <c r="J307" s="29" t="s">
        <v>595</v>
      </c>
      <c r="K307" s="29" t="s">
        <v>596</v>
      </c>
      <c r="L307" s="32" t="n">
        <v>20</v>
      </c>
      <c r="M307" s="33" t="s">
        <v>597</v>
      </c>
      <c r="N307" s="34" t="n">
        <v>75015</v>
      </c>
      <c r="O307" s="35" t="s">
        <v>55</v>
      </c>
      <c r="P307" s="36" t="s">
        <v>2251</v>
      </c>
      <c r="Q307" s="36" t="n">
        <v>90</v>
      </c>
      <c r="R307" s="32" t="n">
        <v>400</v>
      </c>
      <c r="S307" s="32" t="n">
        <v>4</v>
      </c>
      <c r="T307" s="32"/>
      <c r="U307" s="32"/>
      <c r="V307" s="37"/>
      <c r="W307" s="32"/>
      <c r="X307" s="34"/>
      <c r="Y307" s="34"/>
      <c r="Z307" s="32"/>
      <c r="AA307" s="32" t="s">
        <v>2252</v>
      </c>
      <c r="AB307" s="32"/>
      <c r="AC307" s="38" t="str">
        <f aca="false">HYPERLINK("https://biocodex6--c.vf.force.com/0014L00000KGFvxQAH", "HAFLIGER EMILIE")</f>
        <v>HAFLIGER EMILIE</v>
      </c>
      <c r="AD307" s="38"/>
      <c r="AE307" s="39"/>
      <c r="AF307" s="40"/>
      <c r="AG307" s="41"/>
      <c r="AH307" s="32"/>
      <c r="AI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XEY307" s="27"/>
      <c r="XEZ307" s="27"/>
      <c r="XFA307" s="27"/>
      <c r="XFB307" s="27"/>
      <c r="XFC307" s="27"/>
      <c r="XFD307" s="27"/>
    </row>
    <row r="308" s="42" customFormat="true" ht="14.15" hidden="false" customHeight="true" outlineLevel="0" collapsed="false">
      <c r="A308" s="28" t="s">
        <v>2253</v>
      </c>
      <c r="B308" s="29" t="s">
        <v>2254</v>
      </c>
      <c r="C308" s="29" t="s">
        <v>2255</v>
      </c>
      <c r="D308" s="30" t="s">
        <v>50</v>
      </c>
      <c r="E308" s="31"/>
      <c r="F308" s="32" t="n">
        <v>62</v>
      </c>
      <c r="G308" s="31" t="s">
        <v>98</v>
      </c>
      <c r="H308" s="31" t="n">
        <v>1</v>
      </c>
      <c r="I308" s="31" t="s">
        <v>99</v>
      </c>
      <c r="J308" s="29"/>
      <c r="K308" s="29" t="s">
        <v>2256</v>
      </c>
      <c r="L308" s="32" t="n">
        <v>12</v>
      </c>
      <c r="M308" s="33" t="s">
        <v>2257</v>
      </c>
      <c r="N308" s="34" t="n">
        <v>75015</v>
      </c>
      <c r="O308" s="35" t="s">
        <v>55</v>
      </c>
      <c r="P308" s="36" t="s">
        <v>2258</v>
      </c>
      <c r="Q308" s="36" t="n">
        <v>1</v>
      </c>
      <c r="R308" s="32" t="n">
        <v>383</v>
      </c>
      <c r="S308" s="32" t="n">
        <v>4</v>
      </c>
      <c r="T308" s="32"/>
      <c r="U308" s="32"/>
      <c r="V308" s="37"/>
      <c r="W308" s="32"/>
      <c r="X308" s="34"/>
      <c r="Y308" s="34"/>
      <c r="Z308" s="32"/>
      <c r="AA308" s="32" t="s">
        <v>2259</v>
      </c>
      <c r="AB308" s="32" t="s">
        <v>2260</v>
      </c>
      <c r="AC308" s="38" t="str">
        <f aca="false">HYPERLINK("https://biocodex6--c.vf.force.com/0014L00000KFpH6QAL", "MAGNIER BERTRAND")</f>
        <v>MAGNIER BERTRAND</v>
      </c>
      <c r="AD308" s="38" t="str">
        <f aca="false">HYPERLINK("https://annuairesante.ameli.fr/professionnels-de-sante/recherche/fiche-detaillee-B7c1lzc5ODKy.html", "MAGNIER BERTRAND")</f>
        <v>MAGNIER BERTRAND</v>
      </c>
      <c r="AE308" s="39"/>
      <c r="AF308" s="40"/>
      <c r="AG308" s="41"/>
      <c r="AH308" s="32"/>
      <c r="AI308" s="32"/>
      <c r="AL308" s="43" t="s">
        <v>2261</v>
      </c>
      <c r="AM308" s="43" t="s">
        <v>360</v>
      </c>
      <c r="AN308" s="43" t="s">
        <v>394</v>
      </c>
      <c r="AO308" s="43" t="s">
        <v>360</v>
      </c>
      <c r="AP308" s="43" t="s">
        <v>394</v>
      </c>
      <c r="AQ308" s="43" t="s">
        <v>360</v>
      </c>
      <c r="AR308" s="43" t="s">
        <v>2262</v>
      </c>
      <c r="AS308" s="43" t="s">
        <v>137</v>
      </c>
      <c r="AT308" s="43" t="s">
        <v>394</v>
      </c>
      <c r="AU308" s="43" t="s">
        <v>360</v>
      </c>
      <c r="XEY308" s="27"/>
      <c r="XEZ308" s="27"/>
      <c r="XFA308" s="27"/>
      <c r="XFB308" s="27"/>
      <c r="XFC308" s="27"/>
      <c r="XFD308" s="27"/>
    </row>
    <row r="309" s="42" customFormat="true" ht="14.15" hidden="false" customHeight="true" outlineLevel="0" collapsed="false">
      <c r="A309" s="28" t="s">
        <v>2263</v>
      </c>
      <c r="B309" s="29" t="s">
        <v>2264</v>
      </c>
      <c r="C309" s="29" t="s">
        <v>2265</v>
      </c>
      <c r="D309" s="30" t="s">
        <v>50</v>
      </c>
      <c r="E309" s="31"/>
      <c r="F309" s="32" t="n">
        <v>42</v>
      </c>
      <c r="G309" s="31"/>
      <c r="H309" s="31" t="n">
        <v>1</v>
      </c>
      <c r="I309" s="31" t="s">
        <v>387</v>
      </c>
      <c r="J309" s="29" t="s">
        <v>2266</v>
      </c>
      <c r="K309" s="29" t="s">
        <v>2267</v>
      </c>
      <c r="L309" s="32" t="n">
        <v>14</v>
      </c>
      <c r="M309" s="33" t="s">
        <v>2268</v>
      </c>
      <c r="N309" s="34" t="n">
        <v>75016</v>
      </c>
      <c r="O309" s="35" t="s">
        <v>55</v>
      </c>
      <c r="P309" s="36" t="s">
        <v>2269</v>
      </c>
      <c r="Q309" s="36" t="n">
        <v>6</v>
      </c>
      <c r="R309" s="32" t="n">
        <v>365</v>
      </c>
      <c r="S309" s="32" t="n">
        <v>4</v>
      </c>
      <c r="T309" s="32"/>
      <c r="U309" s="32"/>
      <c r="V309" s="37"/>
      <c r="W309" s="32"/>
      <c r="X309" s="34"/>
      <c r="Y309" s="34"/>
      <c r="Z309" s="32"/>
      <c r="AA309" s="32" t="s">
        <v>2270</v>
      </c>
      <c r="AB309" s="32"/>
      <c r="AC309" s="38" t="str">
        <f aca="false">HYPERLINK("https://biocodex6--c.vf.force.com/0014L00000KFOjcQAH", "GURSCHI VIOREL")</f>
        <v>GURSCHI VIOREL</v>
      </c>
      <c r="AD309" s="38"/>
      <c r="AE309" s="39"/>
      <c r="AF309" s="40"/>
      <c r="AG309" s="41"/>
      <c r="AH309" s="32"/>
      <c r="AI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XEY309" s="27"/>
      <c r="XEZ309" s="27"/>
      <c r="XFA309" s="27"/>
      <c r="XFB309" s="27"/>
      <c r="XFC309" s="27"/>
      <c r="XFD309" s="27"/>
    </row>
    <row r="310" s="42" customFormat="true" ht="14.15" hidden="false" customHeight="true" outlineLevel="0" collapsed="false">
      <c r="A310" s="28" t="s">
        <v>2271</v>
      </c>
      <c r="B310" s="29" t="s">
        <v>690</v>
      </c>
      <c r="C310" s="29" t="s">
        <v>2272</v>
      </c>
      <c r="D310" s="30" t="s">
        <v>50</v>
      </c>
      <c r="E310" s="31"/>
      <c r="F310" s="32" t="n">
        <v>59</v>
      </c>
      <c r="G310" s="31" t="s">
        <v>98</v>
      </c>
      <c r="H310" s="31" t="n">
        <v>1</v>
      </c>
      <c r="I310" s="31" t="s">
        <v>99</v>
      </c>
      <c r="J310" s="29"/>
      <c r="K310" s="29" t="s">
        <v>2273</v>
      </c>
      <c r="L310" s="32" t="n">
        <v>15</v>
      </c>
      <c r="M310" s="33" t="s">
        <v>2274</v>
      </c>
      <c r="N310" s="34" t="n">
        <v>75015</v>
      </c>
      <c r="O310" s="35" t="s">
        <v>55</v>
      </c>
      <c r="P310" s="36" t="s">
        <v>2275</v>
      </c>
      <c r="Q310" s="36" t="n">
        <v>1</v>
      </c>
      <c r="R310" s="32" t="n">
        <v>365</v>
      </c>
      <c r="S310" s="32" t="n">
        <v>4</v>
      </c>
      <c r="T310" s="32"/>
      <c r="U310" s="32"/>
      <c r="V310" s="37"/>
      <c r="W310" s="32"/>
      <c r="X310" s="34"/>
      <c r="Y310" s="34"/>
      <c r="Z310" s="32"/>
      <c r="AA310" s="32" t="s">
        <v>2276</v>
      </c>
      <c r="AB310" s="32" t="s">
        <v>2277</v>
      </c>
      <c r="AC310" s="38" t="str">
        <f aca="false">HYPERLINK("https://biocodex6--c.vf.force.com/0014L00000KG215QAD", "SILVERA ERIC")</f>
        <v>SILVERA ERIC</v>
      </c>
      <c r="AD310" s="38" t="str">
        <f aca="false">HYPERLINK("https://annuairesante.ameli.fr/professionnels-de-sante/recherche/fiche-detaillee-B7c1lDIxOTGx.html", "SILVERA ERIC")</f>
        <v>SILVERA ERIC</v>
      </c>
      <c r="AE310" s="39"/>
      <c r="AF310" s="40"/>
      <c r="AG310" s="41"/>
      <c r="AH310" s="32"/>
      <c r="AI310" s="32"/>
      <c r="AL310" s="43" t="s">
        <v>1470</v>
      </c>
      <c r="AM310" s="43" t="s">
        <v>661</v>
      </c>
      <c r="AN310" s="43" t="s">
        <v>1470</v>
      </c>
      <c r="AO310" s="43" t="s">
        <v>661</v>
      </c>
      <c r="AP310" s="43" t="s">
        <v>339</v>
      </c>
      <c r="AQ310" s="43" t="s">
        <v>1443</v>
      </c>
      <c r="AR310" s="43" t="s">
        <v>339</v>
      </c>
      <c r="AS310" s="43" t="s">
        <v>1443</v>
      </c>
      <c r="AT310" s="43" t="s">
        <v>508</v>
      </c>
      <c r="AU310" s="43" t="s">
        <v>476</v>
      </c>
      <c r="XEY310" s="27"/>
      <c r="XEZ310" s="27"/>
      <c r="XFA310" s="27"/>
      <c r="XFB310" s="27"/>
      <c r="XFC310" s="27"/>
      <c r="XFD310" s="27"/>
    </row>
    <row r="311" s="42" customFormat="true" ht="14.15" hidden="false" customHeight="true" outlineLevel="0" collapsed="false">
      <c r="A311" s="28" t="s">
        <v>2278</v>
      </c>
      <c r="B311" s="29" t="s">
        <v>2279</v>
      </c>
      <c r="C311" s="29" t="s">
        <v>2280</v>
      </c>
      <c r="D311" s="30" t="s">
        <v>50</v>
      </c>
      <c r="E311" s="30" t="s">
        <v>2281</v>
      </c>
      <c r="F311" s="32"/>
      <c r="G311" s="31" t="s">
        <v>98</v>
      </c>
      <c r="H311" s="31" t="n">
        <v>1</v>
      </c>
      <c r="I311" s="31" t="s">
        <v>435</v>
      </c>
      <c r="J311" s="29"/>
      <c r="K311" s="29" t="s">
        <v>2282</v>
      </c>
      <c r="L311" s="32" t="n">
        <v>8</v>
      </c>
      <c r="M311" s="33" t="s">
        <v>2283</v>
      </c>
      <c r="N311" s="34" t="n">
        <v>75016</v>
      </c>
      <c r="O311" s="35" t="s">
        <v>55</v>
      </c>
      <c r="P311" s="50" t="s">
        <v>2284</v>
      </c>
      <c r="Q311" s="36" t="n">
        <v>1</v>
      </c>
      <c r="R311" s="32" t="n">
        <v>362</v>
      </c>
      <c r="S311" s="32" t="n">
        <v>4</v>
      </c>
      <c r="T311" s="32"/>
      <c r="U311" s="32"/>
      <c r="V311" s="37"/>
      <c r="W311" s="32"/>
      <c r="X311" s="34"/>
      <c r="Y311" s="34"/>
      <c r="Z311" s="32"/>
      <c r="AA311" s="32" t="s">
        <v>2285</v>
      </c>
      <c r="AB311" s="32" t="s">
        <v>2286</v>
      </c>
      <c r="AC311" s="38" t="str">
        <f aca="false">HYPERLINK("https://biocodex6--c.vf.force.com/0014L00000KFRGbQAP", "ACHIR MOKRANE")</f>
        <v>ACHIR MOKRANE</v>
      </c>
      <c r="AD311" s="38" t="str">
        <f aca="false">HYPERLINK("https://annuairesante.ameli.fr/professionnels-de-sante/recherche/fiche-detaillee-B7c1kzA2NDay.html", "ACHIR MOKRANE")</f>
        <v>ACHIR MOKRANE</v>
      </c>
      <c r="AE311" s="39"/>
      <c r="AF311" s="40"/>
      <c r="AG311" s="41"/>
      <c r="AH311" s="32"/>
      <c r="AI311" s="32"/>
      <c r="AL311" s="43" t="s">
        <v>822</v>
      </c>
      <c r="AM311" s="43" t="s">
        <v>2287</v>
      </c>
      <c r="AN311" s="43" t="s">
        <v>822</v>
      </c>
      <c r="AO311" s="43" t="s">
        <v>2287</v>
      </c>
      <c r="AP311" s="43" t="s">
        <v>822</v>
      </c>
      <c r="AQ311" s="43" t="s">
        <v>2287</v>
      </c>
      <c r="AR311" s="43" t="s">
        <v>822</v>
      </c>
      <c r="AS311" s="43" t="s">
        <v>2287</v>
      </c>
      <c r="AT311" s="43" t="s">
        <v>822</v>
      </c>
      <c r="AU311" s="43" t="s">
        <v>2287</v>
      </c>
      <c r="XEY311" s="27"/>
      <c r="XEZ311" s="27"/>
      <c r="XFA311" s="27"/>
      <c r="XFB311" s="27"/>
      <c r="XFC311" s="27"/>
      <c r="XFD311" s="27"/>
    </row>
    <row r="312" s="42" customFormat="true" ht="14.15" hidden="false" customHeight="true" outlineLevel="0" collapsed="false">
      <c r="A312" s="28" t="s">
        <v>2288</v>
      </c>
      <c r="B312" s="29" t="s">
        <v>1355</v>
      </c>
      <c r="C312" s="29" t="s">
        <v>2289</v>
      </c>
      <c r="D312" s="30" t="s">
        <v>244</v>
      </c>
      <c r="E312" s="30" t="s">
        <v>2290</v>
      </c>
      <c r="F312" s="32" t="n">
        <v>63</v>
      </c>
      <c r="G312" s="31" t="s">
        <v>215</v>
      </c>
      <c r="H312" s="31" t="n">
        <v>1</v>
      </c>
      <c r="I312" s="31" t="s">
        <v>62</v>
      </c>
      <c r="J312" s="29"/>
      <c r="K312" s="29" t="s">
        <v>1652</v>
      </c>
      <c r="L312" s="32" t="n">
        <v>54</v>
      </c>
      <c r="M312" s="33" t="s">
        <v>1653</v>
      </c>
      <c r="N312" s="34" t="n">
        <v>75017</v>
      </c>
      <c r="O312" s="35" t="s">
        <v>55</v>
      </c>
      <c r="P312" s="36" t="s">
        <v>2291</v>
      </c>
      <c r="Q312" s="36" t="n">
        <v>3</v>
      </c>
      <c r="R312" s="32" t="n">
        <v>360</v>
      </c>
      <c r="S312" s="32" t="n">
        <v>4</v>
      </c>
      <c r="T312" s="32"/>
      <c r="U312" s="32" t="n">
        <v>3</v>
      </c>
      <c r="V312" s="37" t="n">
        <v>3</v>
      </c>
      <c r="W312" s="32" t="n">
        <v>3</v>
      </c>
      <c r="X312" s="34"/>
      <c r="Y312" s="34" t="n">
        <v>2</v>
      </c>
      <c r="Z312" s="32" t="s">
        <v>2292</v>
      </c>
      <c r="AA312" s="32" t="s">
        <v>2293</v>
      </c>
      <c r="AB312" s="32" t="s">
        <v>2294</v>
      </c>
      <c r="AC312" s="38" t="str">
        <f aca="false">HYPERLINK("https://biocodex6--c.vf.force.com/0014L00000KFtIMQA1", "NAOURI VISCHEL MICHELE")</f>
        <v>NAOURI VISCHEL MICHELE</v>
      </c>
      <c r="AD312" s="38" t="str">
        <f aca="false">HYPERLINK("https://annuairesante.ameli.fr/professionnels-de-sante/recherche/fiche-detaillee-B7c1lzczODC7.html", "NAOURI VISCHEL MICHELE")</f>
        <v>NAOURI VISCHEL MICHELE</v>
      </c>
      <c r="AE312" s="39"/>
      <c r="AF312" s="40"/>
      <c r="AG312" s="41" t="s">
        <v>125</v>
      </c>
      <c r="AH312" s="32"/>
      <c r="AI312" s="32"/>
      <c r="AL312" s="43" t="s">
        <v>995</v>
      </c>
      <c r="AM312" s="43" t="s">
        <v>137</v>
      </c>
      <c r="AN312" s="43" t="s">
        <v>85</v>
      </c>
      <c r="AO312" s="43" t="s">
        <v>792</v>
      </c>
      <c r="AP312" s="43" t="s">
        <v>85</v>
      </c>
      <c r="AQ312" s="43" t="s">
        <v>792</v>
      </c>
      <c r="AR312" s="43" t="s">
        <v>995</v>
      </c>
      <c r="AS312" s="43" t="s">
        <v>137</v>
      </c>
      <c r="AT312" s="43" t="s">
        <v>85</v>
      </c>
      <c r="AU312" s="43" t="s">
        <v>476</v>
      </c>
      <c r="XEY312" s="27"/>
      <c r="XEZ312" s="27"/>
      <c r="XFA312" s="27"/>
      <c r="XFB312" s="27"/>
      <c r="XFC312" s="27"/>
      <c r="XFD312" s="27"/>
    </row>
    <row r="313" s="42" customFormat="true" ht="14.15" hidden="false" customHeight="true" outlineLevel="0" collapsed="false">
      <c r="A313" s="28" t="s">
        <v>2295</v>
      </c>
      <c r="B313" s="29" t="s">
        <v>495</v>
      </c>
      <c r="C313" s="29" t="s">
        <v>2296</v>
      </c>
      <c r="D313" s="30" t="s">
        <v>50</v>
      </c>
      <c r="E313" s="31"/>
      <c r="F313" s="32" t="n">
        <v>64</v>
      </c>
      <c r="G313" s="31" t="s">
        <v>98</v>
      </c>
      <c r="H313" s="31" t="n">
        <v>1</v>
      </c>
      <c r="I313" s="31" t="s">
        <v>99</v>
      </c>
      <c r="J313" s="29"/>
      <c r="K313" s="29" t="s">
        <v>2297</v>
      </c>
      <c r="L313" s="32" t="n">
        <v>11</v>
      </c>
      <c r="M313" s="33" t="s">
        <v>1002</v>
      </c>
      <c r="N313" s="34" t="n">
        <v>75015</v>
      </c>
      <c r="O313" s="35" t="s">
        <v>55</v>
      </c>
      <c r="P313" s="36" t="s">
        <v>2298</v>
      </c>
      <c r="Q313" s="36" t="n">
        <v>1</v>
      </c>
      <c r="R313" s="32" t="n">
        <v>353</v>
      </c>
      <c r="S313" s="32" t="n">
        <v>4</v>
      </c>
      <c r="T313" s="32"/>
      <c r="U313" s="32"/>
      <c r="V313" s="37"/>
      <c r="W313" s="32"/>
      <c r="X313" s="34"/>
      <c r="Y313" s="34"/>
      <c r="Z313" s="32"/>
      <c r="AA313" s="32" t="s">
        <v>2299</v>
      </c>
      <c r="AB313" s="32" t="s">
        <v>2300</v>
      </c>
      <c r="AC313" s="38" t="str">
        <f aca="false">HYPERLINK("https://biocodex6--c.vf.force.com/0014L00000KFaK1QAL", "DEROIRE FRANCK")</f>
        <v>DEROIRE FRANCK</v>
      </c>
      <c r="AD313" s="38" t="str">
        <f aca="false">HYPERLINK("https://annuairesante.ameli.fr/professionnels-de-sante/recherche/fiche-detaillee-B7c1lzE2Mjqx.html", "DEROIRE FRANCK")</f>
        <v>DEROIRE FRANCK</v>
      </c>
      <c r="AE313" s="39" t="n">
        <v>45201.3958333333</v>
      </c>
      <c r="AF313" s="40"/>
      <c r="AG313" s="41"/>
      <c r="AH313" s="32"/>
      <c r="AI313" s="32"/>
      <c r="AL313" s="43" t="s">
        <v>327</v>
      </c>
      <c r="AM313" s="43" t="s">
        <v>2301</v>
      </c>
      <c r="AN313" s="43" t="s">
        <v>263</v>
      </c>
      <c r="AO313" s="43" t="s">
        <v>2301</v>
      </c>
      <c r="AP313" s="43" t="s">
        <v>327</v>
      </c>
      <c r="AQ313" s="43" t="s">
        <v>2301</v>
      </c>
      <c r="AR313" s="43" t="s">
        <v>263</v>
      </c>
      <c r="AS313" s="43" t="s">
        <v>2301</v>
      </c>
      <c r="AT313" s="43" t="s">
        <v>327</v>
      </c>
      <c r="AU313" s="43" t="s">
        <v>2301</v>
      </c>
      <c r="XEY313" s="27"/>
      <c r="XEZ313" s="27"/>
      <c r="XFA313" s="27"/>
      <c r="XFB313" s="27"/>
      <c r="XFC313" s="27"/>
      <c r="XFD313" s="27"/>
    </row>
    <row r="314" s="42" customFormat="true" ht="14.15" hidden="false" customHeight="true" outlineLevel="0" collapsed="false">
      <c r="A314" s="28" t="s">
        <v>2302</v>
      </c>
      <c r="B314" s="29" t="s">
        <v>195</v>
      </c>
      <c r="C314" s="29" t="s">
        <v>2303</v>
      </c>
      <c r="D314" s="30" t="s">
        <v>50</v>
      </c>
      <c r="E314" s="31"/>
      <c r="F314" s="32" t="n">
        <v>71</v>
      </c>
      <c r="G314" s="31" t="s">
        <v>98</v>
      </c>
      <c r="H314" s="31" t="n">
        <v>2</v>
      </c>
      <c r="I314" s="31" t="s">
        <v>387</v>
      </c>
      <c r="J314" s="29" t="s">
        <v>1306</v>
      </c>
      <c r="K314" s="29" t="s">
        <v>1307</v>
      </c>
      <c r="L314" s="32" t="n">
        <v>11</v>
      </c>
      <c r="M314" s="33" t="s">
        <v>1308</v>
      </c>
      <c r="N314" s="34" t="n">
        <v>75016</v>
      </c>
      <c r="O314" s="35" t="s">
        <v>55</v>
      </c>
      <c r="P314" s="36" t="s">
        <v>1309</v>
      </c>
      <c r="Q314" s="36" t="n">
        <v>9</v>
      </c>
      <c r="R314" s="32" t="n">
        <v>346</v>
      </c>
      <c r="S314" s="32" t="n">
        <v>4</v>
      </c>
      <c r="T314" s="32"/>
      <c r="U314" s="32"/>
      <c r="V314" s="37"/>
      <c r="W314" s="32"/>
      <c r="X314" s="34" t="n">
        <v>1</v>
      </c>
      <c r="Y314" s="34"/>
      <c r="Z314" s="32"/>
      <c r="AA314" s="32" t="s">
        <v>2304</v>
      </c>
      <c r="AB314" s="32" t="s">
        <v>2305</v>
      </c>
      <c r="AC314" s="38" t="str">
        <f aca="false">HYPERLINK("https://biocodex6--c.vf.force.com/0014L00000KFXF5QAP", "COMBASTET PHILIPPE")</f>
        <v>COMBASTET PHILIPPE</v>
      </c>
      <c r="AD314" s="38" t="str">
        <f aca="false">HYPERLINK("https://annuairesante.ameli.fr/professionnels-de-sante/recherche/fiche-detaillee-B7c1ljAzNDC7.html", "COMBASTET PHILIPPE")</f>
        <v>COMBASTET PHILIPPE</v>
      </c>
      <c r="AE314" s="39" t="n">
        <v>45310.4375</v>
      </c>
      <c r="AF314" s="40" t="s">
        <v>2306</v>
      </c>
      <c r="AG314" s="41" t="s">
        <v>69</v>
      </c>
      <c r="AH314" s="32" t="s">
        <v>70</v>
      </c>
      <c r="AI314" s="32"/>
      <c r="AL314" s="43" t="s">
        <v>2307</v>
      </c>
      <c r="AM314" s="43" t="s">
        <v>2308</v>
      </c>
      <c r="AN314" s="43" t="s">
        <v>2307</v>
      </c>
      <c r="AO314" s="43" t="s">
        <v>2308</v>
      </c>
      <c r="AP314" s="43" t="s">
        <v>2307</v>
      </c>
      <c r="AQ314" s="43" t="s">
        <v>2308</v>
      </c>
      <c r="AR314" s="43" t="s">
        <v>2307</v>
      </c>
      <c r="AS314" s="32"/>
      <c r="AT314" s="43" t="s">
        <v>2307</v>
      </c>
      <c r="AU314" s="43" t="s">
        <v>2308</v>
      </c>
      <c r="XEY314" s="27"/>
      <c r="XEZ314" s="27"/>
      <c r="XFA314" s="27"/>
      <c r="XFB314" s="27"/>
      <c r="XFC314" s="27"/>
      <c r="XFD314" s="27"/>
    </row>
    <row r="315" s="42" customFormat="true" ht="14.15" hidden="false" customHeight="true" outlineLevel="0" collapsed="false">
      <c r="A315" s="28" t="s">
        <v>2309</v>
      </c>
      <c r="B315" s="29" t="s">
        <v>958</v>
      </c>
      <c r="C315" s="29" t="s">
        <v>2310</v>
      </c>
      <c r="D315" s="30" t="s">
        <v>50</v>
      </c>
      <c r="E315" s="30" t="s">
        <v>796</v>
      </c>
      <c r="F315" s="32" t="n">
        <v>60</v>
      </c>
      <c r="G315" s="31" t="s">
        <v>98</v>
      </c>
      <c r="H315" s="31" t="n">
        <v>1</v>
      </c>
      <c r="I315" s="31" t="s">
        <v>435</v>
      </c>
      <c r="J315" s="29"/>
      <c r="K315" s="29" t="s">
        <v>2311</v>
      </c>
      <c r="L315" s="32" t="n">
        <v>20</v>
      </c>
      <c r="M315" s="33" t="s">
        <v>2312</v>
      </c>
      <c r="N315" s="34" t="n">
        <v>75016</v>
      </c>
      <c r="O315" s="35" t="s">
        <v>55</v>
      </c>
      <c r="P315" s="36" t="s">
        <v>2313</v>
      </c>
      <c r="Q315" s="36" t="n">
        <v>1</v>
      </c>
      <c r="R315" s="32" t="n">
        <v>345</v>
      </c>
      <c r="S315" s="32" t="n">
        <v>4</v>
      </c>
      <c r="T315" s="32"/>
      <c r="U315" s="32"/>
      <c r="V315" s="37"/>
      <c r="W315" s="32"/>
      <c r="X315" s="34"/>
      <c r="Y315" s="34"/>
      <c r="Z315" s="32"/>
      <c r="AA315" s="32" t="s">
        <v>2314</v>
      </c>
      <c r="AB315" s="32" t="s">
        <v>2315</v>
      </c>
      <c r="AC315" s="38" t="str">
        <f aca="false">HYPERLINK("https://biocodex6--c.vf.force.com/0014L00000KFuztQAD", "AUDEBERT PATRICK")</f>
        <v>AUDEBERT PATRICK</v>
      </c>
      <c r="AD315" s="38" t="str">
        <f aca="false">HYPERLINK("https://annuairesante.ameli.fr/professionnels-de-sante/recherche/fiche-detaillee-B7c1lDMzMzaw.html", "AUDEBERT PATRICK")</f>
        <v>AUDEBERT PATRICK</v>
      </c>
      <c r="AE315" s="39"/>
      <c r="AF315" s="40"/>
      <c r="AG315" s="41"/>
      <c r="AH315" s="32"/>
      <c r="AI315" s="32" t="s">
        <v>71</v>
      </c>
      <c r="AL315" s="43" t="s">
        <v>657</v>
      </c>
      <c r="AM315" s="43" t="s">
        <v>661</v>
      </c>
      <c r="AN315" s="43" t="s">
        <v>657</v>
      </c>
      <c r="AO315" s="43" t="s">
        <v>661</v>
      </c>
      <c r="AP315" s="43" t="s">
        <v>657</v>
      </c>
      <c r="AQ315" s="43" t="s">
        <v>661</v>
      </c>
      <c r="AR315" s="43" t="s">
        <v>657</v>
      </c>
      <c r="AS315" s="43" t="s">
        <v>661</v>
      </c>
      <c r="AT315" s="43" t="s">
        <v>657</v>
      </c>
      <c r="AU315" s="43" t="s">
        <v>661</v>
      </c>
      <c r="XEY315" s="27"/>
      <c r="XEZ315" s="27"/>
      <c r="XFA315" s="27"/>
      <c r="XFB315" s="27"/>
      <c r="XFC315" s="27"/>
      <c r="XFD315" s="27"/>
    </row>
    <row r="316" s="42" customFormat="true" ht="14.15" hidden="false" customHeight="true" outlineLevel="0" collapsed="false">
      <c r="A316" s="28" t="s">
        <v>2316</v>
      </c>
      <c r="B316" s="29" t="s">
        <v>1584</v>
      </c>
      <c r="C316" s="29" t="s">
        <v>2317</v>
      </c>
      <c r="D316" s="30" t="s">
        <v>112</v>
      </c>
      <c r="E316" s="31"/>
      <c r="F316" s="32" t="n">
        <v>68</v>
      </c>
      <c r="G316" s="31"/>
      <c r="H316" s="31" t="n">
        <v>1</v>
      </c>
      <c r="I316" s="31" t="s">
        <v>51</v>
      </c>
      <c r="J316" s="29" t="s">
        <v>850</v>
      </c>
      <c r="K316" s="29" t="s">
        <v>851</v>
      </c>
      <c r="L316" s="32" t="n">
        <v>178</v>
      </c>
      <c r="M316" s="33" t="s">
        <v>852</v>
      </c>
      <c r="N316" s="34" t="n">
        <v>75015</v>
      </c>
      <c r="O316" s="35" t="s">
        <v>55</v>
      </c>
      <c r="P316" s="36" t="s">
        <v>853</v>
      </c>
      <c r="Q316" s="36" t="n">
        <v>24</v>
      </c>
      <c r="R316" s="32" t="n">
        <v>336</v>
      </c>
      <c r="S316" s="32" t="n">
        <v>4</v>
      </c>
      <c r="T316" s="32"/>
      <c r="U316" s="32" t="n">
        <v>3</v>
      </c>
      <c r="V316" s="37" t="n">
        <v>3</v>
      </c>
      <c r="W316" s="32" t="n">
        <v>3</v>
      </c>
      <c r="X316" s="34"/>
      <c r="Y316" s="34" t="n">
        <v>2</v>
      </c>
      <c r="Z316" s="32"/>
      <c r="AA316" s="32" t="s">
        <v>2318</v>
      </c>
      <c r="AB316" s="32"/>
      <c r="AC316" s="38" t="str">
        <f aca="false">HYPERLINK("https://biocodex6--c.vf.force.com/0014L00000KFXctQAH", "COSTE LAURENCE")</f>
        <v>COSTE LAURENCE</v>
      </c>
      <c r="AD316" s="38"/>
      <c r="AE316" s="39" t="n">
        <v>45357.4375</v>
      </c>
      <c r="AF316" s="40" t="s">
        <v>2319</v>
      </c>
      <c r="AG316" s="41"/>
      <c r="AH316" s="32"/>
      <c r="AI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XEY316" s="27"/>
      <c r="XEZ316" s="27"/>
      <c r="XFA316" s="27"/>
      <c r="XFB316" s="27"/>
      <c r="XFC316" s="27"/>
      <c r="XFD316" s="27"/>
    </row>
    <row r="317" s="42" customFormat="true" ht="14.15" hidden="false" customHeight="true" outlineLevel="0" collapsed="false">
      <c r="A317" s="28" t="s">
        <v>2320</v>
      </c>
      <c r="B317" s="29" t="s">
        <v>2321</v>
      </c>
      <c r="C317" s="29" t="s">
        <v>2322</v>
      </c>
      <c r="D317" s="30" t="s">
        <v>75</v>
      </c>
      <c r="E317" s="31"/>
      <c r="F317" s="32" t="n">
        <v>56</v>
      </c>
      <c r="G317" s="31" t="s">
        <v>215</v>
      </c>
      <c r="H317" s="31" t="n">
        <v>2</v>
      </c>
      <c r="I317" s="31" t="s">
        <v>99</v>
      </c>
      <c r="J317" s="29"/>
      <c r="K317" s="29" t="s">
        <v>2323</v>
      </c>
      <c r="L317" s="32" t="n">
        <v>50</v>
      </c>
      <c r="M317" s="33" t="s">
        <v>2324</v>
      </c>
      <c r="N317" s="34" t="n">
        <v>75015</v>
      </c>
      <c r="O317" s="35" t="s">
        <v>55</v>
      </c>
      <c r="P317" s="36" t="s">
        <v>2325</v>
      </c>
      <c r="Q317" s="36" t="n">
        <v>1</v>
      </c>
      <c r="R317" s="32" t="n">
        <v>333</v>
      </c>
      <c r="S317" s="32" t="n">
        <v>4</v>
      </c>
      <c r="T317" s="32"/>
      <c r="U317" s="32" t="n">
        <v>3</v>
      </c>
      <c r="V317" s="37"/>
      <c r="W317" s="32" t="n">
        <v>3</v>
      </c>
      <c r="X317" s="34"/>
      <c r="Y317" s="34" t="n">
        <v>3</v>
      </c>
      <c r="Z317" s="32"/>
      <c r="AA317" s="32" t="s">
        <v>2326</v>
      </c>
      <c r="AB317" s="32" t="s">
        <v>2327</v>
      </c>
      <c r="AC317" s="38" t="str">
        <f aca="false">HYPERLINK("https://biocodex6--c.vf.force.com/0014L00000KFbB1QAL", "FLOBERT CHRISTELLE")</f>
        <v>FLOBERT CHRISTELLE</v>
      </c>
      <c r="AD317" s="38" t="str">
        <f aca="false">HYPERLINK("https://annuairesante.ameli.fr/professionnels-de-sante/recherche/fiche-detaillee-B7c1lDA3NzSx.html", "FLOBERT CHRISTELLE")</f>
        <v>FLOBERT CHRISTELLE</v>
      </c>
      <c r="AE317" s="39"/>
      <c r="AF317" s="40"/>
      <c r="AG317" s="41"/>
      <c r="AH317" s="32"/>
      <c r="AI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XEY317" s="27"/>
      <c r="XEZ317" s="27"/>
      <c r="XFA317" s="27"/>
      <c r="XFB317" s="27"/>
      <c r="XFC317" s="27"/>
      <c r="XFD317" s="27"/>
    </row>
    <row r="318" s="42" customFormat="true" ht="14.15" hidden="false" customHeight="true" outlineLevel="0" collapsed="false">
      <c r="A318" s="28" t="s">
        <v>2328</v>
      </c>
      <c r="B318" s="29" t="s">
        <v>2329</v>
      </c>
      <c r="C318" s="29" t="s">
        <v>2330</v>
      </c>
      <c r="D318" s="30" t="s">
        <v>50</v>
      </c>
      <c r="E318" s="31"/>
      <c r="F318" s="32" t="n">
        <v>53</v>
      </c>
      <c r="G318" s="31" t="s">
        <v>98</v>
      </c>
      <c r="H318" s="31" t="n">
        <v>2</v>
      </c>
      <c r="I318" s="31" t="s">
        <v>387</v>
      </c>
      <c r="J318" s="29" t="s">
        <v>1306</v>
      </c>
      <c r="K318" s="29" t="s">
        <v>1307</v>
      </c>
      <c r="L318" s="32" t="n">
        <v>11</v>
      </c>
      <c r="M318" s="33" t="s">
        <v>1308</v>
      </c>
      <c r="N318" s="34" t="n">
        <v>75016</v>
      </c>
      <c r="O318" s="35" t="s">
        <v>55</v>
      </c>
      <c r="P318" s="36" t="s">
        <v>1309</v>
      </c>
      <c r="Q318" s="36" t="n">
        <v>9</v>
      </c>
      <c r="R318" s="32" t="n">
        <v>326</v>
      </c>
      <c r="S318" s="32" t="n">
        <v>4</v>
      </c>
      <c r="T318" s="32"/>
      <c r="U318" s="32"/>
      <c r="V318" s="37"/>
      <c r="W318" s="32"/>
      <c r="X318" s="34" t="n">
        <v>2</v>
      </c>
      <c r="Y318" s="34"/>
      <c r="Z318" s="32"/>
      <c r="AA318" s="32" t="s">
        <v>2331</v>
      </c>
      <c r="AB318" s="32" t="s">
        <v>2332</v>
      </c>
      <c r="AC318" s="38" t="str">
        <f aca="false">HYPERLINK("https://biocodex6--c.vf.force.com/0014L00000KFPFcQAP", "ECLANCHER WILLIAM")</f>
        <v>ECLANCHER WILLIAM</v>
      </c>
      <c r="AD318" s="38" t="str">
        <f aca="false">HYPERLINK("https://annuairesante.ameli.fr/professionnels-de-sante/recherche/fiche-detaillee-B7c1mzE0ODO6.html", "ECLANCHER WILLIAM")</f>
        <v>ECLANCHER WILLIAM</v>
      </c>
      <c r="AE318" s="39" t="n">
        <v>45310.5</v>
      </c>
      <c r="AF318" s="40" t="s">
        <v>2333</v>
      </c>
      <c r="AG318" s="41" t="s">
        <v>69</v>
      </c>
      <c r="AH318" s="32" t="s">
        <v>70</v>
      </c>
      <c r="AI318" s="32"/>
      <c r="AL318" s="43" t="s">
        <v>338</v>
      </c>
      <c r="AM318" s="43" t="s">
        <v>661</v>
      </c>
      <c r="AN318" s="43" t="s">
        <v>338</v>
      </c>
      <c r="AO318" s="43" t="s">
        <v>661</v>
      </c>
      <c r="AP318" s="43" t="s">
        <v>338</v>
      </c>
      <c r="AQ318" s="43" t="s">
        <v>476</v>
      </c>
      <c r="AR318" s="43" t="s">
        <v>338</v>
      </c>
      <c r="AS318" s="32"/>
      <c r="AT318" s="32"/>
      <c r="AU318" s="43" t="s">
        <v>661</v>
      </c>
      <c r="XEY318" s="27"/>
      <c r="XEZ318" s="27"/>
      <c r="XFA318" s="27"/>
      <c r="XFB318" s="27"/>
      <c r="XFC318" s="27"/>
      <c r="XFD318" s="27"/>
    </row>
    <row r="319" s="42" customFormat="true" ht="14.15" hidden="false" customHeight="true" outlineLevel="0" collapsed="false">
      <c r="A319" s="28" t="s">
        <v>2334</v>
      </c>
      <c r="B319" s="29" t="s">
        <v>151</v>
      </c>
      <c r="C319" s="29" t="s">
        <v>2335</v>
      </c>
      <c r="D319" s="30" t="s">
        <v>50</v>
      </c>
      <c r="E319" s="31"/>
      <c r="F319" s="32" t="n">
        <v>59</v>
      </c>
      <c r="G319" s="31" t="s">
        <v>98</v>
      </c>
      <c r="H319" s="31" t="n">
        <v>1</v>
      </c>
      <c r="I319" s="31" t="s">
        <v>435</v>
      </c>
      <c r="J319" s="29"/>
      <c r="K319" s="29" t="s">
        <v>2336</v>
      </c>
      <c r="L319" s="32" t="n">
        <v>41</v>
      </c>
      <c r="M319" s="33" t="s">
        <v>2337</v>
      </c>
      <c r="N319" s="34" t="n">
        <v>75016</v>
      </c>
      <c r="O319" s="35" t="s">
        <v>55</v>
      </c>
      <c r="P319" s="36" t="s">
        <v>2338</v>
      </c>
      <c r="Q319" s="36" t="n">
        <v>2</v>
      </c>
      <c r="R319" s="32" t="n">
        <v>312</v>
      </c>
      <c r="S319" s="32" t="n">
        <v>4</v>
      </c>
      <c r="T319" s="32"/>
      <c r="U319" s="32" t="n">
        <v>3</v>
      </c>
      <c r="V319" s="37"/>
      <c r="W319" s="32" t="n">
        <v>3</v>
      </c>
      <c r="X319" s="34" t="n">
        <v>1</v>
      </c>
      <c r="Y319" s="34" t="n">
        <v>2</v>
      </c>
      <c r="Z319" s="32"/>
      <c r="AA319" s="32" t="s">
        <v>2339</v>
      </c>
      <c r="AB319" s="32" t="s">
        <v>2340</v>
      </c>
      <c r="AC319" s="38" t="str">
        <f aca="false">HYPERLINK("https://biocodex6--c.vf.force.com/0014L00000KFSmaQAH", "BENAIM FREDERIC")</f>
        <v>BENAIM FREDERIC</v>
      </c>
      <c r="AD319" s="38" t="str">
        <f aca="false">HYPERLINK("https://annuairesante.ameli.fr/professionnels-de-sante/recherche/fiche-detaillee-B7c1lDM0MTK3.html", "BENAIM FREDERIC")</f>
        <v>BENAIM FREDERIC</v>
      </c>
      <c r="AE319" s="39" t="n">
        <v>45433.5625</v>
      </c>
      <c r="AF319" s="40" t="s">
        <v>2341</v>
      </c>
      <c r="AG319" s="41" t="s">
        <v>69</v>
      </c>
      <c r="AH319" s="32" t="s">
        <v>70</v>
      </c>
      <c r="AI319" s="32" t="s">
        <v>71</v>
      </c>
      <c r="AL319" s="32"/>
      <c r="AM319" s="43" t="s">
        <v>2342</v>
      </c>
      <c r="AN319" s="32"/>
      <c r="AO319" s="43" t="s">
        <v>2342</v>
      </c>
      <c r="AP319" s="32"/>
      <c r="AQ319" s="43" t="s">
        <v>2342</v>
      </c>
      <c r="AR319" s="32"/>
      <c r="AS319" s="43" t="s">
        <v>2342</v>
      </c>
      <c r="AT319" s="32"/>
      <c r="AU319" s="43" t="s">
        <v>2342</v>
      </c>
      <c r="XEY319" s="27"/>
      <c r="XEZ319" s="27"/>
      <c r="XFA319" s="27"/>
      <c r="XFB319" s="27"/>
      <c r="XFC319" s="27"/>
      <c r="XFD319" s="27"/>
    </row>
    <row r="320" s="42" customFormat="true" ht="14.15" hidden="false" customHeight="true" outlineLevel="0" collapsed="false">
      <c r="A320" s="28" t="s">
        <v>2343</v>
      </c>
      <c r="B320" s="29" t="s">
        <v>2344</v>
      </c>
      <c r="C320" s="29" t="s">
        <v>2345</v>
      </c>
      <c r="D320" s="30" t="s">
        <v>244</v>
      </c>
      <c r="E320" s="30" t="s">
        <v>245</v>
      </c>
      <c r="F320" s="32" t="n">
        <v>44</v>
      </c>
      <c r="G320" s="31" t="s">
        <v>215</v>
      </c>
      <c r="H320" s="31" t="n">
        <v>3</v>
      </c>
      <c r="I320" s="31" t="s">
        <v>62</v>
      </c>
      <c r="J320" s="29"/>
      <c r="K320" s="29" t="s">
        <v>2346</v>
      </c>
      <c r="L320" s="32" t="n">
        <v>2</v>
      </c>
      <c r="M320" s="33" t="s">
        <v>2347</v>
      </c>
      <c r="N320" s="34" t="n">
        <v>75017</v>
      </c>
      <c r="O320" s="35" t="s">
        <v>55</v>
      </c>
      <c r="P320" s="36" t="s">
        <v>2348</v>
      </c>
      <c r="Q320" s="36" t="n">
        <v>4</v>
      </c>
      <c r="R320" s="32" t="n">
        <v>310</v>
      </c>
      <c r="S320" s="32" t="n">
        <v>4</v>
      </c>
      <c r="T320" s="32"/>
      <c r="U320" s="32" t="n">
        <v>3</v>
      </c>
      <c r="V320" s="37" t="n">
        <v>3</v>
      </c>
      <c r="W320" s="32" t="n">
        <v>3</v>
      </c>
      <c r="X320" s="34"/>
      <c r="Y320" s="34" t="n">
        <v>2</v>
      </c>
      <c r="Z320" s="32" t="s">
        <v>2349</v>
      </c>
      <c r="AA320" s="32" t="s">
        <v>2350</v>
      </c>
      <c r="AB320" s="32" t="s">
        <v>2351</v>
      </c>
      <c r="AC320" s="38" t="str">
        <f aca="false">HYPERLINK("https://biocodex6--c.vf.force.com/0014L00000KFVIzQAP", "BRZAKOWSKI MELANIE")</f>
        <v>BRZAKOWSKI MELANIE</v>
      </c>
      <c r="AD320" s="38" t="str">
        <f aca="false">HYPERLINK("https://annuairesante.ameli.fr/professionnels-de-sante/recherche/fiche-detaillee-B7c1lTE2NDSz.html", "BRZAKOWSKI MELANIE")</f>
        <v>BRZAKOWSKI MELANIE</v>
      </c>
      <c r="AE320" s="39"/>
      <c r="AF320" s="40"/>
      <c r="AG320" s="41" t="s">
        <v>125</v>
      </c>
      <c r="AH320" s="32"/>
      <c r="AI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XEY320" s="27"/>
      <c r="XEZ320" s="27"/>
      <c r="XFA320" s="27"/>
      <c r="XFB320" s="27"/>
      <c r="XFC320" s="27"/>
      <c r="XFD320" s="27"/>
    </row>
    <row r="321" s="42" customFormat="true" ht="14.15" hidden="false" customHeight="true" outlineLevel="0" collapsed="false">
      <c r="A321" s="28" t="s">
        <v>2352</v>
      </c>
      <c r="B321" s="29" t="s">
        <v>1766</v>
      </c>
      <c r="C321" s="29" t="s">
        <v>2353</v>
      </c>
      <c r="D321" s="30" t="s">
        <v>268</v>
      </c>
      <c r="E321" s="30" t="s">
        <v>172</v>
      </c>
      <c r="F321" s="32" t="n">
        <v>82</v>
      </c>
      <c r="G321" s="31"/>
      <c r="H321" s="31" t="n">
        <v>1</v>
      </c>
      <c r="I321" s="31" t="s">
        <v>197</v>
      </c>
      <c r="J321" s="29"/>
      <c r="K321" s="29" t="s">
        <v>2354</v>
      </c>
      <c r="L321" s="32" t="n">
        <v>16</v>
      </c>
      <c r="M321" s="33" t="s">
        <v>2355</v>
      </c>
      <c r="N321" s="34" t="n">
        <v>75017</v>
      </c>
      <c r="O321" s="35" t="s">
        <v>55</v>
      </c>
      <c r="P321" s="36" t="s">
        <v>2356</v>
      </c>
      <c r="Q321" s="36" t="n">
        <v>1</v>
      </c>
      <c r="R321" s="32" t="n">
        <v>305</v>
      </c>
      <c r="S321" s="32" t="n">
        <v>4</v>
      </c>
      <c r="T321" s="32"/>
      <c r="U321" s="32"/>
      <c r="V321" s="37"/>
      <c r="W321" s="32"/>
      <c r="X321" s="34"/>
      <c r="Y321" s="34"/>
      <c r="Z321" s="32"/>
      <c r="AA321" s="32" t="s">
        <v>2357</v>
      </c>
      <c r="AB321" s="32" t="s">
        <v>2358</v>
      </c>
      <c r="AC321" s="38" t="str">
        <f aca="false">HYPERLINK("https://biocodex6--c.vf.force.com/0014L00000KFWNOQA5", "CHEDRU FRANCOIS")</f>
        <v>CHEDRU FRANCOIS</v>
      </c>
      <c r="AD321" s="38" t="str">
        <f aca="false">HYPERLINK("https://annuairesante.ameli.fr/professionnels-de-sante/recherche/fiche-detaillee-B7c1mzEwNzaw.html", "CHEDRU FRANCOIS")</f>
        <v>CHEDRU FRANCOIS</v>
      </c>
      <c r="AE321" s="39"/>
      <c r="AF321" s="40"/>
      <c r="AG321" s="41"/>
      <c r="AH321" s="32"/>
      <c r="AI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XEY321" s="27"/>
      <c r="XEZ321" s="27"/>
      <c r="XFA321" s="27"/>
      <c r="XFB321" s="27"/>
      <c r="XFC321" s="27"/>
      <c r="XFD321" s="27"/>
    </row>
    <row r="322" s="42" customFormat="true" ht="14.15" hidden="false" customHeight="true" outlineLevel="0" collapsed="false">
      <c r="A322" s="28" t="s">
        <v>2359</v>
      </c>
      <c r="B322" s="29" t="s">
        <v>195</v>
      </c>
      <c r="C322" s="29" t="s">
        <v>2360</v>
      </c>
      <c r="D322" s="30" t="s">
        <v>75</v>
      </c>
      <c r="E322" s="31"/>
      <c r="F322" s="32" t="n">
        <v>68</v>
      </c>
      <c r="G322" s="31" t="s">
        <v>215</v>
      </c>
      <c r="H322" s="31" t="n">
        <v>2</v>
      </c>
      <c r="I322" s="46" t="s">
        <v>119</v>
      </c>
      <c r="J322" s="29" t="s">
        <v>2361</v>
      </c>
      <c r="K322" s="29" t="s">
        <v>2362</v>
      </c>
      <c r="L322" s="32" t="n">
        <v>41</v>
      </c>
      <c r="M322" s="33" t="s">
        <v>2363</v>
      </c>
      <c r="N322" s="34" t="n">
        <v>75007</v>
      </c>
      <c r="O322" s="35" t="s">
        <v>55</v>
      </c>
      <c r="P322" s="36" t="s">
        <v>2364</v>
      </c>
      <c r="Q322" s="36" t="n">
        <v>5</v>
      </c>
      <c r="R322" s="32" t="n">
        <v>303</v>
      </c>
      <c r="S322" s="32" t="n">
        <v>4</v>
      </c>
      <c r="T322" s="32"/>
      <c r="U322" s="32" t="n">
        <v>3</v>
      </c>
      <c r="V322" s="37"/>
      <c r="W322" s="32" t="n">
        <v>3</v>
      </c>
      <c r="X322" s="34"/>
      <c r="Y322" s="34"/>
      <c r="Z322" s="32"/>
      <c r="AA322" s="32" t="s">
        <v>2365</v>
      </c>
      <c r="AB322" s="32" t="s">
        <v>2366</v>
      </c>
      <c r="AC322" s="38" t="str">
        <f aca="false">HYPERLINK("https://biocodex6--c.vf.force.com/0014L00000KFQNLQA5", "AMOYAL PHILIPPE")</f>
        <v>AMOYAL PHILIPPE</v>
      </c>
      <c r="AD322" s="38" t="str">
        <f aca="false">HYPERLINK("https://annuairesante.ameli.fr/professionnels-de-sante/recherche/fiche-detaillee-B7c1mzE2Mzax.html", "AMOYAL PHILIPPE")</f>
        <v>AMOYAL PHILIPPE</v>
      </c>
      <c r="AE322" s="39"/>
      <c r="AF322" s="40"/>
      <c r="AG322" s="41"/>
      <c r="AH322" s="32"/>
      <c r="AI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XEY322" s="27"/>
      <c r="XEZ322" s="27"/>
      <c r="XFA322" s="27"/>
      <c r="XFB322" s="27"/>
      <c r="XFC322" s="27"/>
      <c r="XFD322" s="27"/>
    </row>
    <row r="323" s="42" customFormat="true" ht="14.15" hidden="false" customHeight="true" outlineLevel="0" collapsed="false">
      <c r="A323" s="28" t="s">
        <v>2367</v>
      </c>
      <c r="B323" s="29" t="s">
        <v>2081</v>
      </c>
      <c r="C323" s="29" t="s">
        <v>2368</v>
      </c>
      <c r="D323" s="30" t="s">
        <v>50</v>
      </c>
      <c r="E323" s="30" t="s">
        <v>244</v>
      </c>
      <c r="F323" s="32" t="n">
        <v>56</v>
      </c>
      <c r="G323" s="31" t="s">
        <v>98</v>
      </c>
      <c r="H323" s="31" t="n">
        <v>1</v>
      </c>
      <c r="I323" s="31" t="s">
        <v>99</v>
      </c>
      <c r="J323" s="29"/>
      <c r="K323" s="29" t="s">
        <v>2369</v>
      </c>
      <c r="L323" s="32" t="n">
        <v>18</v>
      </c>
      <c r="M323" s="33" t="s">
        <v>2370</v>
      </c>
      <c r="N323" s="34" t="n">
        <v>75015</v>
      </c>
      <c r="O323" s="35" t="s">
        <v>55</v>
      </c>
      <c r="P323" s="36" t="s">
        <v>2371</v>
      </c>
      <c r="Q323" s="36" t="n">
        <v>1</v>
      </c>
      <c r="R323" s="32" t="n">
        <v>301</v>
      </c>
      <c r="S323" s="32" t="n">
        <v>4</v>
      </c>
      <c r="T323" s="32"/>
      <c r="U323" s="32"/>
      <c r="V323" s="37"/>
      <c r="W323" s="32"/>
      <c r="X323" s="34"/>
      <c r="Y323" s="34" t="n">
        <v>1</v>
      </c>
      <c r="Z323" s="32"/>
      <c r="AA323" s="32" t="s">
        <v>2372</v>
      </c>
      <c r="AB323" s="32" t="s">
        <v>2373</v>
      </c>
      <c r="AC323" s="38" t="str">
        <f aca="false">HYPERLINK("https://biocodex6--c.vf.force.com/0014L00000KFtFsQAL", "MUSSUTO PATRICIA")</f>
        <v>MUSSUTO PATRICIA</v>
      </c>
      <c r="AD323" s="38" t="str">
        <f aca="false">HYPERLINK("https://annuairesante.ameli.fr/professionnels-de-sante/recherche/fiche-detaillee-B7c1lDMyNTe3.html", "MUSSUTO PATRICIA")</f>
        <v>MUSSUTO PATRICIA</v>
      </c>
      <c r="AE323" s="39"/>
      <c r="AF323" s="40"/>
      <c r="AG323" s="41"/>
      <c r="AH323" s="32"/>
      <c r="AI323" s="32"/>
      <c r="AL323" s="43" t="s">
        <v>508</v>
      </c>
      <c r="AM323" s="43" t="s">
        <v>2374</v>
      </c>
      <c r="AN323" s="43" t="s">
        <v>508</v>
      </c>
      <c r="AO323" s="43" t="s">
        <v>2374</v>
      </c>
      <c r="AP323" s="43" t="s">
        <v>508</v>
      </c>
      <c r="AQ323" s="43" t="s">
        <v>2374</v>
      </c>
      <c r="AR323" s="43" t="s">
        <v>508</v>
      </c>
      <c r="AS323" s="43" t="s">
        <v>2374</v>
      </c>
      <c r="AT323" s="43" t="s">
        <v>508</v>
      </c>
      <c r="AU323" s="43" t="s">
        <v>2375</v>
      </c>
      <c r="XEY323" s="27"/>
      <c r="XEZ323" s="27"/>
      <c r="XFA323" s="27"/>
      <c r="XFB323" s="27"/>
      <c r="XFC323" s="27"/>
      <c r="XFD323" s="27"/>
    </row>
    <row r="324" s="42" customFormat="true" ht="14.15" hidden="false" customHeight="true" outlineLevel="0" collapsed="false">
      <c r="A324" s="28" t="s">
        <v>2223</v>
      </c>
      <c r="B324" s="29" t="s">
        <v>231</v>
      </c>
      <c r="C324" s="29" t="s">
        <v>2376</v>
      </c>
      <c r="D324" s="30" t="s">
        <v>244</v>
      </c>
      <c r="E324" s="30" t="s">
        <v>245</v>
      </c>
      <c r="F324" s="32" t="n">
        <v>63</v>
      </c>
      <c r="G324" s="31" t="s">
        <v>215</v>
      </c>
      <c r="H324" s="31" t="n">
        <v>1</v>
      </c>
      <c r="I324" s="31" t="s">
        <v>62</v>
      </c>
      <c r="J324" s="29"/>
      <c r="K324" s="29" t="s">
        <v>2377</v>
      </c>
      <c r="L324" s="32" t="n">
        <v>4</v>
      </c>
      <c r="M324" s="33" t="s">
        <v>2378</v>
      </c>
      <c r="N324" s="34" t="n">
        <v>75017</v>
      </c>
      <c r="O324" s="35" t="s">
        <v>55</v>
      </c>
      <c r="P324" s="36" t="s">
        <v>2379</v>
      </c>
      <c r="Q324" s="36" t="n">
        <v>1</v>
      </c>
      <c r="R324" s="32" t="n">
        <v>298</v>
      </c>
      <c r="S324" s="32" t="n">
        <v>4</v>
      </c>
      <c r="T324" s="32"/>
      <c r="U324" s="32" t="n">
        <v>3</v>
      </c>
      <c r="V324" s="37" t="n">
        <v>3</v>
      </c>
      <c r="W324" s="32" t="n">
        <v>3</v>
      </c>
      <c r="X324" s="34"/>
      <c r="Y324" s="34" t="n">
        <v>3</v>
      </c>
      <c r="Z324" s="32" t="s">
        <v>2380</v>
      </c>
      <c r="AA324" s="32" t="s">
        <v>2381</v>
      </c>
      <c r="AB324" s="32" t="s">
        <v>2382</v>
      </c>
      <c r="AC324" s="38" t="str">
        <f aca="false">HYPERLINK("https://biocodex6--c.vf.force.com/0014L00000KFbDrQAL", "DOUCHET ANNE")</f>
        <v>DOUCHET ANNE</v>
      </c>
      <c r="AD324" s="38" t="str">
        <f aca="false">HYPERLINK("https://annuairesante.ameli.fr/professionnels-de-sante/recherche/fiche-detaillee-B7c1lzY3Mjey.html", "DOUCHET ANNE")</f>
        <v>DOUCHET ANNE</v>
      </c>
      <c r="AE324" s="39" t="n">
        <v>45216.6458333333</v>
      </c>
      <c r="AF324" s="40" t="s">
        <v>2383</v>
      </c>
      <c r="AG324" s="41"/>
      <c r="AH324" s="32"/>
      <c r="AI324" s="32" t="s">
        <v>71</v>
      </c>
      <c r="AL324" s="43" t="s">
        <v>657</v>
      </c>
      <c r="AM324" s="32"/>
      <c r="AN324" s="43" t="s">
        <v>657</v>
      </c>
      <c r="AO324" s="43" t="s">
        <v>661</v>
      </c>
      <c r="AP324" s="43" t="s">
        <v>995</v>
      </c>
      <c r="AQ324" s="43" t="s">
        <v>137</v>
      </c>
      <c r="AR324" s="43" t="s">
        <v>657</v>
      </c>
      <c r="AS324" s="43" t="s">
        <v>661</v>
      </c>
      <c r="AT324" s="32"/>
      <c r="AU324" s="32"/>
      <c r="XEY324" s="27"/>
      <c r="XEZ324" s="27"/>
      <c r="XFA324" s="27"/>
      <c r="XFB324" s="27"/>
      <c r="XFC324" s="27"/>
      <c r="XFD324" s="27"/>
    </row>
    <row r="325" s="42" customFormat="true" ht="14.15" hidden="false" customHeight="true" outlineLevel="0" collapsed="false">
      <c r="A325" s="28" t="s">
        <v>2384</v>
      </c>
      <c r="B325" s="29" t="s">
        <v>811</v>
      </c>
      <c r="C325" s="29" t="s">
        <v>2385</v>
      </c>
      <c r="D325" s="30" t="s">
        <v>50</v>
      </c>
      <c r="E325" s="31"/>
      <c r="F325" s="32" t="n">
        <v>53</v>
      </c>
      <c r="G325" s="31" t="s">
        <v>98</v>
      </c>
      <c r="H325" s="31" t="n">
        <v>1</v>
      </c>
      <c r="I325" s="31" t="s">
        <v>99</v>
      </c>
      <c r="J325" s="29"/>
      <c r="K325" s="29" t="s">
        <v>2386</v>
      </c>
      <c r="L325" s="32" t="n">
        <v>204</v>
      </c>
      <c r="M325" s="33" t="s">
        <v>2387</v>
      </c>
      <c r="N325" s="34" t="n">
        <v>75015</v>
      </c>
      <c r="O325" s="35" t="s">
        <v>55</v>
      </c>
      <c r="P325" s="36" t="s">
        <v>2388</v>
      </c>
      <c r="Q325" s="36" t="n">
        <v>1</v>
      </c>
      <c r="R325" s="32" t="n">
        <v>297</v>
      </c>
      <c r="S325" s="32" t="n">
        <v>4</v>
      </c>
      <c r="T325" s="32"/>
      <c r="U325" s="32"/>
      <c r="V325" s="37"/>
      <c r="W325" s="32"/>
      <c r="X325" s="34"/>
      <c r="Y325" s="34"/>
      <c r="Z325" s="32"/>
      <c r="AA325" s="32" t="s">
        <v>2389</v>
      </c>
      <c r="AB325" s="32" t="s">
        <v>2390</v>
      </c>
      <c r="AC325" s="38" t="str">
        <f aca="false">HYPERLINK("https://biocodex6--c.vf.force.com/0014L00000KFVyJQAX", "BOURGUIGNON VARTANIAN VERONIQUE")</f>
        <v>BOURGUIGNON VARTANIAN VERONIQUE</v>
      </c>
      <c r="AD325" s="38" t="str">
        <f aca="false">HYPERLINK("https://annuairesante.ameli.fr/professionnels-de-sante/recherche/fiche-detaillee-B7c1lDQxMjKy.html", "BOURGUIGNON VARTANIAN VERONIQUE")</f>
        <v>BOURGUIGNON VARTANIAN VERONIQUE</v>
      </c>
      <c r="AE325" s="39"/>
      <c r="AF325" s="40"/>
      <c r="AG325" s="41"/>
      <c r="AH325" s="32"/>
      <c r="AI325" s="32"/>
      <c r="AL325" s="43" t="s">
        <v>657</v>
      </c>
      <c r="AM325" s="43" t="s">
        <v>137</v>
      </c>
      <c r="AN325" s="43" t="s">
        <v>657</v>
      </c>
      <c r="AO325" s="43" t="s">
        <v>137</v>
      </c>
      <c r="AP325" s="43" t="s">
        <v>657</v>
      </c>
      <c r="AQ325" s="43" t="s">
        <v>137</v>
      </c>
      <c r="AR325" s="43" t="s">
        <v>657</v>
      </c>
      <c r="AS325" s="43" t="s">
        <v>137</v>
      </c>
      <c r="AT325" s="43" t="s">
        <v>657</v>
      </c>
      <c r="AU325" s="43" t="s">
        <v>137</v>
      </c>
      <c r="XEY325" s="27"/>
      <c r="XEZ325" s="27"/>
      <c r="XFA325" s="27"/>
      <c r="XFB325" s="27"/>
      <c r="XFC325" s="27"/>
      <c r="XFD325" s="27"/>
    </row>
    <row r="326" s="42" customFormat="true" ht="14.15" hidden="false" customHeight="true" outlineLevel="0" collapsed="false">
      <c r="A326" s="28" t="s">
        <v>2391</v>
      </c>
      <c r="B326" s="29" t="s">
        <v>376</v>
      </c>
      <c r="C326" s="29" t="s">
        <v>2392</v>
      </c>
      <c r="D326" s="30" t="s">
        <v>50</v>
      </c>
      <c r="E326" s="30" t="s">
        <v>344</v>
      </c>
      <c r="F326" s="32" t="n">
        <v>39</v>
      </c>
      <c r="G326" s="31" t="s">
        <v>98</v>
      </c>
      <c r="H326" s="31" t="n">
        <v>3</v>
      </c>
      <c r="I326" s="31" t="s">
        <v>173</v>
      </c>
      <c r="J326" s="29"/>
      <c r="K326" s="29" t="s">
        <v>1615</v>
      </c>
      <c r="L326" s="32" t="n">
        <v>5</v>
      </c>
      <c r="M326" s="33" t="s">
        <v>1616</v>
      </c>
      <c r="N326" s="34" t="n">
        <v>75016</v>
      </c>
      <c r="O326" s="35" t="s">
        <v>55</v>
      </c>
      <c r="P326" s="36" t="s">
        <v>1617</v>
      </c>
      <c r="Q326" s="36" t="n">
        <v>2</v>
      </c>
      <c r="R326" s="32" t="n">
        <v>297</v>
      </c>
      <c r="S326" s="32" t="n">
        <v>4</v>
      </c>
      <c r="T326" s="32"/>
      <c r="U326" s="32"/>
      <c r="V326" s="37"/>
      <c r="W326" s="32"/>
      <c r="X326" s="34"/>
      <c r="Y326" s="34"/>
      <c r="Z326" s="32"/>
      <c r="AA326" s="32" t="s">
        <v>2393</v>
      </c>
      <c r="AB326" s="32" t="s">
        <v>2394</v>
      </c>
      <c r="AC326" s="38" t="str">
        <f aca="false">HYPERLINK("https://biocodex6--c.vf.force.com/0014L00000KFL4WQAX", "CRETIN DUVERNOIS ALEXANDRE")</f>
        <v>CRETIN DUVERNOIS ALEXANDRE</v>
      </c>
      <c r="AD326" s="38" t="str">
        <f aca="false">HYPERLINK("https://annuairesante.ameli.fr/professionnels-de-sante/recherche/fiche-detaillee-B7c1kjMzOTu6.html", "CRETIN DUVERNOIS ALEXANDRE")</f>
        <v>CRETIN DUVERNOIS ALEXANDRE</v>
      </c>
      <c r="AE326" s="39"/>
      <c r="AF326" s="40"/>
      <c r="AG326" s="41"/>
      <c r="AH326" s="32"/>
      <c r="AI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XEY326" s="27"/>
      <c r="XEZ326" s="27"/>
      <c r="XFA326" s="27"/>
      <c r="XFB326" s="27"/>
      <c r="XFC326" s="27"/>
      <c r="XFD326" s="27"/>
    </row>
    <row r="327" s="42" customFormat="true" ht="14.15" hidden="false" customHeight="true" outlineLevel="0" collapsed="false">
      <c r="A327" s="28" t="s">
        <v>2395</v>
      </c>
      <c r="B327" s="29" t="s">
        <v>1101</v>
      </c>
      <c r="C327" s="29" t="s">
        <v>2396</v>
      </c>
      <c r="D327" s="30" t="s">
        <v>50</v>
      </c>
      <c r="E327" s="30" t="s">
        <v>112</v>
      </c>
      <c r="F327" s="32" t="n">
        <v>52</v>
      </c>
      <c r="G327" s="31"/>
      <c r="H327" s="31" t="n">
        <v>3</v>
      </c>
      <c r="I327" s="31" t="s">
        <v>295</v>
      </c>
      <c r="J327" s="29"/>
      <c r="K327" s="29" t="s">
        <v>1839</v>
      </c>
      <c r="L327" s="32" t="n">
        <v>1</v>
      </c>
      <c r="M327" s="33" t="s">
        <v>1840</v>
      </c>
      <c r="N327" s="34" t="n">
        <v>92300</v>
      </c>
      <c r="O327" s="35" t="s">
        <v>298</v>
      </c>
      <c r="P327" s="36"/>
      <c r="Q327" s="36" t="n">
        <v>3</v>
      </c>
      <c r="R327" s="32" t="n">
        <v>295</v>
      </c>
      <c r="S327" s="32" t="n">
        <v>4</v>
      </c>
      <c r="T327" s="32"/>
      <c r="U327" s="32"/>
      <c r="V327" s="37"/>
      <c r="W327" s="32"/>
      <c r="X327" s="34"/>
      <c r="Y327" s="34"/>
      <c r="Z327" s="32"/>
      <c r="AA327" s="32" t="s">
        <v>2397</v>
      </c>
      <c r="AB327" s="32"/>
      <c r="AC327" s="38" t="str">
        <f aca="false">HYPERLINK("https://biocodex6--c.vf.force.com/0014L00000KFRzrQAH", "ARMINJON ISABELLE")</f>
        <v>ARMINJON ISABELLE</v>
      </c>
      <c r="AD327" s="38"/>
      <c r="AE327" s="39"/>
      <c r="AF327" s="40"/>
      <c r="AG327" s="41"/>
      <c r="AH327" s="32"/>
      <c r="AI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XEY327" s="27"/>
      <c r="XEZ327" s="27"/>
      <c r="XFA327" s="27"/>
      <c r="XFB327" s="27"/>
      <c r="XFC327" s="27"/>
      <c r="XFD327" s="27"/>
    </row>
    <row r="328" s="42" customFormat="true" ht="14.15" hidden="false" customHeight="true" outlineLevel="0" collapsed="false">
      <c r="A328" s="28" t="s">
        <v>2398</v>
      </c>
      <c r="B328" s="29" t="s">
        <v>2399</v>
      </c>
      <c r="C328" s="29" t="s">
        <v>2400</v>
      </c>
      <c r="D328" s="30" t="s">
        <v>50</v>
      </c>
      <c r="E328" s="30" t="s">
        <v>2401</v>
      </c>
      <c r="F328" s="32" t="n">
        <v>61</v>
      </c>
      <c r="G328" s="31" t="s">
        <v>98</v>
      </c>
      <c r="H328" s="31" t="n">
        <v>1</v>
      </c>
      <c r="I328" s="31" t="s">
        <v>197</v>
      </c>
      <c r="J328" s="29"/>
      <c r="K328" s="29" t="s">
        <v>2402</v>
      </c>
      <c r="L328" s="32" t="n">
        <v>21</v>
      </c>
      <c r="M328" s="33" t="s">
        <v>1547</v>
      </c>
      <c r="N328" s="34" t="n">
        <v>75017</v>
      </c>
      <c r="O328" s="35" t="s">
        <v>55</v>
      </c>
      <c r="P328" s="36"/>
      <c r="Q328" s="36" t="n">
        <v>1</v>
      </c>
      <c r="R328" s="32" t="n">
        <v>293</v>
      </c>
      <c r="S328" s="32" t="n">
        <v>4</v>
      </c>
      <c r="T328" s="32"/>
      <c r="U328" s="32"/>
      <c r="V328" s="37"/>
      <c r="W328" s="32"/>
      <c r="X328" s="34"/>
      <c r="Y328" s="34"/>
      <c r="Z328" s="32"/>
      <c r="AA328" s="32" t="s">
        <v>2403</v>
      </c>
      <c r="AB328" s="32" t="s">
        <v>2404</v>
      </c>
      <c r="AC328" s="38" t="str">
        <f aca="false">HYPERLINK("https://biocodex6--c.vf.force.com/0014L00000KFdl0QAD", "FLAJOLLET JEAN GABRIEL")</f>
        <v>FLAJOLLET JEAN GABRIEL</v>
      </c>
      <c r="AD328" s="38" t="str">
        <f aca="false">HYPERLINK("https://annuairesante.ameli.fr/professionnels-de-sante/recherche/fiche-detaillee-B7c1kjswNDe3.html", "FLAJOLLET JEAN GABRIEL")</f>
        <v>FLAJOLLET JEAN GABRIEL</v>
      </c>
      <c r="AE328" s="39"/>
      <c r="AF328" s="40"/>
      <c r="AG328" s="41"/>
      <c r="AH328" s="32"/>
      <c r="AI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XEY328" s="27"/>
      <c r="XEZ328" s="27"/>
      <c r="XFA328" s="27"/>
      <c r="XFB328" s="27"/>
      <c r="XFC328" s="27"/>
      <c r="XFD328" s="27"/>
    </row>
    <row r="329" s="42" customFormat="true" ht="14.15" hidden="false" customHeight="true" outlineLevel="0" collapsed="false">
      <c r="A329" s="28" t="s">
        <v>2405</v>
      </c>
      <c r="B329" s="29" t="s">
        <v>1766</v>
      </c>
      <c r="C329" s="29" t="s">
        <v>2406</v>
      </c>
      <c r="D329" s="30" t="s">
        <v>50</v>
      </c>
      <c r="E329" s="30" t="s">
        <v>890</v>
      </c>
      <c r="F329" s="32" t="n">
        <v>85</v>
      </c>
      <c r="G329" s="31"/>
      <c r="H329" s="31" t="n">
        <v>1</v>
      </c>
      <c r="I329" s="31" t="s">
        <v>62</v>
      </c>
      <c r="J329" s="29"/>
      <c r="K329" s="29" t="s">
        <v>2407</v>
      </c>
      <c r="L329" s="32" t="n">
        <v>11</v>
      </c>
      <c r="M329" s="33" t="s">
        <v>833</v>
      </c>
      <c r="N329" s="34" t="n">
        <v>75017</v>
      </c>
      <c r="O329" s="35" t="s">
        <v>55</v>
      </c>
      <c r="P329" s="36"/>
      <c r="Q329" s="36" t="n">
        <v>1</v>
      </c>
      <c r="R329" s="32" t="n">
        <v>287</v>
      </c>
      <c r="S329" s="32" t="n">
        <v>4</v>
      </c>
      <c r="T329" s="32"/>
      <c r="U329" s="32"/>
      <c r="V329" s="37"/>
      <c r="W329" s="32"/>
      <c r="X329" s="34"/>
      <c r="Y329" s="34"/>
      <c r="Z329" s="36"/>
      <c r="AA329" s="32" t="s">
        <v>2408</v>
      </c>
      <c r="AB329" s="32"/>
      <c r="AC329" s="38" t="str">
        <f aca="false">HYPERLINK("https://biocodex6--c.vf.force.com/0014L00000KFtKJQA1", "NAUDY FRANCOIS")</f>
        <v>NAUDY FRANCOIS</v>
      </c>
      <c r="AD329" s="38"/>
      <c r="AE329" s="39"/>
      <c r="AF329" s="40"/>
      <c r="AG329" s="41"/>
      <c r="AH329" s="32" t="s">
        <v>179</v>
      </c>
      <c r="AI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XEY329" s="27"/>
      <c r="XEZ329" s="27"/>
      <c r="XFA329" s="27"/>
      <c r="XFB329" s="27"/>
      <c r="XFC329" s="27"/>
      <c r="XFD329" s="27"/>
    </row>
    <row r="330" s="42" customFormat="true" ht="14.15" hidden="false" customHeight="true" outlineLevel="0" collapsed="false">
      <c r="A330" s="28" t="s">
        <v>2409</v>
      </c>
      <c r="B330" s="29" t="s">
        <v>883</v>
      </c>
      <c r="C330" s="29" t="s">
        <v>2410</v>
      </c>
      <c r="D330" s="30" t="s">
        <v>50</v>
      </c>
      <c r="E330" s="31"/>
      <c r="F330" s="32" t="n">
        <v>71</v>
      </c>
      <c r="G330" s="31"/>
      <c r="H330" s="31" t="n">
        <v>1</v>
      </c>
      <c r="I330" s="46" t="s">
        <v>173</v>
      </c>
      <c r="J330" s="29"/>
      <c r="K330" s="29" t="s">
        <v>2411</v>
      </c>
      <c r="L330" s="32" t="n">
        <v>10</v>
      </c>
      <c r="M330" s="33" t="s">
        <v>2412</v>
      </c>
      <c r="N330" s="34" t="n">
        <v>75016</v>
      </c>
      <c r="O330" s="35" t="s">
        <v>55</v>
      </c>
      <c r="P330" s="36" t="s">
        <v>2413</v>
      </c>
      <c r="Q330" s="36" t="n">
        <v>1</v>
      </c>
      <c r="R330" s="32" t="n">
        <v>281</v>
      </c>
      <c r="S330" s="32" t="n">
        <v>4</v>
      </c>
      <c r="T330" s="32"/>
      <c r="U330" s="32" t="n">
        <v>3</v>
      </c>
      <c r="V330" s="37"/>
      <c r="W330" s="32" t="n">
        <v>3</v>
      </c>
      <c r="X330" s="34" t="n">
        <v>2</v>
      </c>
      <c r="Y330" s="34" t="n">
        <v>1</v>
      </c>
      <c r="Z330" s="32"/>
      <c r="AA330" s="32" t="s">
        <v>2414</v>
      </c>
      <c r="AB330" s="32"/>
      <c r="AC330" s="38" t="str">
        <f aca="false">HYPERLINK("https://biocodex6--c.vf.force.com/0014L00000KFgcsQAD", "GOUMET JACQUES")</f>
        <v>GOUMET JACQUES</v>
      </c>
      <c r="AD330" s="38"/>
      <c r="AE330" s="39" t="n">
        <v>45443.4166666667</v>
      </c>
      <c r="AF330" s="40" t="s">
        <v>2415</v>
      </c>
      <c r="AG330" s="41"/>
      <c r="AH330" s="32"/>
      <c r="AI330" s="32" t="s">
        <v>106</v>
      </c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XEY330" s="27"/>
      <c r="XEZ330" s="27"/>
      <c r="XFA330" s="27"/>
      <c r="XFB330" s="27"/>
      <c r="XFC330" s="27"/>
      <c r="XFD330" s="27"/>
    </row>
    <row r="331" s="42" customFormat="true" ht="14.15" hidden="false" customHeight="true" outlineLevel="0" collapsed="false">
      <c r="A331" s="28" t="s">
        <v>2416</v>
      </c>
      <c r="B331" s="29" t="s">
        <v>1101</v>
      </c>
      <c r="C331" s="29" t="s">
        <v>2417</v>
      </c>
      <c r="D331" s="30" t="s">
        <v>50</v>
      </c>
      <c r="E331" s="31"/>
      <c r="F331" s="32" t="n">
        <v>52</v>
      </c>
      <c r="G331" s="31" t="s">
        <v>98</v>
      </c>
      <c r="H331" s="31" t="n">
        <v>1</v>
      </c>
      <c r="I331" s="31" t="s">
        <v>387</v>
      </c>
      <c r="J331" s="29"/>
      <c r="K331" s="29" t="s">
        <v>2418</v>
      </c>
      <c r="L331" s="32" t="n">
        <v>35</v>
      </c>
      <c r="M331" s="33" t="s">
        <v>2419</v>
      </c>
      <c r="N331" s="34" t="n">
        <v>75016</v>
      </c>
      <c r="O331" s="35" t="s">
        <v>55</v>
      </c>
      <c r="P331" s="36" t="s">
        <v>2420</v>
      </c>
      <c r="Q331" s="36" t="n">
        <v>3</v>
      </c>
      <c r="R331" s="32" t="n">
        <v>278</v>
      </c>
      <c r="S331" s="32" t="n">
        <v>4</v>
      </c>
      <c r="T331" s="32"/>
      <c r="U331" s="32"/>
      <c r="V331" s="37"/>
      <c r="W331" s="32"/>
      <c r="X331" s="34"/>
      <c r="Y331" s="34" t="n">
        <v>1</v>
      </c>
      <c r="Z331" s="32"/>
      <c r="AA331" s="32" t="s">
        <v>2421</v>
      </c>
      <c r="AB331" s="32" t="s">
        <v>2422</v>
      </c>
      <c r="AC331" s="38" t="str">
        <f aca="false">HYPERLINK("https://biocodex6--c.vf.force.com/0014L00000KFbBRQA1", "FLORAND MAIER ISABELLE")</f>
        <v>FLORAND MAIER ISABELLE</v>
      </c>
      <c r="AD331" s="38" t="str">
        <f aca="false">HYPERLINK("https://annuairesante.ameli.fr/professionnels-de-sante/recherche/fiche-detaillee-B7c1mzEyOTu3.html", "FLORAND MAIER ISABELLE")</f>
        <v>FLORAND MAIER ISABELLE</v>
      </c>
      <c r="AE331" s="39" t="n">
        <v>45369.5833333333</v>
      </c>
      <c r="AF331" s="40"/>
      <c r="AG331" s="41"/>
      <c r="AH331" s="32"/>
      <c r="AI331" s="32"/>
      <c r="AL331" s="43" t="s">
        <v>639</v>
      </c>
      <c r="AM331" s="43" t="s">
        <v>137</v>
      </c>
      <c r="AN331" s="43" t="s">
        <v>639</v>
      </c>
      <c r="AO331" s="43" t="s">
        <v>137</v>
      </c>
      <c r="AP331" s="32"/>
      <c r="AQ331" s="32"/>
      <c r="AR331" s="43" t="s">
        <v>639</v>
      </c>
      <c r="AS331" s="43" t="s">
        <v>137</v>
      </c>
      <c r="AT331" s="43" t="s">
        <v>639</v>
      </c>
      <c r="AU331" s="43" t="s">
        <v>137</v>
      </c>
      <c r="XEY331" s="27"/>
      <c r="XEZ331" s="27"/>
      <c r="XFA331" s="27"/>
      <c r="XFB331" s="27"/>
      <c r="XFC331" s="27"/>
      <c r="XFD331" s="27"/>
    </row>
    <row r="332" s="42" customFormat="true" ht="14.15" hidden="false" customHeight="true" outlineLevel="0" collapsed="false">
      <c r="A332" s="28" t="s">
        <v>2423</v>
      </c>
      <c r="B332" s="29" t="s">
        <v>2424</v>
      </c>
      <c r="C332" s="29" t="s">
        <v>2425</v>
      </c>
      <c r="D332" s="30" t="s">
        <v>50</v>
      </c>
      <c r="E332" s="30" t="s">
        <v>2281</v>
      </c>
      <c r="F332" s="32" t="n">
        <v>59</v>
      </c>
      <c r="G332" s="31"/>
      <c r="H332" s="31" t="n">
        <v>1</v>
      </c>
      <c r="I332" s="31" t="s">
        <v>572</v>
      </c>
      <c r="J332" s="29" t="s">
        <v>678</v>
      </c>
      <c r="K332" s="29" t="s">
        <v>679</v>
      </c>
      <c r="L332" s="32" t="n">
        <v>6</v>
      </c>
      <c r="M332" s="33" t="s">
        <v>680</v>
      </c>
      <c r="N332" s="34" t="n">
        <v>75008</v>
      </c>
      <c r="O332" s="35" t="s">
        <v>55</v>
      </c>
      <c r="P332" s="36" t="s">
        <v>870</v>
      </c>
      <c r="Q332" s="36" t="n">
        <v>43</v>
      </c>
      <c r="R332" s="32" t="n">
        <v>275</v>
      </c>
      <c r="S332" s="32" t="n">
        <v>4</v>
      </c>
      <c r="T332" s="32"/>
      <c r="U332" s="32"/>
      <c r="V332" s="37"/>
      <c r="W332" s="32"/>
      <c r="X332" s="34"/>
      <c r="Y332" s="34"/>
      <c r="Z332" s="32"/>
      <c r="AA332" s="32" t="s">
        <v>2426</v>
      </c>
      <c r="AB332" s="32"/>
      <c r="AC332" s="38" t="str">
        <f aca="false">HYPERLINK("https://biocodex6--c.vf.force.com/0014L00000KFuFyQAL", "NIKPAY ASLIE FARAHNAZ")</f>
        <v>NIKPAY ASLIE FARAHNAZ</v>
      </c>
      <c r="AD332" s="38"/>
      <c r="AE332" s="39" t="n">
        <v>45265.5208333333</v>
      </c>
      <c r="AF332" s="40"/>
      <c r="AG332" s="41"/>
      <c r="AH332" s="32"/>
      <c r="AI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XEY332" s="27"/>
      <c r="XEZ332" s="27"/>
      <c r="XFA332" s="27"/>
      <c r="XFB332" s="27"/>
      <c r="XFC332" s="27"/>
      <c r="XFD332" s="27"/>
    </row>
    <row r="333" s="42" customFormat="true" ht="14.15" hidden="false" customHeight="true" outlineLevel="0" collapsed="false">
      <c r="A333" s="28" t="s">
        <v>2427</v>
      </c>
      <c r="B333" s="29" t="s">
        <v>1403</v>
      </c>
      <c r="C333" s="29" t="s">
        <v>2428</v>
      </c>
      <c r="D333" s="30" t="s">
        <v>244</v>
      </c>
      <c r="E333" s="31"/>
      <c r="F333" s="32" t="n">
        <v>75</v>
      </c>
      <c r="G333" s="31"/>
      <c r="H333" s="31" t="n">
        <v>1</v>
      </c>
      <c r="I333" s="31" t="s">
        <v>572</v>
      </c>
      <c r="J333" s="29"/>
      <c r="K333" s="29" t="s">
        <v>2429</v>
      </c>
      <c r="L333" s="32" t="n">
        <v>10</v>
      </c>
      <c r="M333" s="33" t="s">
        <v>2430</v>
      </c>
      <c r="N333" s="34" t="n">
        <v>75008</v>
      </c>
      <c r="O333" s="35" t="s">
        <v>55</v>
      </c>
      <c r="P333" s="36"/>
      <c r="Q333" s="36" t="n">
        <v>2</v>
      </c>
      <c r="R333" s="32" t="n">
        <v>273</v>
      </c>
      <c r="S333" s="32" t="n">
        <v>4</v>
      </c>
      <c r="T333" s="32"/>
      <c r="U333" s="32"/>
      <c r="V333" s="37"/>
      <c r="W333" s="32"/>
      <c r="X333" s="34"/>
      <c r="Y333" s="34"/>
      <c r="Z333" s="32"/>
      <c r="AA333" s="32" t="s">
        <v>2431</v>
      </c>
      <c r="AB333" s="32"/>
      <c r="AC333" s="38" t="str">
        <f aca="false">HYPERLINK("https://biocodex6--c.vf.force.com/0014L00000KFazSQAT", "DOAT BRIGITTE")</f>
        <v>DOAT BRIGITTE</v>
      </c>
      <c r="AD333" s="38"/>
      <c r="AE333" s="39"/>
      <c r="AF333" s="40"/>
      <c r="AG333" s="41"/>
      <c r="AH333" s="32"/>
      <c r="AI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XEY333" s="27"/>
      <c r="XEZ333" s="27"/>
      <c r="XFA333" s="27"/>
      <c r="XFB333" s="27"/>
      <c r="XFC333" s="27"/>
      <c r="XFD333" s="27"/>
    </row>
    <row r="334" s="42" customFormat="true" ht="14.15" hidden="false" customHeight="true" outlineLevel="0" collapsed="false">
      <c r="A334" s="28" t="s">
        <v>2432</v>
      </c>
      <c r="B334" s="29" t="s">
        <v>2433</v>
      </c>
      <c r="C334" s="29" t="s">
        <v>2434</v>
      </c>
      <c r="D334" s="30" t="s">
        <v>244</v>
      </c>
      <c r="E334" s="30" t="s">
        <v>245</v>
      </c>
      <c r="F334" s="32" t="n">
        <v>70</v>
      </c>
      <c r="G334" s="31" t="s">
        <v>215</v>
      </c>
      <c r="H334" s="31" t="n">
        <v>2</v>
      </c>
      <c r="I334" s="31" t="s">
        <v>173</v>
      </c>
      <c r="J334" s="29"/>
      <c r="K334" s="29" t="s">
        <v>742</v>
      </c>
      <c r="L334" s="32" t="n">
        <v>60</v>
      </c>
      <c r="M334" s="33" t="s">
        <v>743</v>
      </c>
      <c r="N334" s="34" t="n">
        <v>75016</v>
      </c>
      <c r="O334" s="35" t="s">
        <v>55</v>
      </c>
      <c r="P334" s="36" t="s">
        <v>2435</v>
      </c>
      <c r="Q334" s="36" t="n">
        <v>3</v>
      </c>
      <c r="R334" s="32" t="n">
        <v>272</v>
      </c>
      <c r="S334" s="32" t="n">
        <v>4</v>
      </c>
      <c r="T334" s="32"/>
      <c r="U334" s="32" t="n">
        <v>3</v>
      </c>
      <c r="V334" s="37"/>
      <c r="W334" s="32" t="n">
        <v>3</v>
      </c>
      <c r="X334" s="34" t="n">
        <v>1</v>
      </c>
      <c r="Y334" s="34" t="n">
        <v>2</v>
      </c>
      <c r="Z334" s="32" t="s">
        <v>2436</v>
      </c>
      <c r="AA334" s="32" t="s">
        <v>2437</v>
      </c>
      <c r="AB334" s="32" t="s">
        <v>2438</v>
      </c>
      <c r="AC334" s="38" t="str">
        <f aca="false">HYPERLINK("https://biocodex6--c.vf.force.com/0014L00000KFzSOQA1", "ROUCH BERNARD")</f>
        <v>ROUCH BERNARD</v>
      </c>
      <c r="AD334" s="38" t="str">
        <f aca="false">HYPERLINK("https://annuairesante.ameli.fr/professionnels-de-sante/recherche/fiche-detaillee-B7c1lTExNzWz.html", "ROUCH BERNARD")</f>
        <v>ROUCH BERNARD</v>
      </c>
      <c r="AE334" s="39" t="n">
        <v>45111.4375</v>
      </c>
      <c r="AF334" s="40"/>
      <c r="AG334" s="41"/>
      <c r="AH334" s="32"/>
      <c r="AI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XEY334" s="27"/>
      <c r="XEZ334" s="27"/>
      <c r="XFA334" s="27"/>
      <c r="XFB334" s="27"/>
      <c r="XFC334" s="27"/>
      <c r="XFD334" s="27"/>
    </row>
    <row r="335" s="42" customFormat="true" ht="14.15" hidden="false" customHeight="true" outlineLevel="0" collapsed="false">
      <c r="A335" s="28" t="s">
        <v>2439</v>
      </c>
      <c r="B335" s="29" t="s">
        <v>1777</v>
      </c>
      <c r="C335" s="29" t="s">
        <v>2440</v>
      </c>
      <c r="D335" s="30" t="s">
        <v>244</v>
      </c>
      <c r="E335" s="30" t="s">
        <v>245</v>
      </c>
      <c r="F335" s="32" t="n">
        <v>60</v>
      </c>
      <c r="G335" s="31" t="s">
        <v>215</v>
      </c>
      <c r="H335" s="31" t="n">
        <v>4</v>
      </c>
      <c r="I335" s="31" t="s">
        <v>62</v>
      </c>
      <c r="J335" s="29"/>
      <c r="K335" s="29" t="s">
        <v>2346</v>
      </c>
      <c r="L335" s="32" t="n">
        <v>2</v>
      </c>
      <c r="M335" s="33" t="s">
        <v>2347</v>
      </c>
      <c r="N335" s="34" t="n">
        <v>75017</v>
      </c>
      <c r="O335" s="35" t="s">
        <v>55</v>
      </c>
      <c r="P335" s="36" t="s">
        <v>2441</v>
      </c>
      <c r="Q335" s="36" t="n">
        <v>4</v>
      </c>
      <c r="R335" s="32" t="n">
        <v>265</v>
      </c>
      <c r="S335" s="32" t="n">
        <v>4</v>
      </c>
      <c r="T335" s="32"/>
      <c r="U335" s="32" t="n">
        <v>3</v>
      </c>
      <c r="V335" s="37" t="n">
        <v>3</v>
      </c>
      <c r="W335" s="32" t="n">
        <v>3</v>
      </c>
      <c r="X335" s="34"/>
      <c r="Y335" s="34" t="n">
        <v>2</v>
      </c>
      <c r="Z335" s="32"/>
      <c r="AA335" s="32" t="s">
        <v>2442</v>
      </c>
      <c r="AB335" s="32" t="s">
        <v>2443</v>
      </c>
      <c r="AC335" s="38" t="str">
        <f aca="false">HYPERLINK("https://biocodex6--c.vf.force.com/0014L00000KFufWQAT", "AUBERT VALERIE")</f>
        <v>AUBERT VALERIE</v>
      </c>
      <c r="AD335" s="38" t="str">
        <f aca="false">HYPERLINK("https://annuairesante.ameli.fr/professionnels-de-sante/recherche/fiche-detaillee-B7c1mzE5MDOy.html", "AUBERT VALERIE")</f>
        <v>AUBERT VALERIE</v>
      </c>
      <c r="AE335" s="39"/>
      <c r="AF335" s="40"/>
      <c r="AG335" s="41"/>
      <c r="AH335" s="32"/>
      <c r="AI335" s="32"/>
      <c r="AL335" s="43" t="s">
        <v>657</v>
      </c>
      <c r="AM335" s="43" t="s">
        <v>476</v>
      </c>
      <c r="AN335" s="43" t="s">
        <v>657</v>
      </c>
      <c r="AO335" s="43" t="s">
        <v>137</v>
      </c>
      <c r="AP335" s="43" t="s">
        <v>1301</v>
      </c>
      <c r="AQ335" s="32"/>
      <c r="AR335" s="43" t="s">
        <v>657</v>
      </c>
      <c r="AS335" s="32"/>
      <c r="AT335" s="43" t="s">
        <v>657</v>
      </c>
      <c r="AU335" s="43" t="s">
        <v>476</v>
      </c>
      <c r="XEY335" s="27"/>
      <c r="XEZ335" s="27"/>
      <c r="XFA335" s="27"/>
      <c r="XFB335" s="27"/>
      <c r="XFC335" s="27"/>
      <c r="XFD335" s="27"/>
    </row>
    <row r="336" s="42" customFormat="true" ht="14.15" hidden="false" customHeight="true" outlineLevel="0" collapsed="false">
      <c r="A336" s="28" t="s">
        <v>2444</v>
      </c>
      <c r="B336" s="29" t="s">
        <v>195</v>
      </c>
      <c r="C336" s="29" t="s">
        <v>2445</v>
      </c>
      <c r="D336" s="30" t="s">
        <v>50</v>
      </c>
      <c r="E336" s="30" t="s">
        <v>916</v>
      </c>
      <c r="F336" s="32" t="n">
        <v>68</v>
      </c>
      <c r="G336" s="31" t="s">
        <v>215</v>
      </c>
      <c r="H336" s="31" t="n">
        <v>1</v>
      </c>
      <c r="I336" s="31" t="s">
        <v>197</v>
      </c>
      <c r="J336" s="29"/>
      <c r="K336" s="29" t="s">
        <v>2446</v>
      </c>
      <c r="L336" s="32" t="n">
        <v>20</v>
      </c>
      <c r="M336" s="33" t="s">
        <v>2447</v>
      </c>
      <c r="N336" s="34" t="n">
        <v>75017</v>
      </c>
      <c r="O336" s="35" t="s">
        <v>55</v>
      </c>
      <c r="P336" s="36" t="s">
        <v>2448</v>
      </c>
      <c r="Q336" s="36" t="n">
        <v>2</v>
      </c>
      <c r="R336" s="32" t="n">
        <v>265</v>
      </c>
      <c r="S336" s="32" t="n">
        <v>4</v>
      </c>
      <c r="T336" s="32"/>
      <c r="U336" s="32" t="n">
        <v>3</v>
      </c>
      <c r="V336" s="37"/>
      <c r="W336" s="32" t="n">
        <v>3</v>
      </c>
      <c r="X336" s="34"/>
      <c r="Y336" s="34" t="n">
        <v>3</v>
      </c>
      <c r="Z336" s="32"/>
      <c r="AA336" s="32" t="s">
        <v>2449</v>
      </c>
      <c r="AB336" s="32" t="s">
        <v>2450</v>
      </c>
      <c r="AC336" s="38" t="str">
        <f aca="false">HYPERLINK("https://biocodex6--c.vf.force.com/0014L00000KFvCnQAL", "PELTRIAUX PHILIPPE")</f>
        <v>PELTRIAUX PHILIPPE</v>
      </c>
      <c r="AD336" s="38" t="str">
        <f aca="false">HYPERLINK("https://annuairesante.ameli.fr/professionnels-de-sante/recherche/fiche-detaillee-B7c1ljc3NDuw.html", "PELTRIAUX PHILIPPE")</f>
        <v>PELTRIAUX PHILIPPE</v>
      </c>
      <c r="AE336" s="39"/>
      <c r="AF336" s="40"/>
      <c r="AG336" s="41"/>
      <c r="AH336" s="32"/>
      <c r="AI336" s="32"/>
      <c r="AL336" s="43" t="s">
        <v>263</v>
      </c>
      <c r="AM336" s="43" t="s">
        <v>661</v>
      </c>
      <c r="AN336" s="43" t="s">
        <v>85</v>
      </c>
      <c r="AO336" s="43" t="s">
        <v>661</v>
      </c>
      <c r="AP336" s="43" t="s">
        <v>263</v>
      </c>
      <c r="AQ336" s="43" t="s">
        <v>661</v>
      </c>
      <c r="AR336" s="43" t="s">
        <v>657</v>
      </c>
      <c r="AS336" s="43" t="s">
        <v>661</v>
      </c>
      <c r="AT336" s="43" t="s">
        <v>85</v>
      </c>
      <c r="AU336" s="43" t="s">
        <v>661</v>
      </c>
      <c r="XEY336" s="27"/>
      <c r="XEZ336" s="27"/>
      <c r="XFA336" s="27"/>
      <c r="XFB336" s="27"/>
      <c r="XFC336" s="27"/>
      <c r="XFD336" s="27"/>
    </row>
    <row r="337" s="42" customFormat="true" ht="14.15" hidden="false" customHeight="true" outlineLevel="0" collapsed="false">
      <c r="A337" s="28" t="s">
        <v>2451</v>
      </c>
      <c r="B337" s="29" t="s">
        <v>2452</v>
      </c>
      <c r="C337" s="29" t="s">
        <v>2453</v>
      </c>
      <c r="D337" s="30" t="s">
        <v>244</v>
      </c>
      <c r="E337" s="30" t="s">
        <v>113</v>
      </c>
      <c r="F337" s="32" t="n">
        <v>75</v>
      </c>
      <c r="G337" s="31"/>
      <c r="H337" s="31" t="n">
        <v>1</v>
      </c>
      <c r="I337" s="31" t="s">
        <v>387</v>
      </c>
      <c r="J337" s="29"/>
      <c r="K337" s="29" t="s">
        <v>1017</v>
      </c>
      <c r="L337" s="32" t="n">
        <v>21</v>
      </c>
      <c r="M337" s="33" t="s">
        <v>1018</v>
      </c>
      <c r="N337" s="34" t="n">
        <v>75016</v>
      </c>
      <c r="O337" s="35" t="s">
        <v>55</v>
      </c>
      <c r="P337" s="36" t="s">
        <v>1019</v>
      </c>
      <c r="Q337" s="36" t="n">
        <v>3</v>
      </c>
      <c r="R337" s="32" t="n">
        <v>261</v>
      </c>
      <c r="S337" s="32" t="n">
        <v>4</v>
      </c>
      <c r="T337" s="32"/>
      <c r="U337" s="32"/>
      <c r="V337" s="37"/>
      <c r="W337" s="32"/>
      <c r="X337" s="34"/>
      <c r="Y337" s="34"/>
      <c r="Z337" s="32" t="s">
        <v>2454</v>
      </c>
      <c r="AA337" s="32" t="s">
        <v>2455</v>
      </c>
      <c r="AB337" s="32"/>
      <c r="AC337" s="38" t="str">
        <f aca="false">HYPERLINK("https://biocodex6--c.vf.force.com/0014L00000KFj32QAD", "HOMASSON NELLY")</f>
        <v>HOMASSON NELLY</v>
      </c>
      <c r="AD337" s="38"/>
      <c r="AE337" s="39"/>
      <c r="AF337" s="40"/>
      <c r="AG337" s="41"/>
      <c r="AH337" s="32"/>
      <c r="AI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XEY337" s="27"/>
      <c r="XEZ337" s="27"/>
      <c r="XFA337" s="27"/>
      <c r="XFB337" s="27"/>
      <c r="XFC337" s="27"/>
      <c r="XFD337" s="27"/>
    </row>
    <row r="338" s="42" customFormat="true" ht="14.15" hidden="false" customHeight="true" outlineLevel="0" collapsed="false">
      <c r="A338" s="28" t="s">
        <v>2456</v>
      </c>
      <c r="B338" s="29" t="s">
        <v>117</v>
      </c>
      <c r="C338" s="29" t="s">
        <v>2457</v>
      </c>
      <c r="D338" s="30" t="s">
        <v>50</v>
      </c>
      <c r="E338" s="31"/>
      <c r="F338" s="32" t="n">
        <v>55</v>
      </c>
      <c r="G338" s="31" t="s">
        <v>98</v>
      </c>
      <c r="H338" s="31" t="n">
        <v>1</v>
      </c>
      <c r="I338" s="31" t="s">
        <v>99</v>
      </c>
      <c r="J338" s="29"/>
      <c r="K338" s="29" t="s">
        <v>2458</v>
      </c>
      <c r="L338" s="32" t="n">
        <v>83</v>
      </c>
      <c r="M338" s="33" t="s">
        <v>1002</v>
      </c>
      <c r="N338" s="34" t="n">
        <v>75015</v>
      </c>
      <c r="O338" s="35" t="s">
        <v>55</v>
      </c>
      <c r="P338" s="36" t="s">
        <v>2459</v>
      </c>
      <c r="Q338" s="36" t="n">
        <v>3</v>
      </c>
      <c r="R338" s="32" t="n">
        <v>260</v>
      </c>
      <c r="S338" s="32" t="n">
        <v>4</v>
      </c>
      <c r="T338" s="32"/>
      <c r="U338" s="32"/>
      <c r="V338" s="37"/>
      <c r="W338" s="32"/>
      <c r="X338" s="34"/>
      <c r="Y338" s="34"/>
      <c r="Z338" s="32"/>
      <c r="AA338" s="32" t="s">
        <v>2460</v>
      </c>
      <c r="AB338" s="32" t="s">
        <v>2461</v>
      </c>
      <c r="AC338" s="38" t="str">
        <f aca="false">HYPERLINK("https://biocodex6--c.vf.force.com/0014L00000KFv0BQAT", "PASSET DOMINIQUE")</f>
        <v>PASSET DOMINIQUE</v>
      </c>
      <c r="AD338" s="38" t="str">
        <f aca="false">HYPERLINK("https://annuairesante.ameli.fr/professionnels-de-sante/recherche/fiche-detaillee-B7c1kjo4OTOx.html", "PASSET DOMINIQUE")</f>
        <v>PASSET DOMINIQUE</v>
      </c>
      <c r="AE338" s="39"/>
      <c r="AF338" s="40"/>
      <c r="AG338" s="41"/>
      <c r="AH338" s="32"/>
      <c r="AI338" s="32"/>
      <c r="AL338" s="43" t="s">
        <v>2462</v>
      </c>
      <c r="AM338" s="43" t="s">
        <v>1443</v>
      </c>
      <c r="AN338" s="43" t="s">
        <v>2463</v>
      </c>
      <c r="AO338" s="43" t="s">
        <v>2464</v>
      </c>
      <c r="AP338" s="43" t="s">
        <v>2463</v>
      </c>
      <c r="AQ338" s="43" t="s">
        <v>2464</v>
      </c>
      <c r="AR338" s="43" t="s">
        <v>2463</v>
      </c>
      <c r="AS338" s="43" t="s">
        <v>2465</v>
      </c>
      <c r="AT338" s="43" t="s">
        <v>2463</v>
      </c>
      <c r="AU338" s="43" t="s">
        <v>2464</v>
      </c>
      <c r="XEY338" s="27"/>
      <c r="XEZ338" s="27"/>
      <c r="XFA338" s="27"/>
      <c r="XFB338" s="27"/>
      <c r="XFC338" s="27"/>
      <c r="XFD338" s="27"/>
    </row>
    <row r="339" s="42" customFormat="true" ht="14.15" hidden="false" customHeight="true" outlineLevel="0" collapsed="false">
      <c r="A339" s="28" t="s">
        <v>2466</v>
      </c>
      <c r="B339" s="29" t="s">
        <v>2467</v>
      </c>
      <c r="C339" s="29" t="s">
        <v>2468</v>
      </c>
      <c r="D339" s="30" t="s">
        <v>75</v>
      </c>
      <c r="E339" s="31"/>
      <c r="F339" s="32" t="n">
        <v>61</v>
      </c>
      <c r="G339" s="31"/>
      <c r="H339" s="31" t="n">
        <v>1</v>
      </c>
      <c r="I339" s="31" t="s">
        <v>77</v>
      </c>
      <c r="J339" s="29" t="s">
        <v>246</v>
      </c>
      <c r="K339" s="29" t="s">
        <v>247</v>
      </c>
      <c r="L339" s="32" t="n">
        <v>36</v>
      </c>
      <c r="M339" s="33" t="s">
        <v>248</v>
      </c>
      <c r="N339" s="34" t="n">
        <v>92200</v>
      </c>
      <c r="O339" s="35" t="s">
        <v>81</v>
      </c>
      <c r="P339" s="36" t="s">
        <v>1163</v>
      </c>
      <c r="Q339" s="36" t="n">
        <v>49</v>
      </c>
      <c r="R339" s="32" t="n">
        <v>260</v>
      </c>
      <c r="S339" s="32" t="n">
        <v>4</v>
      </c>
      <c r="T339" s="32"/>
      <c r="U339" s="32"/>
      <c r="V339" s="37"/>
      <c r="W339" s="32"/>
      <c r="X339" s="34"/>
      <c r="Y339" s="34"/>
      <c r="Z339" s="32"/>
      <c r="AA339" s="32" t="s">
        <v>2469</v>
      </c>
      <c r="AB339" s="32"/>
      <c r="AC339" s="38" t="str">
        <f aca="false">HYPERLINK("https://biocodex6--c.vf.force.com/0014L00000KFSbfQAH", "BELOUCIF KEFSI LYNDA")</f>
        <v>BELOUCIF KEFSI LYNDA</v>
      </c>
      <c r="AD339" s="38"/>
      <c r="AE339" s="39"/>
      <c r="AF339" s="40"/>
      <c r="AG339" s="41"/>
      <c r="AH339" s="32"/>
      <c r="AI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XEY339" s="27"/>
      <c r="XEZ339" s="27"/>
      <c r="XFA339" s="27"/>
      <c r="XFB339" s="27"/>
      <c r="XFC339" s="27"/>
      <c r="XFD339" s="27"/>
    </row>
    <row r="340" s="42" customFormat="true" ht="14.15" hidden="false" customHeight="true" outlineLevel="0" collapsed="false">
      <c r="A340" s="28" t="s">
        <v>2470</v>
      </c>
      <c r="B340" s="29" t="s">
        <v>578</v>
      </c>
      <c r="C340" s="29" t="s">
        <v>2471</v>
      </c>
      <c r="D340" s="30" t="s">
        <v>75</v>
      </c>
      <c r="E340" s="30" t="s">
        <v>2472</v>
      </c>
      <c r="F340" s="32" t="n">
        <v>63</v>
      </c>
      <c r="G340" s="31" t="s">
        <v>215</v>
      </c>
      <c r="H340" s="31" t="n">
        <v>1</v>
      </c>
      <c r="I340" s="31" t="s">
        <v>77</v>
      </c>
      <c r="J340" s="29" t="s">
        <v>580</v>
      </c>
      <c r="K340" s="29" t="s">
        <v>581</v>
      </c>
      <c r="L340" s="32" t="n">
        <v>63</v>
      </c>
      <c r="M340" s="33" t="s">
        <v>80</v>
      </c>
      <c r="N340" s="34" t="n">
        <v>92200</v>
      </c>
      <c r="O340" s="35" t="s">
        <v>81</v>
      </c>
      <c r="P340" s="36" t="s">
        <v>2473</v>
      </c>
      <c r="Q340" s="36" t="n">
        <v>39</v>
      </c>
      <c r="R340" s="32" t="n">
        <v>260</v>
      </c>
      <c r="S340" s="32" t="n">
        <v>4</v>
      </c>
      <c r="T340" s="32"/>
      <c r="U340" s="32"/>
      <c r="V340" s="37"/>
      <c r="W340" s="32" t="n">
        <v>3</v>
      </c>
      <c r="X340" s="34"/>
      <c r="Y340" s="34" t="n">
        <v>2</v>
      </c>
      <c r="Z340" s="32"/>
      <c r="AA340" s="32" t="s">
        <v>2474</v>
      </c>
      <c r="AB340" s="32" t="s">
        <v>2475</v>
      </c>
      <c r="AC340" s="38" t="str">
        <f aca="false">HYPERLINK("https://biocodex6--c.vf.force.com/0014L00000KG6GhQAL", "ZYLBERBERG HERVE")</f>
        <v>ZYLBERBERG HERVE</v>
      </c>
      <c r="AD340" s="38" t="str">
        <f aca="false">HYPERLINK("https://annuairesante.ameli.fr/professionnels-de-sante/recherche/fiche-detaillee-CbA1kjI2ODOz.html", "ZYLBERBERG HERVE")</f>
        <v>ZYLBERBERG HERVE</v>
      </c>
      <c r="AE340" s="39"/>
      <c r="AF340" s="40"/>
      <c r="AG340" s="41"/>
      <c r="AH340" s="32"/>
      <c r="AI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XEY340" s="27"/>
      <c r="XEZ340" s="27"/>
      <c r="XFA340" s="27"/>
      <c r="XFB340" s="27"/>
      <c r="XFC340" s="27"/>
      <c r="XFD340" s="27"/>
    </row>
    <row r="341" s="42" customFormat="true" ht="14.15" hidden="false" customHeight="true" outlineLevel="0" collapsed="false">
      <c r="A341" s="28" t="s">
        <v>2476</v>
      </c>
      <c r="B341" s="29" t="s">
        <v>829</v>
      </c>
      <c r="C341" s="29" t="s">
        <v>2477</v>
      </c>
      <c r="D341" s="30" t="s">
        <v>244</v>
      </c>
      <c r="E341" s="30" t="s">
        <v>1635</v>
      </c>
      <c r="F341" s="32" t="n">
        <v>57</v>
      </c>
      <c r="G341" s="31" t="s">
        <v>215</v>
      </c>
      <c r="H341" s="31" t="n">
        <v>3</v>
      </c>
      <c r="I341" s="31" t="s">
        <v>77</v>
      </c>
      <c r="J341" s="29" t="s">
        <v>78</v>
      </c>
      <c r="K341" s="29" t="s">
        <v>79</v>
      </c>
      <c r="L341" s="32" t="n">
        <v>26</v>
      </c>
      <c r="M341" s="33" t="s">
        <v>80</v>
      </c>
      <c r="N341" s="34" t="n">
        <v>92200</v>
      </c>
      <c r="O341" s="35" t="s">
        <v>81</v>
      </c>
      <c r="P341" s="36"/>
      <c r="Q341" s="36" t="n">
        <v>10</v>
      </c>
      <c r="R341" s="32" t="n">
        <v>253</v>
      </c>
      <c r="S341" s="32" t="n">
        <v>4</v>
      </c>
      <c r="T341" s="32"/>
      <c r="U341" s="32"/>
      <c r="V341" s="37" t="n">
        <v>3</v>
      </c>
      <c r="W341" s="32"/>
      <c r="X341" s="34" t="n">
        <v>1</v>
      </c>
      <c r="Y341" s="34"/>
      <c r="Z341" s="36"/>
      <c r="AA341" s="32" t="s">
        <v>2478</v>
      </c>
      <c r="AB341" s="32" t="s">
        <v>2479</v>
      </c>
      <c r="AC341" s="38" t="str">
        <f aca="false">HYPERLINK("https://biocodex6--c.vf.force.com/0014L00000KFUP6QAP", "BOURGEOIS DIDIER")</f>
        <v>BOURGEOIS DIDIER</v>
      </c>
      <c r="AD341" s="38" t="str">
        <f aca="false">HYPERLINK("https://annuairesante.ameli.fr/professionnels-de-sante/recherche/fiche-detaillee-CbA1lTMzNTKz.html", "BOURGEOIS DIDIER")</f>
        <v>BOURGEOIS DIDIER</v>
      </c>
      <c r="AE341" s="39" t="n">
        <v>45187.6458333333</v>
      </c>
      <c r="AF341" s="40"/>
      <c r="AG341" s="41"/>
      <c r="AH341" s="32" t="s">
        <v>179</v>
      </c>
      <c r="AI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XEY341" s="27"/>
      <c r="XEZ341" s="27"/>
      <c r="XFA341" s="27"/>
      <c r="XFB341" s="27"/>
      <c r="XFC341" s="27"/>
      <c r="XFD341" s="27"/>
    </row>
    <row r="342" s="42" customFormat="true" ht="14.15" hidden="false" customHeight="true" outlineLevel="0" collapsed="false">
      <c r="A342" s="28" t="s">
        <v>2480</v>
      </c>
      <c r="B342" s="29" t="s">
        <v>2481</v>
      </c>
      <c r="C342" s="29" t="s">
        <v>2482</v>
      </c>
      <c r="D342" s="30" t="s">
        <v>50</v>
      </c>
      <c r="E342" s="31"/>
      <c r="F342" s="32" t="n">
        <v>42</v>
      </c>
      <c r="G342" s="31" t="s">
        <v>98</v>
      </c>
      <c r="H342" s="31" t="n">
        <v>1</v>
      </c>
      <c r="I342" s="31" t="s">
        <v>295</v>
      </c>
      <c r="J342" s="29"/>
      <c r="K342" s="29" t="s">
        <v>2483</v>
      </c>
      <c r="L342" s="32" t="n">
        <v>82</v>
      </c>
      <c r="M342" s="33" t="s">
        <v>1392</v>
      </c>
      <c r="N342" s="34" t="n">
        <v>92300</v>
      </c>
      <c r="O342" s="35" t="s">
        <v>298</v>
      </c>
      <c r="P342" s="36" t="s">
        <v>2484</v>
      </c>
      <c r="Q342" s="36" t="n">
        <v>1</v>
      </c>
      <c r="R342" s="32" t="n">
        <v>251</v>
      </c>
      <c r="S342" s="32" t="n">
        <v>4</v>
      </c>
      <c r="T342" s="32"/>
      <c r="U342" s="32"/>
      <c r="V342" s="37"/>
      <c r="W342" s="32"/>
      <c r="X342" s="34"/>
      <c r="Y342" s="34" t="n">
        <v>2</v>
      </c>
      <c r="Z342" s="32"/>
      <c r="AA342" s="32" t="s">
        <v>2485</v>
      </c>
      <c r="AB342" s="32" t="s">
        <v>2486</v>
      </c>
      <c r="AC342" s="38" t="str">
        <f aca="false">HYPERLINK("https://biocodex6--c.vf.force.com/0014L00000KFSggQAH", "BELLET ANNE SOPHIE")</f>
        <v>BELLET ANNE SOPHIE</v>
      </c>
      <c r="AD342" s="38" t="str">
        <f aca="false">HYPERLINK("https://annuairesante.ameli.fr/professionnels-de-sante/recherche/fiche-detaillee-CbA1kjEyMjOx.html", "BELLET ANNE SOPHIE")</f>
        <v>BELLET ANNE SOPHIE</v>
      </c>
      <c r="AE342" s="39" t="n">
        <v>45210.6458333333</v>
      </c>
      <c r="AF342" s="40"/>
      <c r="AG342" s="41"/>
      <c r="AH342" s="32"/>
      <c r="AI342" s="32"/>
      <c r="AL342" s="43" t="s">
        <v>338</v>
      </c>
      <c r="AM342" s="43" t="s">
        <v>1443</v>
      </c>
      <c r="AN342" s="43" t="s">
        <v>338</v>
      </c>
      <c r="AO342" s="43" t="s">
        <v>1443</v>
      </c>
      <c r="AP342" s="43" t="s">
        <v>338</v>
      </c>
      <c r="AQ342" s="43" t="s">
        <v>1443</v>
      </c>
      <c r="AR342" s="43" t="s">
        <v>338</v>
      </c>
      <c r="AS342" s="43" t="s">
        <v>1443</v>
      </c>
      <c r="AT342" s="43" t="s">
        <v>338</v>
      </c>
      <c r="AU342" s="43" t="s">
        <v>1443</v>
      </c>
      <c r="XEY342" s="27"/>
      <c r="XEZ342" s="27"/>
      <c r="XFA342" s="27"/>
      <c r="XFB342" s="27"/>
      <c r="XFC342" s="27"/>
      <c r="XFD342" s="27"/>
    </row>
    <row r="343" s="42" customFormat="true" ht="14.15" hidden="false" customHeight="true" outlineLevel="0" collapsed="false">
      <c r="A343" s="28" t="s">
        <v>2487</v>
      </c>
      <c r="B343" s="29" t="s">
        <v>195</v>
      </c>
      <c r="C343" s="29" t="s">
        <v>2488</v>
      </c>
      <c r="D343" s="30" t="s">
        <v>50</v>
      </c>
      <c r="E343" s="30" t="s">
        <v>421</v>
      </c>
      <c r="F343" s="32" t="n">
        <v>64</v>
      </c>
      <c r="G343" s="31" t="s">
        <v>61</v>
      </c>
      <c r="H343" s="31" t="n">
        <v>1</v>
      </c>
      <c r="I343" s="31" t="s">
        <v>197</v>
      </c>
      <c r="J343" s="29"/>
      <c r="K343" s="29" t="s">
        <v>2489</v>
      </c>
      <c r="L343" s="32" t="n">
        <v>1</v>
      </c>
      <c r="M343" s="33" t="s">
        <v>2490</v>
      </c>
      <c r="N343" s="34" t="n">
        <v>75017</v>
      </c>
      <c r="O343" s="35" t="s">
        <v>55</v>
      </c>
      <c r="P343" s="36" t="s">
        <v>2491</v>
      </c>
      <c r="Q343" s="36" t="n">
        <v>1</v>
      </c>
      <c r="R343" s="32" t="n">
        <v>240</v>
      </c>
      <c r="S343" s="32" t="n">
        <v>4</v>
      </c>
      <c r="T343" s="32"/>
      <c r="U343" s="32"/>
      <c r="V343" s="37"/>
      <c r="W343" s="32"/>
      <c r="X343" s="34"/>
      <c r="Y343" s="34"/>
      <c r="Z343" s="32"/>
      <c r="AA343" s="32" t="s">
        <v>2492</v>
      </c>
      <c r="AB343" s="32" t="s">
        <v>2493</v>
      </c>
      <c r="AC343" s="38" t="str">
        <f aca="false">HYPERLINK("https://biocodex6--c.vf.force.com/0014L00000KG0D0QAL", "SALATO PHILIPPE")</f>
        <v>SALATO PHILIPPE</v>
      </c>
      <c r="AD343" s="38" t="str">
        <f aca="false">HYPERLINK("https://annuairesante.ameli.fr/professionnels-de-sante/recherche/fiche-detaillee-B7c1lzMzMTW7.html", "SALATO PHILIPPE")</f>
        <v>SALATO PHILIPPE</v>
      </c>
      <c r="AE343" s="39"/>
      <c r="AF343" s="40"/>
      <c r="AG343" s="41"/>
      <c r="AH343" s="32"/>
      <c r="AI343" s="32"/>
      <c r="AL343" s="43" t="s">
        <v>640</v>
      </c>
      <c r="AM343" s="43" t="s">
        <v>2494</v>
      </c>
      <c r="AN343" s="43" t="s">
        <v>640</v>
      </c>
      <c r="AO343" s="43" t="s">
        <v>534</v>
      </c>
      <c r="AP343" s="43" t="s">
        <v>2148</v>
      </c>
      <c r="AQ343" s="43" t="s">
        <v>534</v>
      </c>
      <c r="AR343" s="43" t="s">
        <v>640</v>
      </c>
      <c r="AS343" s="43" t="s">
        <v>2494</v>
      </c>
      <c r="AT343" s="43" t="s">
        <v>640</v>
      </c>
      <c r="AU343" s="43" t="s">
        <v>2494</v>
      </c>
      <c r="XEY343" s="27"/>
      <c r="XEZ343" s="27"/>
      <c r="XFA343" s="27"/>
      <c r="XFB343" s="27"/>
      <c r="XFC343" s="27"/>
      <c r="XFD343" s="27"/>
    </row>
    <row r="344" s="42" customFormat="true" ht="14.15" hidden="false" customHeight="true" outlineLevel="0" collapsed="false">
      <c r="A344" s="28" t="s">
        <v>2495</v>
      </c>
      <c r="B344" s="29" t="s">
        <v>2496</v>
      </c>
      <c r="C344" s="29" t="s">
        <v>2497</v>
      </c>
      <c r="D344" s="30" t="s">
        <v>50</v>
      </c>
      <c r="E344" s="31"/>
      <c r="F344" s="32" t="n">
        <v>74</v>
      </c>
      <c r="G344" s="31" t="s">
        <v>98</v>
      </c>
      <c r="H344" s="31" t="n">
        <v>1</v>
      </c>
      <c r="I344" s="31" t="s">
        <v>387</v>
      </c>
      <c r="J344" s="29"/>
      <c r="K344" s="29" t="s">
        <v>2498</v>
      </c>
      <c r="L344" s="32" t="n">
        <v>106</v>
      </c>
      <c r="M344" s="33" t="s">
        <v>2499</v>
      </c>
      <c r="N344" s="34" t="n">
        <v>75016</v>
      </c>
      <c r="O344" s="35" t="s">
        <v>55</v>
      </c>
      <c r="P344" s="36" t="s">
        <v>2500</v>
      </c>
      <c r="Q344" s="36" t="n">
        <v>1</v>
      </c>
      <c r="R344" s="32" t="n">
        <v>234</v>
      </c>
      <c r="S344" s="32" t="n">
        <v>4</v>
      </c>
      <c r="T344" s="32"/>
      <c r="U344" s="32"/>
      <c r="V344" s="37"/>
      <c r="W344" s="32"/>
      <c r="X344" s="34"/>
      <c r="Y344" s="34"/>
      <c r="Z344" s="32"/>
      <c r="AA344" s="32" t="s">
        <v>2501</v>
      </c>
      <c r="AB344" s="32" t="s">
        <v>2502</v>
      </c>
      <c r="AC344" s="38" t="str">
        <f aca="false">HYPERLINK("https://biocodex6--c.vf.force.com/0014L00000KFcdlQAD", "ELY CHANTAL")</f>
        <v>ELY CHANTAL</v>
      </c>
      <c r="AD344" s="38" t="str">
        <f aca="false">HYPERLINK("https://annuairesante.ameli.fr/professionnels-de-sante/recherche/fiche-detaillee-B7c1kTc3ODaz.html", "ELY CHANTAL")</f>
        <v>ELY CHANTAL</v>
      </c>
      <c r="AE344" s="39"/>
      <c r="AF344" s="40"/>
      <c r="AG344" s="41"/>
      <c r="AH344" s="32"/>
      <c r="AI344" s="32"/>
      <c r="AL344" s="43" t="s">
        <v>2503</v>
      </c>
      <c r="AM344" s="43" t="s">
        <v>1670</v>
      </c>
      <c r="AN344" s="43" t="s">
        <v>2503</v>
      </c>
      <c r="AO344" s="43" t="s">
        <v>1670</v>
      </c>
      <c r="AP344" s="43" t="s">
        <v>2503</v>
      </c>
      <c r="AQ344" s="43" t="s">
        <v>1670</v>
      </c>
      <c r="AR344" s="43" t="s">
        <v>2503</v>
      </c>
      <c r="AS344" s="43" t="s">
        <v>1670</v>
      </c>
      <c r="AT344" s="43" t="s">
        <v>2503</v>
      </c>
      <c r="AU344" s="43" t="s">
        <v>1670</v>
      </c>
      <c r="XEY344" s="27"/>
      <c r="XEZ344" s="27"/>
      <c r="XFA344" s="27"/>
      <c r="XFB344" s="27"/>
      <c r="XFC344" s="27"/>
      <c r="XFD344" s="27"/>
    </row>
    <row r="345" s="42" customFormat="true" ht="14.15" hidden="false" customHeight="true" outlineLevel="0" collapsed="false">
      <c r="A345" s="28" t="s">
        <v>2504</v>
      </c>
      <c r="B345" s="29" t="s">
        <v>2505</v>
      </c>
      <c r="C345" s="29" t="s">
        <v>2506</v>
      </c>
      <c r="D345" s="30" t="s">
        <v>244</v>
      </c>
      <c r="E345" s="30" t="s">
        <v>245</v>
      </c>
      <c r="F345" s="32" t="n">
        <v>55</v>
      </c>
      <c r="G345" s="31" t="s">
        <v>215</v>
      </c>
      <c r="H345" s="31" t="n">
        <v>1</v>
      </c>
      <c r="I345" s="31" t="s">
        <v>77</v>
      </c>
      <c r="J345" s="29"/>
      <c r="K345" s="29" t="s">
        <v>2507</v>
      </c>
      <c r="L345" s="32" t="n">
        <v>80</v>
      </c>
      <c r="M345" s="33" t="s">
        <v>379</v>
      </c>
      <c r="N345" s="34" t="n">
        <v>92200</v>
      </c>
      <c r="O345" s="35" t="s">
        <v>81</v>
      </c>
      <c r="P345" s="36" t="s">
        <v>2508</v>
      </c>
      <c r="Q345" s="36" t="n">
        <v>2</v>
      </c>
      <c r="R345" s="32" t="n">
        <v>222</v>
      </c>
      <c r="S345" s="32" t="n">
        <v>4</v>
      </c>
      <c r="T345" s="32"/>
      <c r="U345" s="32" t="n">
        <v>3</v>
      </c>
      <c r="V345" s="37" t="n">
        <v>3</v>
      </c>
      <c r="W345" s="32" t="n">
        <v>3</v>
      </c>
      <c r="X345" s="34"/>
      <c r="Y345" s="34" t="n">
        <v>1</v>
      </c>
      <c r="Z345" s="32" t="s">
        <v>2509</v>
      </c>
      <c r="AA345" s="32" t="s">
        <v>2510</v>
      </c>
      <c r="AB345" s="32" t="s">
        <v>2511</v>
      </c>
      <c r="AC345" s="38" t="str">
        <f aca="false">HYPERLINK("https://biocodex6--c.vf.force.com/0014L00000KG6DHQA1", "WICART POQUE FABIENNE")</f>
        <v>WICART POQUE FABIENNE</v>
      </c>
      <c r="AD345" s="38" t="str">
        <f aca="false">HYPERLINK("https://annuairesante.ameli.fr/professionnels-de-sante/recherche/fiche-detaillee-CbA1lTIzMjq6.html", "WICART POQUE FABIENNE")</f>
        <v>WICART POQUE FABIENNE</v>
      </c>
      <c r="AE345" s="39" t="n">
        <v>45250.5625</v>
      </c>
      <c r="AF345" s="40"/>
      <c r="AG345" s="41"/>
      <c r="AH345" s="32"/>
      <c r="AI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XEY345" s="27"/>
      <c r="XEZ345" s="27"/>
      <c r="XFA345" s="27"/>
      <c r="XFB345" s="27"/>
      <c r="XFC345" s="27"/>
      <c r="XFD345" s="27"/>
    </row>
    <row r="346" s="42" customFormat="true" ht="14.15" hidden="false" customHeight="true" outlineLevel="0" collapsed="false">
      <c r="A346" s="28" t="s">
        <v>2512</v>
      </c>
      <c r="B346" s="29" t="s">
        <v>1584</v>
      </c>
      <c r="C346" s="29" t="s">
        <v>2513</v>
      </c>
      <c r="D346" s="30" t="s">
        <v>50</v>
      </c>
      <c r="E346" s="31"/>
      <c r="F346" s="32" t="n">
        <v>54</v>
      </c>
      <c r="G346" s="31" t="s">
        <v>98</v>
      </c>
      <c r="H346" s="31" t="n">
        <v>1</v>
      </c>
      <c r="I346" s="31" t="s">
        <v>99</v>
      </c>
      <c r="J346" s="29"/>
      <c r="K346" s="29" t="s">
        <v>2514</v>
      </c>
      <c r="L346" s="32" t="n">
        <v>161</v>
      </c>
      <c r="M346" s="33" t="s">
        <v>2004</v>
      </c>
      <c r="N346" s="34" t="n">
        <v>75015</v>
      </c>
      <c r="O346" s="35" t="s">
        <v>55</v>
      </c>
      <c r="P346" s="36" t="s">
        <v>2515</v>
      </c>
      <c r="Q346" s="36" t="n">
        <v>1</v>
      </c>
      <c r="R346" s="32" t="n">
        <v>210</v>
      </c>
      <c r="S346" s="32" t="n">
        <v>4</v>
      </c>
      <c r="T346" s="32"/>
      <c r="U346" s="32"/>
      <c r="V346" s="37"/>
      <c r="W346" s="32"/>
      <c r="X346" s="34"/>
      <c r="Y346" s="34" t="n">
        <v>1</v>
      </c>
      <c r="Z346" s="36"/>
      <c r="AA346" s="32" t="s">
        <v>2516</v>
      </c>
      <c r="AB346" s="44" t="s">
        <v>2517</v>
      </c>
      <c r="AC346" s="38" t="str">
        <f aca="false">HYPERLINK("https://biocodex6--c.vf.force.com/0014L00000KFt61QAD", "MSIKA LAURENCE")</f>
        <v>MSIKA LAURENCE</v>
      </c>
      <c r="AD346" s="38" t="str">
        <f aca="false">HYPERLINK("https://annuairesante.ameli.fr/professionnels-de-sante/recherche/fiche-detaillee-B7c1lDEzODq0.html", "MSIKA LAURENCE")</f>
        <v>MSIKA LAURENCE</v>
      </c>
      <c r="AE346" s="39" t="n">
        <v>45201.4791666667</v>
      </c>
      <c r="AF346" s="40"/>
      <c r="AG346" s="41"/>
      <c r="AH346" s="32" t="s">
        <v>179</v>
      </c>
      <c r="AI346" s="32"/>
      <c r="AL346" s="43" t="s">
        <v>657</v>
      </c>
      <c r="AM346" s="43" t="s">
        <v>137</v>
      </c>
      <c r="AN346" s="43" t="s">
        <v>657</v>
      </c>
      <c r="AO346" s="43" t="s">
        <v>137</v>
      </c>
      <c r="AP346" s="43" t="s">
        <v>338</v>
      </c>
      <c r="AQ346" s="32"/>
      <c r="AR346" s="43" t="s">
        <v>657</v>
      </c>
      <c r="AS346" s="43" t="s">
        <v>137</v>
      </c>
      <c r="AT346" s="43" t="s">
        <v>657</v>
      </c>
      <c r="AU346" s="43" t="s">
        <v>137</v>
      </c>
      <c r="XEY346" s="27"/>
      <c r="XEZ346" s="27"/>
      <c r="XFA346" s="27"/>
      <c r="XFB346" s="27"/>
      <c r="XFC346" s="27"/>
      <c r="XFD346" s="27"/>
    </row>
    <row r="347" s="42" customFormat="true" ht="14.15" hidden="false" customHeight="true" outlineLevel="0" collapsed="false">
      <c r="A347" s="28" t="s">
        <v>2518</v>
      </c>
      <c r="B347" s="29" t="s">
        <v>2519</v>
      </c>
      <c r="C347" s="29" t="s">
        <v>2520</v>
      </c>
      <c r="D347" s="30" t="s">
        <v>112</v>
      </c>
      <c r="E347" s="31"/>
      <c r="F347" s="32" t="n">
        <v>73</v>
      </c>
      <c r="G347" s="31"/>
      <c r="H347" s="31" t="n">
        <v>1</v>
      </c>
      <c r="I347" s="31" t="s">
        <v>99</v>
      </c>
      <c r="J347" s="29"/>
      <c r="K347" s="29" t="s">
        <v>2521</v>
      </c>
      <c r="L347" s="32" t="n">
        <v>57</v>
      </c>
      <c r="M347" s="33" t="s">
        <v>1002</v>
      </c>
      <c r="N347" s="34" t="n">
        <v>75015</v>
      </c>
      <c r="O347" s="35" t="s">
        <v>55</v>
      </c>
      <c r="P347" s="36" t="s">
        <v>2522</v>
      </c>
      <c r="Q347" s="36" t="n">
        <v>1</v>
      </c>
      <c r="R347" s="32" t="n">
        <v>208</v>
      </c>
      <c r="S347" s="32" t="n">
        <v>4</v>
      </c>
      <c r="T347" s="32"/>
      <c r="U347" s="32"/>
      <c r="V347" s="37"/>
      <c r="W347" s="32"/>
      <c r="X347" s="34"/>
      <c r="Y347" s="34"/>
      <c r="Z347" s="32"/>
      <c r="AA347" s="32" t="s">
        <v>2523</v>
      </c>
      <c r="AB347" s="32"/>
      <c r="AC347" s="38" t="str">
        <f aca="false">HYPERLINK("https://biocodex6--c.vf.force.com/0014L00000KFpKtQAL", "MAIDENBERG MANUEL")</f>
        <v>MAIDENBERG MANUEL</v>
      </c>
      <c r="AD347" s="38"/>
      <c r="AE347" s="39"/>
      <c r="AF347" s="40"/>
      <c r="AG347" s="41"/>
      <c r="AH347" s="32"/>
      <c r="AI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XEY347" s="27"/>
      <c r="XEZ347" s="27"/>
      <c r="XFA347" s="27"/>
      <c r="XFB347" s="27"/>
      <c r="XFC347" s="27"/>
      <c r="XFD347" s="27"/>
    </row>
    <row r="348" s="42" customFormat="true" ht="14.15" hidden="false" customHeight="true" outlineLevel="0" collapsed="false">
      <c r="A348" s="28" t="s">
        <v>2524</v>
      </c>
      <c r="B348" s="29" t="s">
        <v>1438</v>
      </c>
      <c r="C348" s="29" t="s">
        <v>2525</v>
      </c>
      <c r="D348" s="30" t="s">
        <v>50</v>
      </c>
      <c r="E348" s="31"/>
      <c r="F348" s="32" t="n">
        <v>36</v>
      </c>
      <c r="G348" s="31"/>
      <c r="H348" s="31" t="n">
        <v>1</v>
      </c>
      <c r="I348" s="31" t="s">
        <v>295</v>
      </c>
      <c r="J348" s="29" t="s">
        <v>489</v>
      </c>
      <c r="K348" s="29" t="s">
        <v>1183</v>
      </c>
      <c r="L348" s="32" t="n">
        <v>4</v>
      </c>
      <c r="M348" s="33" t="s">
        <v>297</v>
      </c>
      <c r="N348" s="34" t="n">
        <v>92300</v>
      </c>
      <c r="O348" s="35" t="s">
        <v>298</v>
      </c>
      <c r="P348" s="36" t="s">
        <v>2526</v>
      </c>
      <c r="Q348" s="36" t="n">
        <v>27</v>
      </c>
      <c r="R348" s="32" t="n">
        <v>201</v>
      </c>
      <c r="S348" s="32" t="n">
        <v>4</v>
      </c>
      <c r="T348" s="32"/>
      <c r="U348" s="32"/>
      <c r="V348" s="37"/>
      <c r="W348" s="32"/>
      <c r="X348" s="34"/>
      <c r="Y348" s="34"/>
      <c r="Z348" s="32"/>
      <c r="AA348" s="32" t="s">
        <v>2527</v>
      </c>
      <c r="AB348" s="32"/>
      <c r="AC348" s="38" t="str">
        <f aca="false">HYPERLINK("https://biocodex6--c.vf.force.com/0014L00000KG8rMQAT", "AUFFRET JULIE")</f>
        <v>AUFFRET JULIE</v>
      </c>
      <c r="AD348" s="38"/>
      <c r="AE348" s="39"/>
      <c r="AF348" s="40"/>
      <c r="AG348" s="41"/>
      <c r="AH348" s="32"/>
      <c r="AI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XEY348" s="27"/>
      <c r="XEZ348" s="27"/>
      <c r="XFA348" s="27"/>
      <c r="XFB348" s="27"/>
      <c r="XFC348" s="27"/>
      <c r="XFD348" s="27"/>
    </row>
    <row r="349" s="42" customFormat="true" ht="14.15" hidden="false" customHeight="true" outlineLevel="0" collapsed="false">
      <c r="A349" s="28" t="s">
        <v>2476</v>
      </c>
      <c r="B349" s="29" t="s">
        <v>1837</v>
      </c>
      <c r="C349" s="29" t="s">
        <v>2528</v>
      </c>
      <c r="D349" s="30" t="s">
        <v>268</v>
      </c>
      <c r="E349" s="30" t="s">
        <v>112</v>
      </c>
      <c r="F349" s="32" t="n">
        <v>60</v>
      </c>
      <c r="G349" s="31"/>
      <c r="H349" s="31" t="n">
        <v>1</v>
      </c>
      <c r="I349" s="31" t="s">
        <v>51</v>
      </c>
      <c r="J349" s="29" t="s">
        <v>52</v>
      </c>
      <c r="K349" s="29" t="s">
        <v>53</v>
      </c>
      <c r="L349" s="32" t="n">
        <v>149</v>
      </c>
      <c r="M349" s="33" t="s">
        <v>54</v>
      </c>
      <c r="N349" s="34" t="n">
        <v>75015</v>
      </c>
      <c r="O349" s="35" t="s">
        <v>55</v>
      </c>
      <c r="P349" s="36" t="s">
        <v>2529</v>
      </c>
      <c r="Q349" s="36" t="n">
        <v>236</v>
      </c>
      <c r="R349" s="32" t="n">
        <v>198</v>
      </c>
      <c r="S349" s="32" t="n">
        <v>4</v>
      </c>
      <c r="T349" s="32"/>
      <c r="U349" s="32"/>
      <c r="V349" s="37"/>
      <c r="W349" s="32"/>
      <c r="X349" s="34"/>
      <c r="Y349" s="34"/>
      <c r="Z349" s="36"/>
      <c r="AA349" s="32" t="s">
        <v>2530</v>
      </c>
      <c r="AB349" s="32"/>
      <c r="AC349" s="38" t="str">
        <f aca="false">HYPERLINK("https://biocodex6--c.vf.force.com/0014L00000KFVx8QAH", "BOURGEOIS MARIE")</f>
        <v>BOURGEOIS MARIE</v>
      </c>
      <c r="AD349" s="38"/>
      <c r="AE349" s="39"/>
      <c r="AF349" s="40"/>
      <c r="AG349" s="41"/>
      <c r="AH349" s="32" t="s">
        <v>179</v>
      </c>
      <c r="AI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XEY349" s="27"/>
      <c r="XEZ349" s="27"/>
      <c r="XFA349" s="27"/>
      <c r="XFB349" s="27"/>
      <c r="XFC349" s="27"/>
      <c r="XFD349" s="27"/>
    </row>
    <row r="350" s="42" customFormat="true" ht="14.15" hidden="false" customHeight="true" outlineLevel="0" collapsed="false">
      <c r="A350" s="28" t="s">
        <v>2531</v>
      </c>
      <c r="B350" s="29" t="s">
        <v>2532</v>
      </c>
      <c r="C350" s="29" t="s">
        <v>2533</v>
      </c>
      <c r="D350" s="30" t="s">
        <v>268</v>
      </c>
      <c r="E350" s="30" t="s">
        <v>112</v>
      </c>
      <c r="F350" s="32" t="n">
        <v>57</v>
      </c>
      <c r="G350" s="31"/>
      <c r="H350" s="31" t="n">
        <v>1</v>
      </c>
      <c r="I350" s="31" t="s">
        <v>51</v>
      </c>
      <c r="J350" s="29" t="s">
        <v>52</v>
      </c>
      <c r="K350" s="29" t="s">
        <v>53</v>
      </c>
      <c r="L350" s="32" t="n">
        <v>149</v>
      </c>
      <c r="M350" s="33" t="s">
        <v>54</v>
      </c>
      <c r="N350" s="34" t="n">
        <v>75015</v>
      </c>
      <c r="O350" s="35" t="s">
        <v>55</v>
      </c>
      <c r="P350" s="36" t="s">
        <v>2030</v>
      </c>
      <c r="Q350" s="36" t="n">
        <v>236</v>
      </c>
      <c r="R350" s="32" t="n">
        <v>198</v>
      </c>
      <c r="S350" s="32" t="n">
        <v>4</v>
      </c>
      <c r="T350" s="32"/>
      <c r="U350" s="32"/>
      <c r="V350" s="37"/>
      <c r="W350" s="32"/>
      <c r="X350" s="34"/>
      <c r="Y350" s="34"/>
      <c r="Z350" s="36"/>
      <c r="AA350" s="32" t="s">
        <v>2534</v>
      </c>
      <c r="AB350" s="32"/>
      <c r="AC350" s="38" t="str">
        <f aca="false">HYPERLINK("https://biocodex6--c.vf.force.com/0014L00000KFiaFQAT", "KAMINSKA ANNA")</f>
        <v>KAMINSKA ANNA</v>
      </c>
      <c r="AD350" s="38"/>
      <c r="AE350" s="39"/>
      <c r="AF350" s="40"/>
      <c r="AG350" s="41"/>
      <c r="AH350" s="32" t="s">
        <v>179</v>
      </c>
      <c r="AI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XEY350" s="27"/>
      <c r="XEZ350" s="27"/>
      <c r="XFA350" s="27"/>
      <c r="XFB350" s="27"/>
      <c r="XFC350" s="27"/>
      <c r="XFD350" s="27"/>
    </row>
    <row r="351" s="42" customFormat="true" ht="14.15" hidden="false" customHeight="true" outlineLevel="0" collapsed="false">
      <c r="A351" s="28" t="s">
        <v>2535</v>
      </c>
      <c r="B351" s="29" t="s">
        <v>839</v>
      </c>
      <c r="C351" s="29" t="s">
        <v>2536</v>
      </c>
      <c r="D351" s="30" t="s">
        <v>50</v>
      </c>
      <c r="E351" s="31"/>
      <c r="F351" s="32" t="n">
        <v>50</v>
      </c>
      <c r="G351" s="31" t="s">
        <v>98</v>
      </c>
      <c r="H351" s="31" t="n">
        <v>1</v>
      </c>
      <c r="I351" s="31" t="s">
        <v>173</v>
      </c>
      <c r="J351" s="29"/>
      <c r="K351" s="29" t="s">
        <v>2537</v>
      </c>
      <c r="L351" s="32" t="n">
        <v>23</v>
      </c>
      <c r="M351" s="33" t="s">
        <v>175</v>
      </c>
      <c r="N351" s="34" t="n">
        <v>75016</v>
      </c>
      <c r="O351" s="35" t="s">
        <v>55</v>
      </c>
      <c r="P351" s="36" t="s">
        <v>2538</v>
      </c>
      <c r="Q351" s="36" t="n">
        <v>3</v>
      </c>
      <c r="R351" s="32" t="n">
        <v>197</v>
      </c>
      <c r="S351" s="32" t="n">
        <v>4</v>
      </c>
      <c r="T351" s="32"/>
      <c r="U351" s="32"/>
      <c r="V351" s="37"/>
      <c r="W351" s="32"/>
      <c r="X351" s="34"/>
      <c r="Y351" s="34"/>
      <c r="Z351" s="32"/>
      <c r="AA351" s="32" t="s">
        <v>2539</v>
      </c>
      <c r="AB351" s="32" t="s">
        <v>2540</v>
      </c>
      <c r="AC351" s="38" t="str">
        <f aca="false">HYPERLINK("https://biocodex6--c.vf.force.com/0014L00000KFW7FQAX", "BOUTBOUL GILLES")</f>
        <v>BOUTBOUL GILLES</v>
      </c>
      <c r="AD351" s="38" t="str">
        <f aca="false">HYPERLINK("https://annuairesante.ameli.fr/professionnels-de-sante/recherche/fiche-detaillee-B7c1lTM4Mjq1.html", "BOUTBOUL GILLES")</f>
        <v>BOUTBOUL GILLES</v>
      </c>
      <c r="AE351" s="39"/>
      <c r="AF351" s="40"/>
      <c r="AG351" s="41"/>
      <c r="AH351" s="32"/>
      <c r="AI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XEY351" s="27"/>
      <c r="XEZ351" s="27"/>
      <c r="XFA351" s="27"/>
      <c r="XFB351" s="27"/>
      <c r="XFC351" s="27"/>
      <c r="XFD351" s="27"/>
    </row>
    <row r="352" s="42" customFormat="true" ht="14.15" hidden="false" customHeight="true" outlineLevel="0" collapsed="false">
      <c r="A352" s="28" t="s">
        <v>2541</v>
      </c>
      <c r="B352" s="29" t="s">
        <v>2542</v>
      </c>
      <c r="C352" s="29" t="s">
        <v>2543</v>
      </c>
      <c r="D352" s="30" t="s">
        <v>244</v>
      </c>
      <c r="E352" s="30" t="s">
        <v>741</v>
      </c>
      <c r="F352" s="32" t="n">
        <v>45</v>
      </c>
      <c r="G352" s="31" t="s">
        <v>215</v>
      </c>
      <c r="H352" s="31" t="n">
        <v>2</v>
      </c>
      <c r="I352" s="31" t="s">
        <v>62</v>
      </c>
      <c r="J352" s="29"/>
      <c r="K352" s="29" t="s">
        <v>917</v>
      </c>
      <c r="L352" s="32" t="n">
        <v>10</v>
      </c>
      <c r="M352" s="33" t="s">
        <v>918</v>
      </c>
      <c r="N352" s="34" t="n">
        <v>75017</v>
      </c>
      <c r="O352" s="35" t="s">
        <v>55</v>
      </c>
      <c r="P352" s="36" t="s">
        <v>2544</v>
      </c>
      <c r="Q352" s="36" t="n">
        <v>2</v>
      </c>
      <c r="R352" s="32" t="n">
        <v>186</v>
      </c>
      <c r="S352" s="32" t="n">
        <v>4</v>
      </c>
      <c r="T352" s="32"/>
      <c r="U352" s="32" t="n">
        <v>3</v>
      </c>
      <c r="V352" s="37" t="n">
        <v>3</v>
      </c>
      <c r="W352" s="32" t="n">
        <v>3</v>
      </c>
      <c r="X352" s="34"/>
      <c r="Y352" s="34" t="n">
        <v>2</v>
      </c>
      <c r="Z352" s="32" t="s">
        <v>2545</v>
      </c>
      <c r="AA352" s="32" t="s">
        <v>2546</v>
      </c>
      <c r="AB352" s="32" t="s">
        <v>2547</v>
      </c>
      <c r="AC352" s="38" t="str">
        <f aca="false">HYPERLINK("https://biocodex6--c.vf.force.com/0014L00000KFViQQAX", "BUI THUY THAO")</f>
        <v>BUI THUY THAO</v>
      </c>
      <c r="AD352" s="38" t="str">
        <f aca="false">HYPERLINK("https://annuairesante.ameli.fr/professionnels-de-sante/recherche/fiche-detaillee-B7c1mzY2Nju6.html", "BUI THUY THAO")</f>
        <v>BUI THUY THAO</v>
      </c>
      <c r="AE352" s="39" t="n">
        <v>45446.6041666667</v>
      </c>
      <c r="AF352" s="40" t="s">
        <v>2548</v>
      </c>
      <c r="AG352" s="41" t="s">
        <v>69</v>
      </c>
      <c r="AH352" s="32" t="s">
        <v>70</v>
      </c>
      <c r="AI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XEY352" s="27"/>
      <c r="XEZ352" s="27"/>
      <c r="XFA352" s="27"/>
      <c r="XFB352" s="27"/>
      <c r="XFC352" s="27"/>
      <c r="XFD352" s="27"/>
    </row>
    <row r="353" s="42" customFormat="true" ht="14.15" hidden="false" customHeight="true" outlineLevel="0" collapsed="false">
      <c r="A353" s="28" t="s">
        <v>2549</v>
      </c>
      <c r="B353" s="29" t="s">
        <v>2550</v>
      </c>
      <c r="C353" s="29" t="s">
        <v>2551</v>
      </c>
      <c r="D353" s="30" t="s">
        <v>75</v>
      </c>
      <c r="E353" s="31"/>
      <c r="F353" s="32" t="n">
        <v>46</v>
      </c>
      <c r="G353" s="31"/>
      <c r="H353" s="31" t="n">
        <v>1</v>
      </c>
      <c r="I353" s="31" t="s">
        <v>99</v>
      </c>
      <c r="J353" s="29" t="s">
        <v>595</v>
      </c>
      <c r="K353" s="29" t="s">
        <v>596</v>
      </c>
      <c r="L353" s="32" t="n">
        <v>20</v>
      </c>
      <c r="M353" s="33" t="s">
        <v>597</v>
      </c>
      <c r="N353" s="34" t="n">
        <v>75015</v>
      </c>
      <c r="O353" s="35" t="s">
        <v>55</v>
      </c>
      <c r="P353" s="36" t="s">
        <v>2251</v>
      </c>
      <c r="Q353" s="36" t="n">
        <v>90</v>
      </c>
      <c r="R353" s="32" t="n">
        <v>185</v>
      </c>
      <c r="S353" s="32" t="n">
        <v>4</v>
      </c>
      <c r="T353" s="32"/>
      <c r="U353" s="32"/>
      <c r="V353" s="37"/>
      <c r="W353" s="32"/>
      <c r="X353" s="34"/>
      <c r="Y353" s="34"/>
      <c r="Z353" s="32"/>
      <c r="AA353" s="32" t="s">
        <v>2552</v>
      </c>
      <c r="AB353" s="32"/>
      <c r="AC353" s="38" t="str">
        <f aca="false">HYPERLINK("https://biocodex6--c.vf.force.com/0014L00000KG6vPQAT", "ZAANAN AZIZ")</f>
        <v>ZAANAN AZIZ</v>
      </c>
      <c r="AD353" s="38"/>
      <c r="AE353" s="39" t="n">
        <v>45337.5208333333</v>
      </c>
      <c r="AF353" s="40"/>
      <c r="AG353" s="41"/>
      <c r="AH353" s="32"/>
      <c r="AI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XEY353" s="27"/>
      <c r="XEZ353" s="27"/>
      <c r="XFA353" s="27"/>
      <c r="XFB353" s="27"/>
      <c r="XFC353" s="27"/>
      <c r="XFD353" s="27"/>
    </row>
    <row r="354" s="42" customFormat="true" ht="14.15" hidden="false" customHeight="true" outlineLevel="0" collapsed="false">
      <c r="A354" s="28" t="s">
        <v>2553</v>
      </c>
      <c r="B354" s="29" t="s">
        <v>560</v>
      </c>
      <c r="C354" s="29" t="s">
        <v>2554</v>
      </c>
      <c r="D354" s="30" t="s">
        <v>50</v>
      </c>
      <c r="E354" s="30" t="s">
        <v>916</v>
      </c>
      <c r="F354" s="32" t="n">
        <v>68</v>
      </c>
      <c r="G354" s="31" t="s">
        <v>61</v>
      </c>
      <c r="H354" s="31" t="n">
        <v>1</v>
      </c>
      <c r="I354" s="31" t="s">
        <v>197</v>
      </c>
      <c r="J354" s="29"/>
      <c r="K354" s="29" t="s">
        <v>2555</v>
      </c>
      <c r="L354" s="32" t="n">
        <v>77</v>
      </c>
      <c r="M354" s="33" t="s">
        <v>646</v>
      </c>
      <c r="N354" s="34" t="n">
        <v>75017</v>
      </c>
      <c r="O354" s="35" t="s">
        <v>55</v>
      </c>
      <c r="P354" s="36" t="s">
        <v>2556</v>
      </c>
      <c r="Q354" s="36" t="n">
        <v>1</v>
      </c>
      <c r="R354" s="32" t="n">
        <v>185</v>
      </c>
      <c r="S354" s="32" t="n">
        <v>4</v>
      </c>
      <c r="T354" s="32"/>
      <c r="U354" s="32"/>
      <c r="V354" s="37"/>
      <c r="W354" s="32"/>
      <c r="X354" s="34"/>
      <c r="Y354" s="34" t="n">
        <v>1</v>
      </c>
      <c r="Z354" s="32"/>
      <c r="AA354" s="32" t="s">
        <v>2557</v>
      </c>
      <c r="AB354" s="32" t="s">
        <v>2558</v>
      </c>
      <c r="AC354" s="38" t="str">
        <f aca="false">HYPERLINK("https://biocodex6--c.vf.force.com/0014L00000KFnmeQAD", "SIMON LAB ELISABETH")</f>
        <v>SIMON LAB ELISABETH</v>
      </c>
      <c r="AD354" s="38" t="str">
        <f aca="false">HYPERLINK("https://annuairesante.ameli.fr/professionnels-de-sante/recherche/fiche-detaillee-B7c1lzo4NDaz.html", "SIMON LAB ELISABETH")</f>
        <v>SIMON LAB ELISABETH</v>
      </c>
      <c r="AE354" s="39"/>
      <c r="AF354" s="40"/>
      <c r="AG354" s="41"/>
      <c r="AH354" s="32"/>
      <c r="AI354" s="32"/>
      <c r="AL354" s="43" t="s">
        <v>263</v>
      </c>
      <c r="AM354" s="43" t="s">
        <v>137</v>
      </c>
      <c r="AN354" s="43" t="s">
        <v>263</v>
      </c>
      <c r="AO354" s="43" t="s">
        <v>262</v>
      </c>
      <c r="AP354" s="43" t="s">
        <v>263</v>
      </c>
      <c r="AQ354" s="43" t="s">
        <v>262</v>
      </c>
      <c r="AR354" s="43" t="s">
        <v>263</v>
      </c>
      <c r="AS354" s="43" t="s">
        <v>262</v>
      </c>
      <c r="AT354" s="43" t="s">
        <v>263</v>
      </c>
      <c r="AU354" s="43" t="s">
        <v>1670</v>
      </c>
      <c r="XEY354" s="27"/>
      <c r="XEZ354" s="27"/>
      <c r="XFA354" s="27"/>
      <c r="XFB354" s="27"/>
      <c r="XFC354" s="27"/>
      <c r="XFD354" s="27"/>
    </row>
    <row r="355" s="42" customFormat="true" ht="14.15" hidden="false" customHeight="true" outlineLevel="0" collapsed="false">
      <c r="A355" s="28" t="s">
        <v>2559</v>
      </c>
      <c r="B355" s="29" t="s">
        <v>1174</v>
      </c>
      <c r="C355" s="29" t="s">
        <v>2560</v>
      </c>
      <c r="D355" s="30" t="s">
        <v>112</v>
      </c>
      <c r="E355" s="31"/>
      <c r="F355" s="32" t="n">
        <v>73</v>
      </c>
      <c r="G355" s="31"/>
      <c r="H355" s="31" t="n">
        <v>2</v>
      </c>
      <c r="I355" s="31" t="s">
        <v>197</v>
      </c>
      <c r="J355" s="29" t="s">
        <v>2561</v>
      </c>
      <c r="K355" s="29" t="s">
        <v>2562</v>
      </c>
      <c r="L355" s="32" t="n">
        <v>6</v>
      </c>
      <c r="M355" s="33" t="s">
        <v>2563</v>
      </c>
      <c r="N355" s="34" t="n">
        <v>75017</v>
      </c>
      <c r="O355" s="35" t="s">
        <v>55</v>
      </c>
      <c r="P355" s="36" t="s">
        <v>2564</v>
      </c>
      <c r="Q355" s="36" t="n">
        <v>6</v>
      </c>
      <c r="R355" s="32" t="n">
        <v>174</v>
      </c>
      <c r="S355" s="32" t="n">
        <v>4</v>
      </c>
      <c r="T355" s="32"/>
      <c r="U355" s="32"/>
      <c r="V355" s="37"/>
      <c r="W355" s="32"/>
      <c r="X355" s="34"/>
      <c r="Y355" s="34"/>
      <c r="Z355" s="32"/>
      <c r="AA355" s="32" t="s">
        <v>2565</v>
      </c>
      <c r="AB355" s="32"/>
      <c r="AC355" s="38" t="str">
        <f aca="false">HYPERLINK("https://biocodex6--c.vf.force.com/0014L00000KFQOHQA5", "AMSELLEM SOLAL MARTINE")</f>
        <v>AMSELLEM SOLAL MARTINE</v>
      </c>
      <c r="AD355" s="38"/>
      <c r="AE355" s="39"/>
      <c r="AF355" s="40"/>
      <c r="AG355" s="41"/>
      <c r="AH355" s="32"/>
      <c r="AI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XEY355" s="27"/>
      <c r="XEZ355" s="27"/>
      <c r="XFA355" s="27"/>
      <c r="XFB355" s="27"/>
      <c r="XFC355" s="27"/>
      <c r="XFD355" s="27"/>
    </row>
    <row r="356" s="42" customFormat="true" ht="14.15" hidden="false" customHeight="true" outlineLevel="0" collapsed="false">
      <c r="A356" s="28" t="s">
        <v>2566</v>
      </c>
      <c r="B356" s="29" t="s">
        <v>2217</v>
      </c>
      <c r="C356" s="29" t="s">
        <v>2567</v>
      </c>
      <c r="D356" s="30" t="s">
        <v>50</v>
      </c>
      <c r="E356" s="31"/>
      <c r="F356" s="32" t="n">
        <v>43</v>
      </c>
      <c r="G356" s="31"/>
      <c r="H356" s="31" t="n">
        <v>1</v>
      </c>
      <c r="I356" s="31" t="s">
        <v>62</v>
      </c>
      <c r="J356" s="29"/>
      <c r="K356" s="29" t="s">
        <v>2568</v>
      </c>
      <c r="L356" s="32" t="n">
        <v>6</v>
      </c>
      <c r="M356" s="33" t="s">
        <v>833</v>
      </c>
      <c r="N356" s="34" t="n">
        <v>75017</v>
      </c>
      <c r="O356" s="35" t="s">
        <v>55</v>
      </c>
      <c r="P356" s="36" t="s">
        <v>2569</v>
      </c>
      <c r="Q356" s="36" t="n">
        <v>2</v>
      </c>
      <c r="R356" s="32" t="n">
        <v>165</v>
      </c>
      <c r="S356" s="32" t="n">
        <v>4</v>
      </c>
      <c r="T356" s="32"/>
      <c r="U356" s="32"/>
      <c r="V356" s="37"/>
      <c r="W356" s="32"/>
      <c r="X356" s="34"/>
      <c r="Y356" s="34"/>
      <c r="Z356" s="32"/>
      <c r="AA356" s="32" t="s">
        <v>2570</v>
      </c>
      <c r="AB356" s="32"/>
      <c r="AC356" s="38" t="str">
        <f aca="false">HYPERLINK("https://biocodex6--c.vf.force.com/0014L00000KFVlEQAX", "BOUDJABI FADLI SARAH")</f>
        <v>BOUDJABI FADLI SARAH</v>
      </c>
      <c r="AD356" s="38"/>
      <c r="AE356" s="39"/>
      <c r="AF356" s="40"/>
      <c r="AG356" s="41"/>
      <c r="AH356" s="32"/>
      <c r="AI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XEY356" s="27"/>
      <c r="XEZ356" s="27"/>
      <c r="XFA356" s="27"/>
      <c r="XFB356" s="27"/>
      <c r="XFC356" s="27"/>
      <c r="XFD356" s="27"/>
    </row>
    <row r="357" s="42" customFormat="true" ht="14.15" hidden="false" customHeight="true" outlineLevel="0" collapsed="false">
      <c r="A357" s="28" t="s">
        <v>2571</v>
      </c>
      <c r="B357" s="29" t="s">
        <v>2572</v>
      </c>
      <c r="C357" s="29" t="s">
        <v>2573</v>
      </c>
      <c r="D357" s="30" t="s">
        <v>50</v>
      </c>
      <c r="E357" s="31"/>
      <c r="F357" s="32" t="n">
        <v>35</v>
      </c>
      <c r="G357" s="31"/>
      <c r="H357" s="31" t="n">
        <v>1</v>
      </c>
      <c r="I357" s="31" t="s">
        <v>99</v>
      </c>
      <c r="J357" s="29" t="s">
        <v>595</v>
      </c>
      <c r="K357" s="29" t="s">
        <v>596</v>
      </c>
      <c r="L357" s="32" t="n">
        <v>20</v>
      </c>
      <c r="M357" s="33" t="s">
        <v>597</v>
      </c>
      <c r="N357" s="34" t="n">
        <v>75015</v>
      </c>
      <c r="O357" s="35" t="s">
        <v>55</v>
      </c>
      <c r="P357" s="36" t="s">
        <v>2574</v>
      </c>
      <c r="Q357" s="36" t="n">
        <v>90</v>
      </c>
      <c r="R357" s="32" t="n">
        <v>162</v>
      </c>
      <c r="S357" s="32" t="n">
        <v>4</v>
      </c>
      <c r="T357" s="32"/>
      <c r="U357" s="32"/>
      <c r="V357" s="37"/>
      <c r="W357" s="32"/>
      <c r="X357" s="34"/>
      <c r="Y357" s="34"/>
      <c r="Z357" s="32"/>
      <c r="AA357" s="32" t="s">
        <v>2575</v>
      </c>
      <c r="AB357" s="32"/>
      <c r="AC357" s="38" t="str">
        <f aca="false">HYPERLINK("https://biocodex6--c.vf.force.com/0014L00000KGDzIQAX", "KHIDER LINA")</f>
        <v>KHIDER LINA</v>
      </c>
      <c r="AD357" s="38"/>
      <c r="AE357" s="39"/>
      <c r="AF357" s="40"/>
      <c r="AG357" s="41"/>
      <c r="AH357" s="32"/>
      <c r="AI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XEY357" s="27"/>
      <c r="XEZ357" s="27"/>
      <c r="XFA357" s="27"/>
      <c r="XFB357" s="27"/>
      <c r="XFC357" s="27"/>
      <c r="XFD357" s="27"/>
    </row>
    <row r="358" s="42" customFormat="true" ht="14.15" hidden="false" customHeight="true" outlineLevel="0" collapsed="false">
      <c r="A358" s="28" t="s">
        <v>2576</v>
      </c>
      <c r="B358" s="29" t="s">
        <v>2577</v>
      </c>
      <c r="C358" s="29" t="s">
        <v>2578</v>
      </c>
      <c r="D358" s="30" t="s">
        <v>50</v>
      </c>
      <c r="E358" s="31"/>
      <c r="F358" s="32" t="n">
        <v>35</v>
      </c>
      <c r="G358" s="31"/>
      <c r="H358" s="31" t="n">
        <v>1</v>
      </c>
      <c r="I358" s="31" t="s">
        <v>295</v>
      </c>
      <c r="J358" s="29" t="s">
        <v>489</v>
      </c>
      <c r="K358" s="29" t="s">
        <v>1183</v>
      </c>
      <c r="L358" s="32" t="n">
        <v>4</v>
      </c>
      <c r="M358" s="33" t="s">
        <v>297</v>
      </c>
      <c r="N358" s="34" t="n">
        <v>92300</v>
      </c>
      <c r="O358" s="35" t="s">
        <v>298</v>
      </c>
      <c r="P358" s="36" t="s">
        <v>1184</v>
      </c>
      <c r="Q358" s="36" t="n">
        <v>27</v>
      </c>
      <c r="R358" s="32" t="n">
        <v>161</v>
      </c>
      <c r="S358" s="32" t="n">
        <v>4</v>
      </c>
      <c r="T358" s="32"/>
      <c r="U358" s="32"/>
      <c r="V358" s="37"/>
      <c r="W358" s="32"/>
      <c r="X358" s="34"/>
      <c r="Y358" s="34"/>
      <c r="Z358" s="32"/>
      <c r="AA358" s="32" t="s">
        <v>2579</v>
      </c>
      <c r="AB358" s="32"/>
      <c r="AC358" s="38" t="str">
        <f aca="false">HYPERLINK("https://biocodex6--c.vf.force.com/0014L00000KG9H5QAL", "TRIALOUP SARAH LAURE")</f>
        <v>TRIALOUP SARAH LAURE</v>
      </c>
      <c r="AD358" s="38"/>
      <c r="AE358" s="39"/>
      <c r="AF358" s="40"/>
      <c r="AG358" s="41"/>
      <c r="AH358" s="32"/>
      <c r="AI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XEY358" s="27"/>
      <c r="XEZ358" s="27"/>
      <c r="XFA358" s="27"/>
      <c r="XFB358" s="27"/>
      <c r="XFC358" s="27"/>
      <c r="XFD358" s="27"/>
    </row>
    <row r="359" s="42" customFormat="true" ht="14.15" hidden="false" customHeight="true" outlineLevel="0" collapsed="false">
      <c r="A359" s="28" t="s">
        <v>2580</v>
      </c>
      <c r="B359" s="29" t="s">
        <v>1196</v>
      </c>
      <c r="C359" s="29" t="s">
        <v>2581</v>
      </c>
      <c r="D359" s="30" t="s">
        <v>50</v>
      </c>
      <c r="E359" s="31"/>
      <c r="F359" s="32" t="n">
        <v>54</v>
      </c>
      <c r="G359" s="31"/>
      <c r="H359" s="31" t="n">
        <v>1</v>
      </c>
      <c r="I359" s="31" t="s">
        <v>99</v>
      </c>
      <c r="J359" s="29" t="s">
        <v>595</v>
      </c>
      <c r="K359" s="29" t="s">
        <v>596</v>
      </c>
      <c r="L359" s="32" t="n">
        <v>20</v>
      </c>
      <c r="M359" s="33" t="s">
        <v>597</v>
      </c>
      <c r="N359" s="34" t="n">
        <v>75015</v>
      </c>
      <c r="O359" s="35" t="s">
        <v>55</v>
      </c>
      <c r="P359" s="36" t="s">
        <v>2582</v>
      </c>
      <c r="Q359" s="36" t="n">
        <v>90</v>
      </c>
      <c r="R359" s="32" t="n">
        <v>159</v>
      </c>
      <c r="S359" s="32" t="n">
        <v>4</v>
      </c>
      <c r="T359" s="32"/>
      <c r="U359" s="32"/>
      <c r="V359" s="37"/>
      <c r="W359" s="32"/>
      <c r="X359" s="34"/>
      <c r="Y359" s="34"/>
      <c r="Z359" s="32"/>
      <c r="AA359" s="32" t="s">
        <v>2583</v>
      </c>
      <c r="AB359" s="32"/>
      <c r="AC359" s="38" t="str">
        <f aca="false">HYPERLINK("https://biocodex6--c.vf.force.com/0014L00000KFpu3QAD", "MEIMOUN JULIA")</f>
        <v>MEIMOUN JULIA</v>
      </c>
      <c r="AD359" s="38"/>
      <c r="AE359" s="39"/>
      <c r="AF359" s="40"/>
      <c r="AG359" s="41"/>
      <c r="AH359" s="32"/>
      <c r="AI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XEY359" s="27"/>
      <c r="XEZ359" s="27"/>
      <c r="XFA359" s="27"/>
      <c r="XFB359" s="27"/>
      <c r="XFC359" s="27"/>
      <c r="XFD359" s="27"/>
    </row>
    <row r="360" s="42" customFormat="true" ht="14.15" hidden="false" customHeight="true" outlineLevel="0" collapsed="false">
      <c r="A360" s="28" t="s">
        <v>2584</v>
      </c>
      <c r="B360" s="29" t="s">
        <v>2585</v>
      </c>
      <c r="C360" s="29" t="s">
        <v>2586</v>
      </c>
      <c r="D360" s="30" t="s">
        <v>50</v>
      </c>
      <c r="E360" s="31"/>
      <c r="F360" s="32" t="n">
        <v>35</v>
      </c>
      <c r="G360" s="31"/>
      <c r="H360" s="31" t="n">
        <v>1</v>
      </c>
      <c r="I360" s="31" t="s">
        <v>295</v>
      </c>
      <c r="J360" s="29" t="s">
        <v>489</v>
      </c>
      <c r="K360" s="29" t="s">
        <v>1183</v>
      </c>
      <c r="L360" s="32" t="n">
        <v>4</v>
      </c>
      <c r="M360" s="33" t="s">
        <v>297</v>
      </c>
      <c r="N360" s="34" t="n">
        <v>92300</v>
      </c>
      <c r="O360" s="35" t="s">
        <v>298</v>
      </c>
      <c r="P360" s="36" t="s">
        <v>1184</v>
      </c>
      <c r="Q360" s="36" t="n">
        <v>27</v>
      </c>
      <c r="R360" s="32" t="n">
        <v>156</v>
      </c>
      <c r="S360" s="32" t="n">
        <v>4</v>
      </c>
      <c r="T360" s="32"/>
      <c r="U360" s="32"/>
      <c r="V360" s="37"/>
      <c r="W360" s="32"/>
      <c r="X360" s="34"/>
      <c r="Y360" s="34"/>
      <c r="Z360" s="32"/>
      <c r="AA360" s="32" t="s">
        <v>2587</v>
      </c>
      <c r="AB360" s="32"/>
      <c r="AC360" s="38" t="str">
        <f aca="false">HYPERLINK("https://biocodex6--c.vf.force.com/0014L00000KGD6LQAX", "CADENNES ALICE")</f>
        <v>CADENNES ALICE</v>
      </c>
      <c r="AD360" s="38"/>
      <c r="AE360" s="39" t="n">
        <v>45223.6458333333</v>
      </c>
      <c r="AF360" s="40"/>
      <c r="AG360" s="41"/>
      <c r="AH360" s="32"/>
      <c r="AI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XEY360" s="27"/>
      <c r="XEZ360" s="27"/>
      <c r="XFA360" s="27"/>
      <c r="XFB360" s="27"/>
      <c r="XFC360" s="27"/>
      <c r="XFD360" s="27"/>
    </row>
    <row r="361" s="42" customFormat="true" ht="14.15" hidden="false" customHeight="true" outlineLevel="0" collapsed="false">
      <c r="A361" s="28" t="s">
        <v>2588</v>
      </c>
      <c r="B361" s="29" t="s">
        <v>2589</v>
      </c>
      <c r="C361" s="29" t="s">
        <v>2590</v>
      </c>
      <c r="D361" s="30" t="s">
        <v>50</v>
      </c>
      <c r="E361" s="30" t="s">
        <v>244</v>
      </c>
      <c r="F361" s="32" t="n">
        <v>44</v>
      </c>
      <c r="G361" s="31"/>
      <c r="H361" s="31" t="n">
        <v>2</v>
      </c>
      <c r="I361" s="31" t="s">
        <v>295</v>
      </c>
      <c r="J361" s="29" t="s">
        <v>489</v>
      </c>
      <c r="K361" s="29" t="s">
        <v>490</v>
      </c>
      <c r="L361" s="32" t="n">
        <v>3</v>
      </c>
      <c r="M361" s="33" t="s">
        <v>491</v>
      </c>
      <c r="N361" s="34" t="n">
        <v>92300</v>
      </c>
      <c r="O361" s="35" t="s">
        <v>298</v>
      </c>
      <c r="P361" s="36"/>
      <c r="Q361" s="36" t="n">
        <v>26</v>
      </c>
      <c r="R361" s="32" t="n">
        <v>156</v>
      </c>
      <c r="S361" s="32" t="n">
        <v>4</v>
      </c>
      <c r="T361" s="32"/>
      <c r="U361" s="32"/>
      <c r="V361" s="37"/>
      <c r="W361" s="32"/>
      <c r="X361" s="34"/>
      <c r="Y361" s="34"/>
      <c r="Z361" s="32"/>
      <c r="AA361" s="32" t="s">
        <v>2591</v>
      </c>
      <c r="AB361" s="32"/>
      <c r="AC361" s="38" t="str">
        <f aca="false">HYPERLINK("https://biocodex6--c.vf.force.com/0014L00000KFKmZQAX", "DOUIBI SAMIRA")</f>
        <v>DOUIBI SAMIRA</v>
      </c>
      <c r="AD361" s="38"/>
      <c r="AE361" s="39" t="n">
        <v>45222.6666666667</v>
      </c>
      <c r="AF361" s="40"/>
      <c r="AG361" s="41"/>
      <c r="AH361" s="32"/>
      <c r="AI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XEY361" s="27"/>
      <c r="XEZ361" s="27"/>
      <c r="XFA361" s="27"/>
      <c r="XFB361" s="27"/>
      <c r="XFC361" s="27"/>
      <c r="XFD361" s="27"/>
    </row>
    <row r="362" s="42" customFormat="true" ht="14.15" hidden="false" customHeight="true" outlineLevel="0" collapsed="false">
      <c r="A362" s="28" t="s">
        <v>2592</v>
      </c>
      <c r="B362" s="29" t="s">
        <v>1600</v>
      </c>
      <c r="C362" s="29" t="s">
        <v>2593</v>
      </c>
      <c r="D362" s="30" t="s">
        <v>50</v>
      </c>
      <c r="E362" s="31"/>
      <c r="F362" s="32" t="n">
        <v>55</v>
      </c>
      <c r="G362" s="31"/>
      <c r="H362" s="31" t="n">
        <v>1</v>
      </c>
      <c r="I362" s="31" t="s">
        <v>295</v>
      </c>
      <c r="J362" s="29" t="s">
        <v>489</v>
      </c>
      <c r="K362" s="29" t="s">
        <v>1183</v>
      </c>
      <c r="L362" s="32" t="n">
        <v>4</v>
      </c>
      <c r="M362" s="33" t="s">
        <v>297</v>
      </c>
      <c r="N362" s="34" t="n">
        <v>92300</v>
      </c>
      <c r="O362" s="35" t="s">
        <v>298</v>
      </c>
      <c r="P362" s="36" t="s">
        <v>1184</v>
      </c>
      <c r="Q362" s="36" t="n">
        <v>27</v>
      </c>
      <c r="R362" s="32" t="n">
        <v>156</v>
      </c>
      <c r="S362" s="32" t="n">
        <v>4</v>
      </c>
      <c r="T362" s="32"/>
      <c r="U362" s="32"/>
      <c r="V362" s="37"/>
      <c r="W362" s="32"/>
      <c r="X362" s="34"/>
      <c r="Y362" s="34"/>
      <c r="Z362" s="32"/>
      <c r="AA362" s="32" t="s">
        <v>2594</v>
      </c>
      <c r="AB362" s="32"/>
      <c r="AC362" s="38" t="str">
        <f aca="false">HYPERLINK("https://biocodex6--c.vf.force.com/0014L00000KG6uqQAD", "RONSIN ZANKER CAROLINE")</f>
        <v>RONSIN ZANKER CAROLINE</v>
      </c>
      <c r="AD362" s="38"/>
      <c r="AE362" s="39"/>
      <c r="AF362" s="40"/>
      <c r="AG362" s="41"/>
      <c r="AH362" s="32"/>
      <c r="AI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XEY362" s="27"/>
      <c r="XEZ362" s="27"/>
      <c r="XFA362" s="27"/>
      <c r="XFB362" s="27"/>
      <c r="XFC362" s="27"/>
      <c r="XFD362" s="27"/>
    </row>
    <row r="363" s="42" customFormat="true" ht="14.15" hidden="false" customHeight="true" outlineLevel="0" collapsed="false">
      <c r="A363" s="28" t="s">
        <v>2595</v>
      </c>
      <c r="B363" s="29" t="s">
        <v>2596</v>
      </c>
      <c r="C363" s="29" t="s">
        <v>2597</v>
      </c>
      <c r="D363" s="30" t="s">
        <v>50</v>
      </c>
      <c r="E363" s="30" t="s">
        <v>344</v>
      </c>
      <c r="F363" s="32" t="n">
        <v>60</v>
      </c>
      <c r="G363" s="31" t="s">
        <v>98</v>
      </c>
      <c r="H363" s="31" t="n">
        <v>1</v>
      </c>
      <c r="I363" s="31" t="s">
        <v>572</v>
      </c>
      <c r="J363" s="29" t="s">
        <v>678</v>
      </c>
      <c r="K363" s="29" t="s">
        <v>679</v>
      </c>
      <c r="L363" s="32" t="n">
        <v>6</v>
      </c>
      <c r="M363" s="33" t="s">
        <v>680</v>
      </c>
      <c r="N363" s="34" t="n">
        <v>75008</v>
      </c>
      <c r="O363" s="35" t="s">
        <v>55</v>
      </c>
      <c r="P363" s="36" t="s">
        <v>870</v>
      </c>
      <c r="Q363" s="36" t="n">
        <v>43</v>
      </c>
      <c r="R363" s="32" t="n">
        <v>150</v>
      </c>
      <c r="S363" s="32" t="n">
        <v>4</v>
      </c>
      <c r="T363" s="32"/>
      <c r="U363" s="32"/>
      <c r="V363" s="37"/>
      <c r="W363" s="32"/>
      <c r="X363" s="34" t="n">
        <v>1</v>
      </c>
      <c r="Y363" s="34"/>
      <c r="Z363" s="32"/>
      <c r="AA363" s="32" t="s">
        <v>2598</v>
      </c>
      <c r="AB363" s="32" t="s">
        <v>2599</v>
      </c>
      <c r="AC363" s="38" t="str">
        <f aca="false">HYPERLINK("https://biocodex6--c.vf.force.com/0014L00000KFlnxQAD", "LAMBERTI CARLA")</f>
        <v>LAMBERTI CARLA</v>
      </c>
      <c r="AD363" s="38" t="str">
        <f aca="false">HYPERLINK("https://annuairesante.ameli.fr/professionnels-de-sante/recherche/fiche-detaillee-B7c1lzU3MTe6.html", "LAMBERTI CARLA")</f>
        <v>LAMBERTI CARLA</v>
      </c>
      <c r="AE363" s="39" t="n">
        <v>45281.4375</v>
      </c>
      <c r="AF363" s="40" t="s">
        <v>2600</v>
      </c>
      <c r="AG363" s="41"/>
      <c r="AH363" s="32"/>
      <c r="AI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XEY363" s="27"/>
      <c r="XEZ363" s="27"/>
      <c r="XFA363" s="27"/>
      <c r="XFB363" s="27"/>
      <c r="XFC363" s="27"/>
      <c r="XFD363" s="27"/>
    </row>
    <row r="364" s="42" customFormat="true" ht="14.15" hidden="false" customHeight="true" outlineLevel="0" collapsed="false">
      <c r="A364" s="28" t="s">
        <v>2601</v>
      </c>
      <c r="B364" s="29" t="s">
        <v>619</v>
      </c>
      <c r="C364" s="29" t="s">
        <v>2602</v>
      </c>
      <c r="D364" s="30" t="s">
        <v>50</v>
      </c>
      <c r="E364" s="30" t="s">
        <v>386</v>
      </c>
      <c r="F364" s="32" t="n">
        <v>69</v>
      </c>
      <c r="G364" s="31"/>
      <c r="H364" s="31" t="n">
        <v>1</v>
      </c>
      <c r="I364" s="31" t="s">
        <v>572</v>
      </c>
      <c r="J364" s="29" t="s">
        <v>678</v>
      </c>
      <c r="K364" s="29" t="s">
        <v>679</v>
      </c>
      <c r="L364" s="32" t="n">
        <v>6</v>
      </c>
      <c r="M364" s="33" t="s">
        <v>680</v>
      </c>
      <c r="N364" s="34" t="n">
        <v>75008</v>
      </c>
      <c r="O364" s="35" t="s">
        <v>55</v>
      </c>
      <c r="P364" s="36" t="s">
        <v>870</v>
      </c>
      <c r="Q364" s="36" t="n">
        <v>43</v>
      </c>
      <c r="R364" s="32" t="n">
        <v>150</v>
      </c>
      <c r="S364" s="32" t="n">
        <v>4</v>
      </c>
      <c r="T364" s="32"/>
      <c r="U364" s="32"/>
      <c r="V364" s="37"/>
      <c r="W364" s="32"/>
      <c r="X364" s="34"/>
      <c r="Y364" s="34"/>
      <c r="Z364" s="32"/>
      <c r="AA364" s="32" t="s">
        <v>2603</v>
      </c>
      <c r="AB364" s="32"/>
      <c r="AC364" s="38" t="str">
        <f aca="false">HYPERLINK("https://biocodex6--c.vf.force.com/0014L00000KFXQAQA5", "CONVINDASSAMY CHEN CHARLES")</f>
        <v>CONVINDASSAMY CHEN CHARLES</v>
      </c>
      <c r="AD364" s="38"/>
      <c r="AE364" s="39" t="n">
        <v>45265.6041666667</v>
      </c>
      <c r="AF364" s="40"/>
      <c r="AG364" s="41"/>
      <c r="AH364" s="32"/>
      <c r="AI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XEY364" s="27"/>
      <c r="XEZ364" s="27"/>
      <c r="XFA364" s="27"/>
      <c r="XFB364" s="27"/>
      <c r="XFC364" s="27"/>
      <c r="XFD364" s="27"/>
    </row>
    <row r="365" s="42" customFormat="true" ht="14.15" hidden="false" customHeight="true" outlineLevel="0" collapsed="false">
      <c r="A365" s="28" t="s">
        <v>2604</v>
      </c>
      <c r="B365" s="29" t="s">
        <v>2605</v>
      </c>
      <c r="C365" s="29" t="s">
        <v>2606</v>
      </c>
      <c r="D365" s="30" t="s">
        <v>50</v>
      </c>
      <c r="E365" s="30" t="s">
        <v>776</v>
      </c>
      <c r="F365" s="32" t="n">
        <v>73</v>
      </c>
      <c r="G365" s="31"/>
      <c r="H365" s="31" t="n">
        <v>1</v>
      </c>
      <c r="I365" s="31" t="s">
        <v>572</v>
      </c>
      <c r="J365" s="29" t="s">
        <v>678</v>
      </c>
      <c r="K365" s="29" t="s">
        <v>679</v>
      </c>
      <c r="L365" s="32" t="n">
        <v>6</v>
      </c>
      <c r="M365" s="33" t="s">
        <v>680</v>
      </c>
      <c r="N365" s="34" t="n">
        <v>75008</v>
      </c>
      <c r="O365" s="35" t="s">
        <v>55</v>
      </c>
      <c r="P365" s="36" t="s">
        <v>870</v>
      </c>
      <c r="Q365" s="36" t="n">
        <v>43</v>
      </c>
      <c r="R365" s="32" t="n">
        <v>150</v>
      </c>
      <c r="S365" s="32" t="n">
        <v>4</v>
      </c>
      <c r="T365" s="32"/>
      <c r="U365" s="32"/>
      <c r="V365" s="37"/>
      <c r="W365" s="32"/>
      <c r="X365" s="34" t="n">
        <v>1</v>
      </c>
      <c r="Y365" s="34"/>
      <c r="Z365" s="32"/>
      <c r="AA365" s="32" t="s">
        <v>2607</v>
      </c>
      <c r="AB365" s="32"/>
      <c r="AC365" s="38" t="str">
        <f aca="false">HYPERLINK("https://biocodex6--c.vf.force.com/0014L00000KFmYzQAL", "LAYT ANAS")</f>
        <v>LAYT ANAS</v>
      </c>
      <c r="AD365" s="38"/>
      <c r="AE365" s="39" t="n">
        <v>45191.4166666667</v>
      </c>
      <c r="AF365" s="40"/>
      <c r="AG365" s="41"/>
      <c r="AH365" s="32"/>
      <c r="AI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XEY365" s="27"/>
      <c r="XEZ365" s="27"/>
      <c r="XFA365" s="27"/>
      <c r="XFB365" s="27"/>
      <c r="XFC365" s="27"/>
      <c r="XFD365" s="27"/>
    </row>
    <row r="366" s="42" customFormat="true" ht="14.15" hidden="false" customHeight="true" outlineLevel="0" collapsed="false">
      <c r="A366" s="28" t="s">
        <v>2608</v>
      </c>
      <c r="B366" s="29" t="s">
        <v>2609</v>
      </c>
      <c r="C366" s="29" t="s">
        <v>2610</v>
      </c>
      <c r="D366" s="30" t="s">
        <v>50</v>
      </c>
      <c r="E366" s="31"/>
      <c r="F366" s="32" t="n">
        <v>0</v>
      </c>
      <c r="G366" s="31"/>
      <c r="H366" s="31" t="n">
        <v>2</v>
      </c>
      <c r="I366" s="31" t="s">
        <v>572</v>
      </c>
      <c r="J366" s="29" t="s">
        <v>678</v>
      </c>
      <c r="K366" s="29" t="s">
        <v>679</v>
      </c>
      <c r="L366" s="32" t="n">
        <v>6</v>
      </c>
      <c r="M366" s="33" t="s">
        <v>680</v>
      </c>
      <c r="N366" s="34" t="n">
        <v>75008</v>
      </c>
      <c r="O366" s="35" t="s">
        <v>55</v>
      </c>
      <c r="P366" s="36" t="s">
        <v>870</v>
      </c>
      <c r="Q366" s="36" t="n">
        <v>43</v>
      </c>
      <c r="R366" s="32" t="n">
        <v>150</v>
      </c>
      <c r="S366" s="32" t="n">
        <v>4</v>
      </c>
      <c r="T366" s="32"/>
      <c r="U366" s="32"/>
      <c r="V366" s="37"/>
      <c r="W366" s="32"/>
      <c r="X366" s="34"/>
      <c r="Y366" s="34"/>
      <c r="Z366" s="32"/>
      <c r="AA366" s="32" t="s">
        <v>2611</v>
      </c>
      <c r="AB366" s="32"/>
      <c r="AC366" s="38" t="str">
        <f aca="false">HYPERLINK("https://biocodex6--c.vf.force.com/0014L00000KG8QoQAL", "MORJANE AMINE")</f>
        <v>MORJANE AMINE</v>
      </c>
      <c r="AD366" s="38"/>
      <c r="AE366" s="39" t="n">
        <v>45461.4375</v>
      </c>
      <c r="AF366" s="40"/>
      <c r="AG366" s="41"/>
      <c r="AH366" s="32"/>
      <c r="AI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XEY366" s="27"/>
      <c r="XEZ366" s="27"/>
      <c r="XFA366" s="27"/>
      <c r="XFB366" s="27"/>
      <c r="XFC366" s="27"/>
      <c r="XFD366" s="27"/>
    </row>
    <row r="367" s="42" customFormat="true" ht="14.15" hidden="false" customHeight="true" outlineLevel="0" collapsed="false">
      <c r="A367" s="28" t="s">
        <v>2612</v>
      </c>
      <c r="B367" s="29" t="s">
        <v>2613</v>
      </c>
      <c r="C367" s="29" t="s">
        <v>2614</v>
      </c>
      <c r="D367" s="30" t="s">
        <v>50</v>
      </c>
      <c r="E367" s="31"/>
      <c r="F367" s="32" t="n">
        <v>36</v>
      </c>
      <c r="G367" s="31" t="s">
        <v>98</v>
      </c>
      <c r="H367" s="31" t="n">
        <v>1</v>
      </c>
      <c r="I367" s="31" t="s">
        <v>62</v>
      </c>
      <c r="J367" s="29"/>
      <c r="K367" s="29" t="s">
        <v>2615</v>
      </c>
      <c r="L367" s="32" t="n">
        <v>81</v>
      </c>
      <c r="M367" s="33" t="s">
        <v>2616</v>
      </c>
      <c r="N367" s="34" t="n">
        <v>75017</v>
      </c>
      <c r="O367" s="35" t="s">
        <v>55</v>
      </c>
      <c r="P367" s="36" t="s">
        <v>2617</v>
      </c>
      <c r="Q367" s="36" t="n">
        <v>3</v>
      </c>
      <c r="R367" s="32" t="n">
        <v>150</v>
      </c>
      <c r="S367" s="32" t="n">
        <v>4</v>
      </c>
      <c r="T367" s="32"/>
      <c r="U367" s="32"/>
      <c r="V367" s="37"/>
      <c r="W367" s="32"/>
      <c r="X367" s="34"/>
      <c r="Y367" s="34"/>
      <c r="Z367" s="36"/>
      <c r="AA367" s="32" t="s">
        <v>2618</v>
      </c>
      <c r="AB367" s="32" t="s">
        <v>2619</v>
      </c>
      <c r="AC367" s="38" t="str">
        <f aca="false">HYPERLINK("https://biocodex6--c.vf.force.com/0014L00000KG9a2QAD", "CROIZIER CHANIOT OZANNE")</f>
        <v>CROIZIER CHANIOT OZANNE</v>
      </c>
      <c r="AD367" s="38" t="str">
        <f aca="false">HYPERLINK("https://annuairesante.ameli.fr/professionnels-de-sante/recherche/fiche-detaillee-B7c1kjUzMTGx.html", "CROIZIER CHANIOT OZANNE")</f>
        <v>CROIZIER CHANIOT OZANNE</v>
      </c>
      <c r="AE367" s="39"/>
      <c r="AF367" s="40"/>
      <c r="AG367" s="41"/>
      <c r="AH367" s="32" t="s">
        <v>179</v>
      </c>
      <c r="AI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XEY367" s="27"/>
      <c r="XEZ367" s="27"/>
      <c r="XFA367" s="27"/>
      <c r="XFB367" s="27"/>
      <c r="XFC367" s="27"/>
      <c r="XFD367" s="27"/>
    </row>
    <row r="368" s="42" customFormat="true" ht="14.15" hidden="false" customHeight="true" outlineLevel="0" collapsed="false">
      <c r="A368" s="28" t="s">
        <v>2620</v>
      </c>
      <c r="B368" s="29" t="s">
        <v>2621</v>
      </c>
      <c r="C368" s="29" t="s">
        <v>2622</v>
      </c>
      <c r="D368" s="30" t="s">
        <v>50</v>
      </c>
      <c r="E368" s="30" t="s">
        <v>255</v>
      </c>
      <c r="F368" s="32" t="n">
        <v>48</v>
      </c>
      <c r="G368" s="31"/>
      <c r="H368" s="31" t="n">
        <v>1</v>
      </c>
      <c r="I368" s="31" t="s">
        <v>295</v>
      </c>
      <c r="J368" s="29" t="s">
        <v>489</v>
      </c>
      <c r="K368" s="29" t="s">
        <v>1183</v>
      </c>
      <c r="L368" s="32" t="n">
        <v>4</v>
      </c>
      <c r="M368" s="33" t="s">
        <v>297</v>
      </c>
      <c r="N368" s="34" t="n">
        <v>92300</v>
      </c>
      <c r="O368" s="35" t="s">
        <v>298</v>
      </c>
      <c r="P368" s="36" t="s">
        <v>2623</v>
      </c>
      <c r="Q368" s="36" t="n">
        <v>27</v>
      </c>
      <c r="R368" s="32" t="n">
        <v>149</v>
      </c>
      <c r="S368" s="32" t="n">
        <v>4</v>
      </c>
      <c r="T368" s="32"/>
      <c r="U368" s="32"/>
      <c r="V368" s="37"/>
      <c r="W368" s="32"/>
      <c r="X368" s="34"/>
      <c r="Y368" s="34"/>
      <c r="Z368" s="32"/>
      <c r="AA368" s="32" t="s">
        <v>2624</v>
      </c>
      <c r="AB368" s="32"/>
      <c r="AC368" s="38" t="str">
        <f aca="false">HYPERLINK("https://biocodex6--c.vf.force.com/0014L00000KG6rDQAT", "WAGHELA ROSELYNE")</f>
        <v>WAGHELA ROSELYNE</v>
      </c>
      <c r="AD368" s="38"/>
      <c r="AE368" s="39"/>
      <c r="AF368" s="40"/>
      <c r="AG368" s="41"/>
      <c r="AH368" s="32"/>
      <c r="AI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XEY368" s="27"/>
      <c r="XEZ368" s="27"/>
      <c r="XFA368" s="27"/>
      <c r="XFB368" s="27"/>
      <c r="XFC368" s="27"/>
      <c r="XFD368" s="27"/>
    </row>
    <row r="369" s="42" customFormat="true" ht="14.15" hidden="false" customHeight="true" outlineLevel="0" collapsed="false">
      <c r="A369" s="28" t="s">
        <v>2625</v>
      </c>
      <c r="B369" s="29" t="s">
        <v>182</v>
      </c>
      <c r="C369" s="29" t="s">
        <v>2626</v>
      </c>
      <c r="D369" s="30" t="s">
        <v>112</v>
      </c>
      <c r="E369" s="30" t="s">
        <v>1228</v>
      </c>
      <c r="F369" s="32" t="n">
        <v>54</v>
      </c>
      <c r="G369" s="31" t="s">
        <v>215</v>
      </c>
      <c r="H369" s="31" t="n">
        <v>1</v>
      </c>
      <c r="I369" s="31" t="s">
        <v>51</v>
      </c>
      <c r="J369" s="29"/>
      <c r="K369" s="29" t="s">
        <v>2627</v>
      </c>
      <c r="L369" s="32" t="n">
        <v>11</v>
      </c>
      <c r="M369" s="33" t="s">
        <v>2628</v>
      </c>
      <c r="N369" s="34" t="n">
        <v>75015</v>
      </c>
      <c r="O369" s="35" t="s">
        <v>55</v>
      </c>
      <c r="P369" s="36" t="s">
        <v>2629</v>
      </c>
      <c r="Q369" s="36" t="n">
        <v>1</v>
      </c>
      <c r="R369" s="32" t="n">
        <v>142</v>
      </c>
      <c r="S369" s="32" t="n">
        <v>4</v>
      </c>
      <c r="T369" s="32"/>
      <c r="U369" s="32"/>
      <c r="V369" s="37"/>
      <c r="W369" s="32"/>
      <c r="X369" s="34"/>
      <c r="Y369" s="34"/>
      <c r="Z369" s="32"/>
      <c r="AA369" s="32" t="s">
        <v>2630</v>
      </c>
      <c r="AB369" s="32" t="s">
        <v>2631</v>
      </c>
      <c r="AC369" s="38" t="str">
        <f aca="false">HYPERLINK("https://biocodex6--c.vf.force.com/0014L00000KFr5OQAT", "MARQUET LAURENT")</f>
        <v>MARQUET LAURENT</v>
      </c>
      <c r="AD369" s="38" t="str">
        <f aca="false">HYPERLINK("https://annuairesante.ameli.fr/professionnels-de-sante/recherche/fiche-detaillee-B7c1mzY4NzC6.html", "MARQUET LAURENT")</f>
        <v>MARQUET LAURENT</v>
      </c>
      <c r="AE369" s="39"/>
      <c r="AF369" s="40"/>
      <c r="AG369" s="41"/>
      <c r="AH369" s="32"/>
      <c r="AI369" s="32"/>
      <c r="AL369" s="43" t="s">
        <v>327</v>
      </c>
      <c r="AM369" s="43" t="s">
        <v>1692</v>
      </c>
      <c r="AN369" s="43" t="s">
        <v>327</v>
      </c>
      <c r="AO369" s="43" t="s">
        <v>1692</v>
      </c>
      <c r="AP369" s="43" t="s">
        <v>327</v>
      </c>
      <c r="AQ369" s="43" t="s">
        <v>1692</v>
      </c>
      <c r="AR369" s="43" t="s">
        <v>327</v>
      </c>
      <c r="AS369" s="43" t="s">
        <v>1692</v>
      </c>
      <c r="AT369" s="43" t="s">
        <v>327</v>
      </c>
      <c r="AU369" s="43" t="s">
        <v>1692</v>
      </c>
      <c r="XEY369" s="27"/>
      <c r="XEZ369" s="27"/>
      <c r="XFA369" s="27"/>
      <c r="XFB369" s="27"/>
      <c r="XFC369" s="27"/>
      <c r="XFD369" s="27"/>
    </row>
    <row r="370" s="42" customFormat="true" ht="14.15" hidden="false" customHeight="true" outlineLevel="0" collapsed="false">
      <c r="A370" s="28" t="s">
        <v>2632</v>
      </c>
      <c r="B370" s="29" t="s">
        <v>2633</v>
      </c>
      <c r="C370" s="29" t="s">
        <v>2634</v>
      </c>
      <c r="D370" s="30" t="s">
        <v>112</v>
      </c>
      <c r="E370" s="30" t="s">
        <v>452</v>
      </c>
      <c r="F370" s="32" t="n">
        <v>56</v>
      </c>
      <c r="G370" s="31"/>
      <c r="H370" s="31" t="n">
        <v>2</v>
      </c>
      <c r="I370" s="31" t="s">
        <v>51</v>
      </c>
      <c r="J370" s="29" t="s">
        <v>52</v>
      </c>
      <c r="K370" s="29" t="s">
        <v>53</v>
      </c>
      <c r="L370" s="32" t="n">
        <v>149</v>
      </c>
      <c r="M370" s="33" t="s">
        <v>54</v>
      </c>
      <c r="N370" s="34" t="n">
        <v>75015</v>
      </c>
      <c r="O370" s="35" t="s">
        <v>55</v>
      </c>
      <c r="P370" s="36" t="s">
        <v>687</v>
      </c>
      <c r="Q370" s="36" t="n">
        <v>236</v>
      </c>
      <c r="R370" s="32" t="n">
        <v>134</v>
      </c>
      <c r="S370" s="32" t="n">
        <v>4</v>
      </c>
      <c r="T370" s="32"/>
      <c r="U370" s="32"/>
      <c r="V370" s="37"/>
      <c r="W370" s="32"/>
      <c r="X370" s="34"/>
      <c r="Y370" s="34"/>
      <c r="Z370" s="32"/>
      <c r="AA370" s="32" t="s">
        <v>2635</v>
      </c>
      <c r="AB370" s="32"/>
      <c r="AC370" s="38" t="str">
        <f aca="false">HYPERLINK("https://biocodex6--c.vf.force.com/0014L00000KFefwQAD", "CHEDEVERGNE FREDERIQUE")</f>
        <v>CHEDEVERGNE FREDERIQUE</v>
      </c>
      <c r="AD370" s="38"/>
      <c r="AE370" s="39" t="n">
        <v>45260.4375</v>
      </c>
      <c r="AF370" s="40"/>
      <c r="AG370" s="41"/>
      <c r="AH370" s="32"/>
      <c r="AI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XEY370" s="27"/>
      <c r="XEZ370" s="27"/>
      <c r="XFA370" s="27"/>
      <c r="XFB370" s="27"/>
      <c r="XFC370" s="27"/>
      <c r="XFD370" s="27"/>
    </row>
    <row r="371" s="42" customFormat="true" ht="14.15" hidden="false" customHeight="true" outlineLevel="0" collapsed="false">
      <c r="A371" s="28" t="s">
        <v>2636</v>
      </c>
      <c r="B371" s="29" t="s">
        <v>1007</v>
      </c>
      <c r="C371" s="29" t="s">
        <v>2637</v>
      </c>
      <c r="D371" s="30" t="s">
        <v>112</v>
      </c>
      <c r="E371" s="31"/>
      <c r="F371" s="32" t="n">
        <v>38</v>
      </c>
      <c r="G371" s="31"/>
      <c r="H371" s="31" t="n">
        <v>1</v>
      </c>
      <c r="I371" s="31" t="s">
        <v>51</v>
      </c>
      <c r="J371" s="29" t="s">
        <v>52</v>
      </c>
      <c r="K371" s="29" t="s">
        <v>53</v>
      </c>
      <c r="L371" s="32" t="n">
        <v>149</v>
      </c>
      <c r="M371" s="33" t="s">
        <v>54</v>
      </c>
      <c r="N371" s="34" t="n">
        <v>75015</v>
      </c>
      <c r="O371" s="35" t="s">
        <v>55</v>
      </c>
      <c r="P371" s="36" t="s">
        <v>687</v>
      </c>
      <c r="Q371" s="36" t="n">
        <v>236</v>
      </c>
      <c r="R371" s="32" t="n">
        <v>134</v>
      </c>
      <c r="S371" s="32" t="n">
        <v>4</v>
      </c>
      <c r="T371" s="32"/>
      <c r="U371" s="32"/>
      <c r="V371" s="37"/>
      <c r="W371" s="32"/>
      <c r="X371" s="34"/>
      <c r="Y371" s="34"/>
      <c r="Z371" s="32"/>
      <c r="AA371" s="32" t="s">
        <v>2638</v>
      </c>
      <c r="AB371" s="32"/>
      <c r="AC371" s="38" t="str">
        <f aca="false">HYPERLINK("https://biocodex6--c.vf.force.com/0014L00000KFM0sQAH", "DRUMMOND DAVID")</f>
        <v>DRUMMOND DAVID</v>
      </c>
      <c r="AD371" s="38"/>
      <c r="AE371" s="39"/>
      <c r="AF371" s="40"/>
      <c r="AG371" s="41"/>
      <c r="AH371" s="32"/>
      <c r="AI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XEY371" s="27"/>
      <c r="XEZ371" s="27"/>
      <c r="XFA371" s="27"/>
      <c r="XFB371" s="27"/>
      <c r="XFC371" s="27"/>
      <c r="XFD371" s="27"/>
    </row>
    <row r="372" s="42" customFormat="true" ht="14.15" hidden="false" customHeight="true" outlineLevel="0" collapsed="false">
      <c r="A372" s="28" t="s">
        <v>2639</v>
      </c>
      <c r="B372" s="29" t="s">
        <v>2640</v>
      </c>
      <c r="C372" s="29" t="s">
        <v>2641</v>
      </c>
      <c r="D372" s="30" t="s">
        <v>112</v>
      </c>
      <c r="E372" s="31"/>
      <c r="F372" s="32" t="n">
        <v>60</v>
      </c>
      <c r="G372" s="31" t="s">
        <v>215</v>
      </c>
      <c r="H372" s="31" t="n">
        <v>1</v>
      </c>
      <c r="I372" s="31" t="s">
        <v>233</v>
      </c>
      <c r="J372" s="29"/>
      <c r="K372" s="29" t="s">
        <v>2642</v>
      </c>
      <c r="L372" s="32" t="n">
        <v>210</v>
      </c>
      <c r="M372" s="33" t="s">
        <v>236</v>
      </c>
      <c r="N372" s="34" t="n">
        <v>75015</v>
      </c>
      <c r="O372" s="35" t="s">
        <v>55</v>
      </c>
      <c r="P372" s="36" t="s">
        <v>2643</v>
      </c>
      <c r="Q372" s="36" t="n">
        <v>1</v>
      </c>
      <c r="R372" s="32" t="n">
        <v>131</v>
      </c>
      <c r="S372" s="32" t="n">
        <v>4</v>
      </c>
      <c r="T372" s="32"/>
      <c r="U372" s="32" t="n">
        <v>3</v>
      </c>
      <c r="V372" s="37"/>
      <c r="W372" s="32" t="n">
        <v>3</v>
      </c>
      <c r="X372" s="34"/>
      <c r="Y372" s="34" t="n">
        <v>1</v>
      </c>
      <c r="Z372" s="32"/>
      <c r="AA372" s="32" t="s">
        <v>2644</v>
      </c>
      <c r="AB372" s="32" t="s">
        <v>2645</v>
      </c>
      <c r="AC372" s="38" t="str">
        <f aca="false">HYPERLINK("https://biocodex6--c.vf.force.com/0014L00000KFkdDQAT", "COTTIN JEAN FRANCOIS")</f>
        <v>COTTIN JEAN FRANCOIS</v>
      </c>
      <c r="AD372" s="38" t="str">
        <f aca="false">HYPERLINK("https://annuairesante.ameli.fr/professionnels-de-sante/recherche/fiche-detaillee-B7c1lzU4NTGx.html", "COTTIN JEAN FRANCOIS")</f>
        <v>COTTIN JEAN FRANCOIS</v>
      </c>
      <c r="AE372" s="39"/>
      <c r="AF372" s="40"/>
      <c r="AG372" s="41"/>
      <c r="AH372" s="32"/>
      <c r="AI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XEY372" s="27"/>
      <c r="XEZ372" s="27"/>
      <c r="XFA372" s="27"/>
      <c r="XFB372" s="27"/>
      <c r="XFC372" s="27"/>
      <c r="XFD372" s="27"/>
    </row>
    <row r="373" s="42" customFormat="true" ht="14.15" hidden="false" customHeight="true" outlineLevel="0" collapsed="false">
      <c r="A373" s="28" t="s">
        <v>2646</v>
      </c>
      <c r="B373" s="29" t="s">
        <v>2647</v>
      </c>
      <c r="C373" s="29" t="s">
        <v>2648</v>
      </c>
      <c r="D373" s="30" t="s">
        <v>112</v>
      </c>
      <c r="E373" s="31"/>
      <c r="F373" s="32" t="n">
        <v>37</v>
      </c>
      <c r="G373" s="31"/>
      <c r="H373" s="31" t="n">
        <v>1</v>
      </c>
      <c r="I373" s="31" t="s">
        <v>77</v>
      </c>
      <c r="J373" s="29" t="s">
        <v>246</v>
      </c>
      <c r="K373" s="29" t="s">
        <v>247</v>
      </c>
      <c r="L373" s="32" t="n">
        <v>36</v>
      </c>
      <c r="M373" s="33" t="s">
        <v>248</v>
      </c>
      <c r="N373" s="34" t="n">
        <v>92200</v>
      </c>
      <c r="O373" s="35" t="s">
        <v>81</v>
      </c>
      <c r="P373" s="36" t="s">
        <v>365</v>
      </c>
      <c r="Q373" s="36" t="n">
        <v>49</v>
      </c>
      <c r="R373" s="32" t="n">
        <v>130</v>
      </c>
      <c r="S373" s="32" t="n">
        <v>4</v>
      </c>
      <c r="T373" s="32"/>
      <c r="U373" s="32"/>
      <c r="V373" s="37"/>
      <c r="W373" s="32"/>
      <c r="X373" s="34"/>
      <c r="Y373" s="34"/>
      <c r="Z373" s="32"/>
      <c r="AA373" s="32" t="s">
        <v>2649</v>
      </c>
      <c r="AB373" s="32"/>
      <c r="AC373" s="38" t="str">
        <f aca="false">HYPERLINK("https://biocodex6--c.vf.force.com/0014L00000KFPPiQAP", "CORNU ANTONIN")</f>
        <v>CORNU ANTONIN</v>
      </c>
      <c r="AD373" s="38"/>
      <c r="AE373" s="39"/>
      <c r="AF373" s="40"/>
      <c r="AG373" s="41"/>
      <c r="AH373" s="32"/>
      <c r="AI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XEY373" s="27"/>
      <c r="XEZ373" s="27"/>
      <c r="XFA373" s="27"/>
      <c r="XFB373" s="27"/>
      <c r="XFC373" s="27"/>
      <c r="XFD373" s="27"/>
    </row>
    <row r="374" s="42" customFormat="true" ht="14.15" hidden="false" customHeight="true" outlineLevel="0" collapsed="false">
      <c r="A374" s="28" t="s">
        <v>2650</v>
      </c>
      <c r="B374" s="29" t="s">
        <v>1218</v>
      </c>
      <c r="C374" s="29" t="s">
        <v>2651</v>
      </c>
      <c r="D374" s="30" t="s">
        <v>244</v>
      </c>
      <c r="E374" s="30" t="s">
        <v>245</v>
      </c>
      <c r="F374" s="32" t="n">
        <v>77</v>
      </c>
      <c r="G374" s="31" t="s">
        <v>215</v>
      </c>
      <c r="H374" s="31" t="n">
        <v>2</v>
      </c>
      <c r="I374" s="31" t="s">
        <v>572</v>
      </c>
      <c r="J374" s="29"/>
      <c r="K374" s="29" t="s">
        <v>2652</v>
      </c>
      <c r="L374" s="32" t="n">
        <v>12</v>
      </c>
      <c r="M374" s="33" t="s">
        <v>2653</v>
      </c>
      <c r="N374" s="34" t="n">
        <v>75008</v>
      </c>
      <c r="O374" s="35" t="s">
        <v>55</v>
      </c>
      <c r="P374" s="36" t="s">
        <v>2654</v>
      </c>
      <c r="Q374" s="36" t="n">
        <v>1</v>
      </c>
      <c r="R374" s="32" t="n">
        <v>129</v>
      </c>
      <c r="S374" s="32" t="n">
        <v>4</v>
      </c>
      <c r="T374" s="32"/>
      <c r="U374" s="32"/>
      <c r="V374" s="37"/>
      <c r="W374" s="32"/>
      <c r="X374" s="34"/>
      <c r="Y374" s="34"/>
      <c r="Z374" s="32"/>
      <c r="AA374" s="32" t="s">
        <v>2655</v>
      </c>
      <c r="AB374" s="32" t="s">
        <v>2656</v>
      </c>
      <c r="AC374" s="38" t="str">
        <f aca="false">HYPERLINK("https://biocodex6--c.vf.force.com/0014L00000KFZQ9QAP", "DEBACHE CLAUDE")</f>
        <v>DEBACHE CLAUDE</v>
      </c>
      <c r="AD374" s="38" t="str">
        <f aca="false">HYPERLINK("https://annuairesante.ameli.fr/professionnels-de-sante/recherche/fiche-detaillee-B7c1kTQzMDa1.html", "DEBACHE CLAUDE")</f>
        <v>DEBACHE CLAUDE</v>
      </c>
      <c r="AE374" s="39"/>
      <c r="AF374" s="40"/>
      <c r="AG374" s="41"/>
      <c r="AH374" s="32"/>
      <c r="AI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XEY374" s="27"/>
      <c r="XEZ374" s="27"/>
      <c r="XFA374" s="27"/>
      <c r="XFB374" s="27"/>
      <c r="XFC374" s="27"/>
      <c r="XFD374" s="27"/>
    </row>
    <row r="375" s="42" customFormat="true" ht="14.15" hidden="false" customHeight="true" outlineLevel="0" collapsed="false">
      <c r="A375" s="28" t="s">
        <v>2657</v>
      </c>
      <c r="B375" s="29" t="s">
        <v>1559</v>
      </c>
      <c r="C375" s="29" t="s">
        <v>2658</v>
      </c>
      <c r="D375" s="30" t="s">
        <v>244</v>
      </c>
      <c r="E375" s="30" t="s">
        <v>2659</v>
      </c>
      <c r="F375" s="32" t="n">
        <v>76</v>
      </c>
      <c r="G375" s="31"/>
      <c r="H375" s="31" t="n">
        <v>1</v>
      </c>
      <c r="I375" s="31" t="s">
        <v>51</v>
      </c>
      <c r="J375" s="29" t="s">
        <v>286</v>
      </c>
      <c r="K375" s="29" t="s">
        <v>287</v>
      </c>
      <c r="L375" s="32" t="n">
        <v>12</v>
      </c>
      <c r="M375" s="33" t="s">
        <v>288</v>
      </c>
      <c r="N375" s="34" t="n">
        <v>75015</v>
      </c>
      <c r="O375" s="35" t="s">
        <v>55</v>
      </c>
      <c r="P375" s="36"/>
      <c r="Q375" s="36" t="n">
        <v>14</v>
      </c>
      <c r="R375" s="32" t="n">
        <v>126</v>
      </c>
      <c r="S375" s="32" t="n">
        <v>4</v>
      </c>
      <c r="T375" s="32"/>
      <c r="U375" s="32" t="n">
        <v>3</v>
      </c>
      <c r="V375" s="37"/>
      <c r="W375" s="32" t="n">
        <v>3</v>
      </c>
      <c r="X375" s="34"/>
      <c r="Y375" s="34" t="n">
        <v>2</v>
      </c>
      <c r="Z375" s="32" t="s">
        <v>2660</v>
      </c>
      <c r="AA375" s="32" t="s">
        <v>2661</v>
      </c>
      <c r="AB375" s="32"/>
      <c r="AC375" s="38" t="str">
        <f aca="false">HYPERLINK("https://biocodex6--c.vf.force.com/0014L00000KFVvYQAX", "CHABY LUCIEN")</f>
        <v>CHABY LUCIEN</v>
      </c>
      <c r="AD375" s="38"/>
      <c r="AE375" s="39" t="n">
        <v>45379.4166666667</v>
      </c>
      <c r="AF375" s="40" t="s">
        <v>2662</v>
      </c>
      <c r="AG375" s="41"/>
      <c r="AH375" s="32"/>
      <c r="AI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XEY375" s="27"/>
      <c r="XEZ375" s="27"/>
      <c r="XFA375" s="27"/>
      <c r="XFB375" s="27"/>
      <c r="XFC375" s="27"/>
      <c r="XFD375" s="27"/>
    </row>
    <row r="376" s="42" customFormat="true" ht="14.15" hidden="false" customHeight="true" outlineLevel="0" collapsed="false">
      <c r="A376" s="28" t="s">
        <v>2663</v>
      </c>
      <c r="B376" s="29" t="s">
        <v>2664</v>
      </c>
      <c r="C376" s="29" t="s">
        <v>2665</v>
      </c>
      <c r="D376" s="30" t="s">
        <v>244</v>
      </c>
      <c r="E376" s="30" t="s">
        <v>245</v>
      </c>
      <c r="F376" s="32" t="n">
        <v>62</v>
      </c>
      <c r="G376" s="31"/>
      <c r="H376" s="31" t="n">
        <v>2</v>
      </c>
      <c r="I376" s="31" t="s">
        <v>572</v>
      </c>
      <c r="J376" s="29" t="s">
        <v>678</v>
      </c>
      <c r="K376" s="29" t="s">
        <v>679</v>
      </c>
      <c r="L376" s="32" t="n">
        <v>6</v>
      </c>
      <c r="M376" s="33" t="s">
        <v>680</v>
      </c>
      <c r="N376" s="34" t="n">
        <v>75008</v>
      </c>
      <c r="O376" s="35" t="s">
        <v>55</v>
      </c>
      <c r="P376" s="36" t="s">
        <v>2666</v>
      </c>
      <c r="Q376" s="36" t="n">
        <v>43</v>
      </c>
      <c r="R376" s="32" t="n">
        <v>125</v>
      </c>
      <c r="S376" s="32" t="n">
        <v>4</v>
      </c>
      <c r="T376" s="32"/>
      <c r="U376" s="32" t="n">
        <v>3</v>
      </c>
      <c r="V376" s="37" t="n">
        <v>3</v>
      </c>
      <c r="W376" s="32" t="n">
        <v>3</v>
      </c>
      <c r="X376" s="34"/>
      <c r="Y376" s="34" t="n">
        <v>1</v>
      </c>
      <c r="Z376" s="32" t="s">
        <v>2667</v>
      </c>
      <c r="AA376" s="32" t="s">
        <v>2668</v>
      </c>
      <c r="AB376" s="32"/>
      <c r="AC376" s="38" t="str">
        <f aca="false">HYPERLINK("https://biocodex6--c.vf.force.com/0014L00000KFXu4QAH", "DACCACHE DOLLY")</f>
        <v>DACCACHE DOLLY</v>
      </c>
      <c r="AD376" s="38"/>
      <c r="AE376" s="39" t="n">
        <v>45446.4583333333</v>
      </c>
      <c r="AF376" s="40" t="s">
        <v>2669</v>
      </c>
      <c r="AG376" s="41" t="s">
        <v>69</v>
      </c>
      <c r="AH376" s="32" t="s">
        <v>70</v>
      </c>
      <c r="AI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XEY376" s="27"/>
      <c r="XEZ376" s="27"/>
      <c r="XFA376" s="27"/>
      <c r="XFB376" s="27"/>
      <c r="XFC376" s="27"/>
      <c r="XFD376" s="27"/>
    </row>
    <row r="377" s="42" customFormat="true" ht="14.15" hidden="false" customHeight="true" outlineLevel="0" collapsed="false">
      <c r="A377" s="28" t="s">
        <v>2670</v>
      </c>
      <c r="B377" s="29" t="s">
        <v>399</v>
      </c>
      <c r="C377" s="29" t="s">
        <v>2671</v>
      </c>
      <c r="D377" s="30" t="s">
        <v>112</v>
      </c>
      <c r="E377" s="31"/>
      <c r="F377" s="32" t="n">
        <v>62</v>
      </c>
      <c r="G377" s="31" t="s">
        <v>215</v>
      </c>
      <c r="H377" s="31" t="n">
        <v>2</v>
      </c>
      <c r="I377" s="31" t="s">
        <v>233</v>
      </c>
      <c r="J377" s="29"/>
      <c r="K377" s="29" t="s">
        <v>2672</v>
      </c>
      <c r="L377" s="32" t="n">
        <v>11</v>
      </c>
      <c r="M377" s="33" t="s">
        <v>2673</v>
      </c>
      <c r="N377" s="34" t="n">
        <v>75015</v>
      </c>
      <c r="O377" s="35" t="s">
        <v>55</v>
      </c>
      <c r="P377" s="36" t="s">
        <v>2674</v>
      </c>
      <c r="Q377" s="36" t="n">
        <v>1</v>
      </c>
      <c r="R377" s="32" t="n">
        <v>121</v>
      </c>
      <c r="S377" s="32" t="n">
        <v>4</v>
      </c>
      <c r="T377" s="32"/>
      <c r="U377" s="32" t="n">
        <v>3</v>
      </c>
      <c r="V377" s="37"/>
      <c r="W377" s="32" t="n">
        <v>3</v>
      </c>
      <c r="X377" s="34"/>
      <c r="Y377" s="34" t="n">
        <v>1</v>
      </c>
      <c r="Z377" s="32" t="s">
        <v>2675</v>
      </c>
      <c r="AA377" s="32" t="s">
        <v>2676</v>
      </c>
      <c r="AB377" s="32" t="s">
        <v>2677</v>
      </c>
      <c r="AC377" s="38" t="str">
        <f aca="false">HYPERLINK("https://biocodex6--c.vf.force.com/0014L00000KFbRwQAL", "FRESCO OLIVIER")</f>
        <v>FRESCO OLIVIER</v>
      </c>
      <c r="AD377" s="38" t="str">
        <f aca="false">HYPERLINK("https://annuairesante.ameli.fr/professionnels-de-sante/recherche/fiche-detaillee-B7c1lzU0Mjaw.html", "FRESCO OLIVIER")</f>
        <v>FRESCO OLIVIER</v>
      </c>
      <c r="AE377" s="39"/>
      <c r="AF377" s="40"/>
      <c r="AG377" s="41"/>
      <c r="AH377" s="32"/>
      <c r="AI377" s="32"/>
      <c r="AL377" s="43" t="s">
        <v>657</v>
      </c>
      <c r="AM377" s="43" t="s">
        <v>137</v>
      </c>
      <c r="AN377" s="43" t="s">
        <v>657</v>
      </c>
      <c r="AO377" s="43" t="s">
        <v>137</v>
      </c>
      <c r="AP377" s="43" t="s">
        <v>657</v>
      </c>
      <c r="AQ377" s="43" t="s">
        <v>534</v>
      </c>
      <c r="AR377" s="43" t="s">
        <v>657</v>
      </c>
      <c r="AS377" s="43" t="s">
        <v>137</v>
      </c>
      <c r="AT377" s="43" t="s">
        <v>657</v>
      </c>
      <c r="AU377" s="43" t="s">
        <v>137</v>
      </c>
      <c r="XEY377" s="27"/>
      <c r="XEZ377" s="27"/>
      <c r="XFA377" s="27"/>
      <c r="XFB377" s="27"/>
      <c r="XFC377" s="27"/>
      <c r="XFD377" s="27"/>
    </row>
    <row r="378" s="42" customFormat="true" ht="14.15" hidden="false" customHeight="true" outlineLevel="0" collapsed="false">
      <c r="A378" s="28" t="s">
        <v>2678</v>
      </c>
      <c r="B378" s="29" t="s">
        <v>2679</v>
      </c>
      <c r="C378" s="29" t="s">
        <v>2680</v>
      </c>
      <c r="D378" s="30" t="s">
        <v>244</v>
      </c>
      <c r="E378" s="30" t="s">
        <v>245</v>
      </c>
      <c r="F378" s="32" t="n">
        <v>45</v>
      </c>
      <c r="G378" s="31"/>
      <c r="H378" s="31" t="n">
        <v>1</v>
      </c>
      <c r="I378" s="31" t="s">
        <v>77</v>
      </c>
      <c r="J378" s="29" t="s">
        <v>246</v>
      </c>
      <c r="K378" s="29" t="s">
        <v>247</v>
      </c>
      <c r="L378" s="32" t="n">
        <v>36</v>
      </c>
      <c r="M378" s="33" t="s">
        <v>248</v>
      </c>
      <c r="N378" s="34" t="n">
        <v>92200</v>
      </c>
      <c r="O378" s="35" t="s">
        <v>81</v>
      </c>
      <c r="P378" s="36" t="s">
        <v>614</v>
      </c>
      <c r="Q378" s="36" t="n">
        <v>49</v>
      </c>
      <c r="R378" s="32" t="n">
        <v>117</v>
      </c>
      <c r="S378" s="32" t="n">
        <v>4</v>
      </c>
      <c r="T378" s="32"/>
      <c r="U378" s="32"/>
      <c r="V378" s="37"/>
      <c r="W378" s="32" t="n">
        <v>3</v>
      </c>
      <c r="X378" s="34"/>
      <c r="Y378" s="34" t="n">
        <v>1</v>
      </c>
      <c r="Z378" s="32"/>
      <c r="AA378" s="32" t="s">
        <v>2681</v>
      </c>
      <c r="AB378" s="32"/>
      <c r="AC378" s="38" t="str">
        <f aca="false">HYPERLINK("https://biocodex6--c.vf.force.com/0014L00000KFmAxQAL", "MAZIGHI LE GOFF SOLENE")</f>
        <v>MAZIGHI LE GOFF SOLENE</v>
      </c>
      <c r="AD378" s="38"/>
      <c r="AE378" s="39"/>
      <c r="AF378" s="40"/>
      <c r="AG378" s="41"/>
      <c r="AH378" s="32"/>
      <c r="AI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XEY378" s="27"/>
      <c r="XEZ378" s="27"/>
      <c r="XFA378" s="27"/>
      <c r="XFB378" s="27"/>
      <c r="XFC378" s="27"/>
      <c r="XFD378" s="27"/>
    </row>
    <row r="379" s="42" customFormat="true" ht="14.15" hidden="false" customHeight="true" outlineLevel="0" collapsed="false">
      <c r="A379" s="28" t="s">
        <v>2682</v>
      </c>
      <c r="B379" s="29" t="s">
        <v>2683</v>
      </c>
      <c r="C379" s="29" t="s">
        <v>2684</v>
      </c>
      <c r="D379" s="30" t="s">
        <v>50</v>
      </c>
      <c r="E379" s="30" t="s">
        <v>245</v>
      </c>
      <c r="F379" s="32" t="n">
        <v>58</v>
      </c>
      <c r="G379" s="31"/>
      <c r="H379" s="31" t="n">
        <v>1</v>
      </c>
      <c r="I379" s="31" t="s">
        <v>572</v>
      </c>
      <c r="J379" s="29" t="s">
        <v>678</v>
      </c>
      <c r="K379" s="29" t="s">
        <v>679</v>
      </c>
      <c r="L379" s="32" t="n">
        <v>6</v>
      </c>
      <c r="M379" s="33" t="s">
        <v>680</v>
      </c>
      <c r="N379" s="34" t="n">
        <v>75008</v>
      </c>
      <c r="O379" s="35" t="s">
        <v>55</v>
      </c>
      <c r="P379" s="36" t="s">
        <v>870</v>
      </c>
      <c r="Q379" s="36" t="n">
        <v>43</v>
      </c>
      <c r="R379" s="32" t="n">
        <v>109</v>
      </c>
      <c r="S379" s="32" t="n">
        <v>4</v>
      </c>
      <c r="T379" s="32"/>
      <c r="U379" s="32"/>
      <c r="V379" s="37"/>
      <c r="W379" s="32"/>
      <c r="X379" s="34"/>
      <c r="Y379" s="34"/>
      <c r="Z379" s="32"/>
      <c r="AA379" s="32" t="s">
        <v>2685</v>
      </c>
      <c r="AB379" s="32"/>
      <c r="AC379" s="38" t="str">
        <f aca="false">HYPERLINK("https://biocodex6--c.vf.force.com/0014L00000KFoIDQA1", "LAM THANH TRONG THU LAN")</f>
        <v>LAM THANH TRONG THU LAN</v>
      </c>
      <c r="AD379" s="38"/>
      <c r="AE379" s="39"/>
      <c r="AF379" s="40"/>
      <c r="AG379" s="41"/>
      <c r="AH379" s="32"/>
      <c r="AI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XEY379" s="27"/>
      <c r="XEZ379" s="27"/>
      <c r="XFA379" s="27"/>
      <c r="XFB379" s="27"/>
      <c r="XFC379" s="27"/>
      <c r="XFD379" s="27"/>
    </row>
    <row r="380" s="42" customFormat="true" ht="14.15" hidden="false" customHeight="true" outlineLevel="0" collapsed="false">
      <c r="A380" s="28" t="s">
        <v>2686</v>
      </c>
      <c r="B380" s="29" t="s">
        <v>1584</v>
      </c>
      <c r="C380" s="29" t="s">
        <v>2687</v>
      </c>
      <c r="D380" s="30" t="s">
        <v>112</v>
      </c>
      <c r="E380" s="31"/>
      <c r="F380" s="32" t="n">
        <v>0</v>
      </c>
      <c r="G380" s="31"/>
      <c r="H380" s="31" t="n">
        <v>1</v>
      </c>
      <c r="I380" s="31" t="s">
        <v>99</v>
      </c>
      <c r="J380" s="29"/>
      <c r="K380" s="29" t="s">
        <v>1744</v>
      </c>
      <c r="L380" s="32" t="n">
        <v>35</v>
      </c>
      <c r="M380" s="33" t="s">
        <v>1745</v>
      </c>
      <c r="N380" s="34" t="n">
        <v>75015</v>
      </c>
      <c r="O380" s="35" t="s">
        <v>55</v>
      </c>
      <c r="P380" s="36" t="s">
        <v>1746</v>
      </c>
      <c r="Q380" s="36" t="n">
        <v>2</v>
      </c>
      <c r="R380" s="32" t="n">
        <v>107</v>
      </c>
      <c r="S380" s="32" t="n">
        <v>4</v>
      </c>
      <c r="T380" s="32"/>
      <c r="U380" s="32"/>
      <c r="V380" s="37"/>
      <c r="W380" s="32"/>
      <c r="X380" s="34"/>
      <c r="Y380" s="34"/>
      <c r="Z380" s="32"/>
      <c r="AA380" s="32" t="s">
        <v>2688</v>
      </c>
      <c r="AB380" s="32"/>
      <c r="AC380" s="38" t="str">
        <f aca="false">HYPERLINK("https://biocodex6--c.vf.force.com/0014L00000KGNyjQAH", "FALZON LAURENCE")</f>
        <v>FALZON LAURENCE</v>
      </c>
      <c r="AD380" s="38"/>
      <c r="AE380" s="39" t="n">
        <v>45204.5625</v>
      </c>
      <c r="AF380" s="40"/>
      <c r="AG380" s="41"/>
      <c r="AH380" s="32"/>
      <c r="AI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XEY380" s="27"/>
      <c r="XEZ380" s="27"/>
      <c r="XFA380" s="27"/>
      <c r="XFB380" s="27"/>
      <c r="XFC380" s="27"/>
      <c r="XFD380" s="27"/>
    </row>
    <row r="381" s="42" customFormat="true" ht="14.15" hidden="false" customHeight="true" outlineLevel="0" collapsed="false">
      <c r="A381" s="28" t="s">
        <v>2689</v>
      </c>
      <c r="B381" s="29" t="s">
        <v>652</v>
      </c>
      <c r="C381" s="29" t="s">
        <v>2690</v>
      </c>
      <c r="D381" s="30" t="s">
        <v>244</v>
      </c>
      <c r="E381" s="30" t="s">
        <v>245</v>
      </c>
      <c r="F381" s="32" t="n">
        <v>69</v>
      </c>
      <c r="G381" s="31" t="s">
        <v>215</v>
      </c>
      <c r="H381" s="31" t="n">
        <v>1</v>
      </c>
      <c r="I381" s="31" t="s">
        <v>295</v>
      </c>
      <c r="J381" s="29"/>
      <c r="K381" s="29" t="s">
        <v>2691</v>
      </c>
      <c r="L381" s="32" t="n">
        <v>124</v>
      </c>
      <c r="M381" s="33" t="s">
        <v>722</v>
      </c>
      <c r="N381" s="34" t="n">
        <v>92300</v>
      </c>
      <c r="O381" s="35" t="s">
        <v>298</v>
      </c>
      <c r="P381" s="36" t="s">
        <v>2692</v>
      </c>
      <c r="Q381" s="36" t="n">
        <v>1</v>
      </c>
      <c r="R381" s="32" t="n">
        <v>105</v>
      </c>
      <c r="S381" s="32" t="n">
        <v>4</v>
      </c>
      <c r="T381" s="32"/>
      <c r="U381" s="32"/>
      <c r="V381" s="37" t="n">
        <v>3</v>
      </c>
      <c r="W381" s="32"/>
      <c r="X381" s="34"/>
      <c r="Y381" s="34"/>
      <c r="Z381" s="32"/>
      <c r="AA381" s="32" t="s">
        <v>2693</v>
      </c>
      <c r="AB381" s="32" t="s">
        <v>2694</v>
      </c>
      <c r="AC381" s="38" t="str">
        <f aca="false">HYPERLINK("https://biocodex6--c.vf.force.com/0014L00000KG1aMQAT", "SIMEON SOPHIE")</f>
        <v>SIMEON SOPHIE</v>
      </c>
      <c r="AD381" s="38" t="str">
        <f aca="false">HYPERLINK("https://annuairesante.ameli.fr/professionnels-de-sante/recherche/fiche-detaillee-CbA1kzE1MjC1.html", "SIMEON SOPHIE")</f>
        <v>SIMEON SOPHIE</v>
      </c>
      <c r="AE381" s="39"/>
      <c r="AF381" s="40"/>
      <c r="AG381" s="41"/>
      <c r="AH381" s="32"/>
      <c r="AI381" s="32"/>
      <c r="AL381" s="43" t="s">
        <v>639</v>
      </c>
      <c r="AM381" s="43" t="s">
        <v>262</v>
      </c>
      <c r="AN381" s="43" t="s">
        <v>657</v>
      </c>
      <c r="AO381" s="43" t="s">
        <v>137</v>
      </c>
      <c r="AP381" s="43" t="s">
        <v>657</v>
      </c>
      <c r="AQ381" s="43" t="s">
        <v>137</v>
      </c>
      <c r="AR381" s="43" t="s">
        <v>2148</v>
      </c>
      <c r="AS381" s="43" t="s">
        <v>137</v>
      </c>
      <c r="AT381" s="43" t="s">
        <v>657</v>
      </c>
      <c r="AU381" s="43" t="s">
        <v>137</v>
      </c>
      <c r="XEY381" s="27"/>
      <c r="XEZ381" s="27"/>
      <c r="XFA381" s="27"/>
      <c r="XFB381" s="27"/>
      <c r="XFC381" s="27"/>
      <c r="XFD381" s="27"/>
    </row>
    <row r="382" s="42" customFormat="true" ht="14.15" hidden="false" customHeight="true" outlineLevel="0" collapsed="false">
      <c r="A382" s="28" t="s">
        <v>2695</v>
      </c>
      <c r="B382" s="29" t="s">
        <v>2217</v>
      </c>
      <c r="C382" s="29" t="s">
        <v>2696</v>
      </c>
      <c r="D382" s="30" t="s">
        <v>112</v>
      </c>
      <c r="E382" s="31"/>
      <c r="F382" s="32" t="n">
        <v>55</v>
      </c>
      <c r="G382" s="31" t="s">
        <v>215</v>
      </c>
      <c r="H382" s="31" t="n">
        <v>1</v>
      </c>
      <c r="I382" s="31" t="s">
        <v>119</v>
      </c>
      <c r="J382" s="29"/>
      <c r="K382" s="29" t="s">
        <v>2697</v>
      </c>
      <c r="L382" s="32" t="n">
        <v>133</v>
      </c>
      <c r="M382" s="33" t="s">
        <v>2143</v>
      </c>
      <c r="N382" s="34" t="n">
        <v>75007</v>
      </c>
      <c r="O382" s="35" t="s">
        <v>55</v>
      </c>
      <c r="P382" s="36" t="s">
        <v>2698</v>
      </c>
      <c r="Q382" s="36" t="n">
        <v>1</v>
      </c>
      <c r="R382" s="32" t="n">
        <v>102</v>
      </c>
      <c r="S382" s="32" t="n">
        <v>4</v>
      </c>
      <c r="T382" s="32"/>
      <c r="U382" s="32"/>
      <c r="V382" s="37"/>
      <c r="W382" s="32"/>
      <c r="X382" s="34"/>
      <c r="Y382" s="34"/>
      <c r="Z382" s="32"/>
      <c r="AA382" s="32" t="s">
        <v>2699</v>
      </c>
      <c r="AB382" s="32" t="s">
        <v>2700</v>
      </c>
      <c r="AC382" s="38" t="str">
        <f aca="false">HYPERLINK("https://biocodex6--c.vf.force.com/0014L00000KFVQNQA5", "BURSAUX SARAH")</f>
        <v>BURSAUX SARAH</v>
      </c>
      <c r="AD382" s="38" t="str">
        <f aca="false">HYPERLINK("https://annuairesante.ameli.fr/professionnels-de-sante/recherche/fiche-detaillee-B7c1mzE2NjO0.html", "BURSAUX SARAH")</f>
        <v>BURSAUX SARAH</v>
      </c>
      <c r="AE382" s="39" t="n">
        <v>45208.4791666667</v>
      </c>
      <c r="AF382" s="40"/>
      <c r="AG382" s="41"/>
      <c r="AH382" s="32"/>
      <c r="AI382" s="32"/>
      <c r="AL382" s="32"/>
      <c r="AM382" s="43" t="s">
        <v>126</v>
      </c>
      <c r="AN382" s="43" t="s">
        <v>2701</v>
      </c>
      <c r="AO382" s="32"/>
      <c r="AP382" s="32"/>
      <c r="AQ382" s="43" t="s">
        <v>126</v>
      </c>
      <c r="AR382" s="32"/>
      <c r="AS382" s="43" t="s">
        <v>126</v>
      </c>
      <c r="AT382" s="43" t="s">
        <v>2701</v>
      </c>
      <c r="AU382" s="32"/>
      <c r="XEY382" s="27"/>
      <c r="XEZ382" s="27"/>
      <c r="XFA382" s="27"/>
      <c r="XFB382" s="27"/>
      <c r="XFC382" s="27"/>
      <c r="XFD382" s="27"/>
    </row>
    <row r="383" s="42" customFormat="true" ht="14.15" hidden="false" customHeight="true" outlineLevel="0" collapsed="false">
      <c r="A383" s="28" t="s">
        <v>2702</v>
      </c>
      <c r="B383" s="29" t="s">
        <v>332</v>
      </c>
      <c r="C383" s="29" t="s">
        <v>2703</v>
      </c>
      <c r="D383" s="30" t="s">
        <v>112</v>
      </c>
      <c r="E383" s="31"/>
      <c r="F383" s="32" t="n">
        <v>68</v>
      </c>
      <c r="G383" s="31" t="s">
        <v>61</v>
      </c>
      <c r="H383" s="31" t="n">
        <v>1</v>
      </c>
      <c r="I383" s="31" t="s">
        <v>51</v>
      </c>
      <c r="J383" s="29"/>
      <c r="K383" s="29" t="s">
        <v>1398</v>
      </c>
      <c r="L383" s="32" t="n">
        <v>126</v>
      </c>
      <c r="M383" s="33" t="s">
        <v>588</v>
      </c>
      <c r="N383" s="34" t="n">
        <v>75015</v>
      </c>
      <c r="O383" s="35" t="s">
        <v>55</v>
      </c>
      <c r="P383" s="36" t="s">
        <v>2704</v>
      </c>
      <c r="Q383" s="36" t="n">
        <v>2</v>
      </c>
      <c r="R383" s="32" t="n">
        <v>100</v>
      </c>
      <c r="S383" s="32" t="n">
        <v>4</v>
      </c>
      <c r="T383" s="32"/>
      <c r="U383" s="32" t="n">
        <v>3</v>
      </c>
      <c r="V383" s="37"/>
      <c r="W383" s="32" t="n">
        <v>3</v>
      </c>
      <c r="X383" s="34" t="n">
        <v>1</v>
      </c>
      <c r="Y383" s="34" t="n">
        <v>1</v>
      </c>
      <c r="Z383" s="32"/>
      <c r="AA383" s="32" t="s">
        <v>2705</v>
      </c>
      <c r="AB383" s="32" t="s">
        <v>2706</v>
      </c>
      <c r="AC383" s="38" t="str">
        <f aca="false">HYPERLINK("https://biocodex6--c.vf.force.com/0014L00000KG3wlQAD", "TURBERG ROMAIN CATHERINE")</f>
        <v>TURBERG ROMAIN CATHERINE</v>
      </c>
      <c r="AD383" s="38" t="str">
        <f aca="false">HYPERLINK("https://annuairesante.ameli.fr/professionnels-de-sante/recherche/fiche-detaillee-B7c1ljE0MzCw.html", "TURBERG ROMAIN CATHERINE")</f>
        <v>TURBERG ROMAIN CATHERINE</v>
      </c>
      <c r="AE383" s="39" t="n">
        <v>45443.6041666667</v>
      </c>
      <c r="AF383" s="40" t="s">
        <v>2707</v>
      </c>
      <c r="AG383" s="41" t="s">
        <v>69</v>
      </c>
      <c r="AH383" s="32" t="s">
        <v>70</v>
      </c>
      <c r="AI383" s="32"/>
      <c r="AL383" s="43" t="s">
        <v>85</v>
      </c>
      <c r="AM383" s="43" t="s">
        <v>262</v>
      </c>
      <c r="AN383" s="43" t="s">
        <v>85</v>
      </c>
      <c r="AO383" s="43" t="s">
        <v>262</v>
      </c>
      <c r="AP383" s="43" t="s">
        <v>85</v>
      </c>
      <c r="AQ383" s="43" t="s">
        <v>262</v>
      </c>
      <c r="AR383" s="43" t="s">
        <v>85</v>
      </c>
      <c r="AS383" s="43" t="s">
        <v>262</v>
      </c>
      <c r="AT383" s="43" t="s">
        <v>85</v>
      </c>
      <c r="AU383" s="43" t="s">
        <v>262</v>
      </c>
      <c r="XEY383" s="27"/>
      <c r="XEZ383" s="27"/>
      <c r="XFA383" s="27"/>
      <c r="XFB383" s="27"/>
      <c r="XFC383" s="27"/>
      <c r="XFD383" s="27"/>
    </row>
    <row r="384" s="42" customFormat="true" ht="14.15" hidden="false" customHeight="true" outlineLevel="0" collapsed="false">
      <c r="A384" s="28" t="s">
        <v>2708</v>
      </c>
      <c r="B384" s="29" t="s">
        <v>1438</v>
      </c>
      <c r="C384" s="29" t="s">
        <v>2709</v>
      </c>
      <c r="D384" s="30" t="s">
        <v>244</v>
      </c>
      <c r="E384" s="30" t="s">
        <v>245</v>
      </c>
      <c r="F384" s="32" t="n">
        <v>44</v>
      </c>
      <c r="G384" s="31" t="s">
        <v>215</v>
      </c>
      <c r="H384" s="31" t="n">
        <v>1</v>
      </c>
      <c r="I384" s="31" t="s">
        <v>197</v>
      </c>
      <c r="J384" s="29"/>
      <c r="K384" s="29" t="s">
        <v>2710</v>
      </c>
      <c r="L384" s="32" t="n">
        <v>17</v>
      </c>
      <c r="M384" s="33" t="s">
        <v>2447</v>
      </c>
      <c r="N384" s="34" t="n">
        <v>75017</v>
      </c>
      <c r="O384" s="35" t="s">
        <v>55</v>
      </c>
      <c r="P384" s="36" t="s">
        <v>2711</v>
      </c>
      <c r="Q384" s="36" t="n">
        <v>2</v>
      </c>
      <c r="R384" s="32" t="n">
        <v>100</v>
      </c>
      <c r="S384" s="32" t="n">
        <v>4</v>
      </c>
      <c r="T384" s="32"/>
      <c r="U384" s="32"/>
      <c r="V384" s="37" t="n">
        <v>3</v>
      </c>
      <c r="W384" s="32" t="n">
        <v>3</v>
      </c>
      <c r="X384" s="34"/>
      <c r="Y384" s="34" t="n">
        <v>3</v>
      </c>
      <c r="Z384" s="32" t="s">
        <v>2712</v>
      </c>
      <c r="AA384" s="32" t="s">
        <v>2713</v>
      </c>
      <c r="AB384" s="32" t="s">
        <v>2714</v>
      </c>
      <c r="AC384" s="38" t="str">
        <f aca="false">HYPERLINK("https://biocodex6--c.vf.force.com/0014L00000KFcHJQA1", "GOETGHELUCK JULIE")</f>
        <v>GOETGHELUCK JULIE</v>
      </c>
      <c r="AD384" s="38" t="str">
        <f aca="false">HYPERLINK("https://annuairesante.ameli.fr/professionnels-de-sante/recherche/fiche-detaillee-B7c1mjAxNzG7.html", "GOETGHELUCK JULIE")</f>
        <v>GOETGHELUCK JULIE</v>
      </c>
      <c r="AE384" s="39"/>
      <c r="AF384" s="40"/>
      <c r="AG384" s="41"/>
      <c r="AH384" s="32"/>
      <c r="AI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XEY384" s="27"/>
      <c r="XEZ384" s="27"/>
      <c r="XFA384" s="27"/>
      <c r="XFB384" s="27"/>
      <c r="XFC384" s="27"/>
      <c r="XFD384" s="27"/>
    </row>
    <row r="385" s="42" customFormat="true" ht="14.15" hidden="false" customHeight="true" outlineLevel="0" collapsed="false">
      <c r="A385" s="28" t="s">
        <v>2715</v>
      </c>
      <c r="B385" s="29" t="s">
        <v>1385</v>
      </c>
      <c r="C385" s="29" t="s">
        <v>2716</v>
      </c>
      <c r="D385" s="30" t="s">
        <v>112</v>
      </c>
      <c r="E385" s="31"/>
      <c r="F385" s="32" t="n">
        <v>38</v>
      </c>
      <c r="G385" s="31"/>
      <c r="H385" s="31" t="n">
        <v>3</v>
      </c>
      <c r="I385" s="31" t="s">
        <v>387</v>
      </c>
      <c r="J385" s="29"/>
      <c r="K385" s="29" t="s">
        <v>2717</v>
      </c>
      <c r="L385" s="32" t="n">
        <v>48</v>
      </c>
      <c r="M385" s="33" t="s">
        <v>2718</v>
      </c>
      <c r="N385" s="34" t="n">
        <v>75016</v>
      </c>
      <c r="O385" s="35" t="s">
        <v>55</v>
      </c>
      <c r="P385" s="36" t="s">
        <v>2719</v>
      </c>
      <c r="Q385" s="36" t="n">
        <v>2</v>
      </c>
      <c r="R385" s="32" t="n">
        <v>96</v>
      </c>
      <c r="S385" s="32" t="n">
        <v>4</v>
      </c>
      <c r="T385" s="32"/>
      <c r="U385" s="32"/>
      <c r="V385" s="37"/>
      <c r="W385" s="32"/>
      <c r="X385" s="34"/>
      <c r="Y385" s="34"/>
      <c r="Z385" s="36"/>
      <c r="AA385" s="32" t="s">
        <v>2720</v>
      </c>
      <c r="AB385" s="32"/>
      <c r="AC385" s="38" t="str">
        <f aca="false">HYPERLINK("https://biocodex6--c.vf.force.com/0014L00000KFMLYQA5", "VALENTIN SANTARNECCH CECILE")</f>
        <v>VALENTIN SANTARNECCH CECILE</v>
      </c>
      <c r="AD385" s="38"/>
      <c r="AE385" s="39"/>
      <c r="AF385" s="40"/>
      <c r="AG385" s="41"/>
      <c r="AH385" s="32" t="s">
        <v>179</v>
      </c>
      <c r="AI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XEY385" s="27"/>
      <c r="XEZ385" s="27"/>
      <c r="XFA385" s="27"/>
      <c r="XFB385" s="27"/>
      <c r="XFC385" s="27"/>
      <c r="XFD385" s="27"/>
    </row>
    <row r="386" s="42" customFormat="true" ht="14.15" hidden="false" customHeight="true" outlineLevel="0" collapsed="false">
      <c r="A386" s="28" t="s">
        <v>2721</v>
      </c>
      <c r="B386" s="29" t="s">
        <v>1377</v>
      </c>
      <c r="C386" s="29" t="s">
        <v>2722</v>
      </c>
      <c r="D386" s="30" t="s">
        <v>112</v>
      </c>
      <c r="E386" s="31"/>
      <c r="F386" s="32" t="n">
        <v>48</v>
      </c>
      <c r="G386" s="31"/>
      <c r="H386" s="31" t="n">
        <v>2</v>
      </c>
      <c r="I386" s="31" t="s">
        <v>51</v>
      </c>
      <c r="J386" s="29" t="s">
        <v>52</v>
      </c>
      <c r="K386" s="29" t="s">
        <v>53</v>
      </c>
      <c r="L386" s="32" t="n">
        <v>149</v>
      </c>
      <c r="M386" s="33" t="s">
        <v>54</v>
      </c>
      <c r="N386" s="34" t="n">
        <v>75015</v>
      </c>
      <c r="O386" s="35" t="s">
        <v>55</v>
      </c>
      <c r="P386" s="36" t="s">
        <v>2723</v>
      </c>
      <c r="Q386" s="36" t="n">
        <v>236</v>
      </c>
      <c r="R386" s="32" t="n">
        <v>96</v>
      </c>
      <c r="S386" s="32" t="n">
        <v>4</v>
      </c>
      <c r="T386" s="32"/>
      <c r="U386" s="32"/>
      <c r="V386" s="37"/>
      <c r="W386" s="32"/>
      <c r="X386" s="34"/>
      <c r="Y386" s="34"/>
      <c r="Z386" s="32"/>
      <c r="AA386" s="32" t="s">
        <v>2724</v>
      </c>
      <c r="AB386" s="32"/>
      <c r="AC386" s="38" t="str">
        <f aca="false">HYPERLINK("https://biocodex6--c.vf.force.com/0014L00000KFfF4QAL", "CHAPPUY HELENE")</f>
        <v>CHAPPUY HELENE</v>
      </c>
      <c r="AD386" s="38"/>
      <c r="AE386" s="39"/>
      <c r="AF386" s="40"/>
      <c r="AG386" s="41"/>
      <c r="AH386" s="32"/>
      <c r="AI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XEY386" s="27"/>
      <c r="XEZ386" s="27"/>
      <c r="XFA386" s="27"/>
      <c r="XFB386" s="27"/>
      <c r="XFC386" s="27"/>
      <c r="XFD386" s="27"/>
    </row>
    <row r="387" s="42" customFormat="true" ht="14.15" hidden="false" customHeight="true" outlineLevel="0" collapsed="false">
      <c r="A387" s="28" t="s">
        <v>2725</v>
      </c>
      <c r="B387" s="29" t="s">
        <v>1564</v>
      </c>
      <c r="C387" s="29" t="s">
        <v>2726</v>
      </c>
      <c r="D387" s="30" t="s">
        <v>244</v>
      </c>
      <c r="E387" s="30" t="s">
        <v>245</v>
      </c>
      <c r="F387" s="32" t="n">
        <v>45</v>
      </c>
      <c r="G387" s="31" t="s">
        <v>215</v>
      </c>
      <c r="H387" s="31" t="n">
        <v>1</v>
      </c>
      <c r="I387" s="31" t="s">
        <v>233</v>
      </c>
      <c r="J387" s="29"/>
      <c r="K387" s="29" t="s">
        <v>2727</v>
      </c>
      <c r="L387" s="32" t="n">
        <v>34</v>
      </c>
      <c r="M387" s="33" t="s">
        <v>2728</v>
      </c>
      <c r="N387" s="34" t="n">
        <v>75015</v>
      </c>
      <c r="O387" s="35" t="s">
        <v>55</v>
      </c>
      <c r="P387" s="36" t="s">
        <v>2729</v>
      </c>
      <c r="Q387" s="36" t="n">
        <v>1</v>
      </c>
      <c r="R387" s="32" t="n">
        <v>96</v>
      </c>
      <c r="S387" s="32" t="n">
        <v>4</v>
      </c>
      <c r="T387" s="32"/>
      <c r="U387" s="32"/>
      <c r="V387" s="37" t="n">
        <v>3</v>
      </c>
      <c r="W387" s="32" t="n">
        <v>3</v>
      </c>
      <c r="X387" s="34"/>
      <c r="Y387" s="34" t="n">
        <v>2</v>
      </c>
      <c r="Z387" s="32" t="s">
        <v>2730</v>
      </c>
      <c r="AA387" s="32" t="s">
        <v>2731</v>
      </c>
      <c r="AB387" s="32" t="s">
        <v>2732</v>
      </c>
      <c r="AC387" s="38" t="str">
        <f aca="false">HYPERLINK("https://biocodex6--c.vf.force.com/0014L00000KFmy5QAD", "LEPAGNOL ASTRID")</f>
        <v>LEPAGNOL ASTRID</v>
      </c>
      <c r="AD387" s="38" t="str">
        <f aca="false">HYPERLINK("https://annuairesante.ameli.fr/professionnels-de-sante/recherche/fiche-detaillee-B7c1kjIwODG3.html", "LEPAGNOL ASTRID")</f>
        <v>LEPAGNOL ASTRID</v>
      </c>
      <c r="AE387" s="39"/>
      <c r="AF387" s="40"/>
      <c r="AG387" s="41"/>
      <c r="AH387" s="32"/>
      <c r="AI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XEY387" s="27"/>
      <c r="XEZ387" s="27"/>
      <c r="XFA387" s="27"/>
      <c r="XFB387" s="27"/>
      <c r="XFC387" s="27"/>
      <c r="XFD387" s="27"/>
    </row>
    <row r="388" s="42" customFormat="true" ht="14.15" hidden="false" customHeight="true" outlineLevel="0" collapsed="false">
      <c r="A388" s="28" t="s">
        <v>2733</v>
      </c>
      <c r="B388" s="29" t="s">
        <v>2734</v>
      </c>
      <c r="C388" s="29" t="s">
        <v>2735</v>
      </c>
      <c r="D388" s="30" t="s">
        <v>112</v>
      </c>
      <c r="E388" s="31"/>
      <c r="F388" s="32"/>
      <c r="G388" s="31"/>
      <c r="H388" s="31" t="n">
        <v>1</v>
      </c>
      <c r="I388" s="31" t="s">
        <v>77</v>
      </c>
      <c r="J388" s="29" t="s">
        <v>246</v>
      </c>
      <c r="K388" s="29" t="s">
        <v>247</v>
      </c>
      <c r="L388" s="32" t="n">
        <v>36</v>
      </c>
      <c r="M388" s="33" t="s">
        <v>248</v>
      </c>
      <c r="N388" s="34" t="n">
        <v>92200</v>
      </c>
      <c r="O388" s="35" t="s">
        <v>81</v>
      </c>
      <c r="P388" s="36" t="s">
        <v>365</v>
      </c>
      <c r="Q388" s="36" t="n">
        <v>49</v>
      </c>
      <c r="R388" s="32" t="n">
        <v>91</v>
      </c>
      <c r="S388" s="32" t="n">
        <v>4</v>
      </c>
      <c r="T388" s="32"/>
      <c r="U388" s="32"/>
      <c r="V388" s="37"/>
      <c r="W388" s="32"/>
      <c r="X388" s="34"/>
      <c r="Y388" s="34"/>
      <c r="Z388" s="32"/>
      <c r="AA388" s="32" t="s">
        <v>2736</v>
      </c>
      <c r="AB388" s="32"/>
      <c r="AC388" s="38" t="str">
        <f aca="false">HYPERLINK("https://biocodex6--c.vf.force.com/0014L00000KGHb4QAH", "LAGHA MAHA")</f>
        <v>LAGHA MAHA</v>
      </c>
      <c r="AD388" s="38"/>
      <c r="AE388" s="39" t="n">
        <v>45233.4583333333</v>
      </c>
      <c r="AF388" s="40"/>
      <c r="AG388" s="41"/>
      <c r="AH388" s="32"/>
      <c r="AI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XEY388" s="27"/>
      <c r="XEZ388" s="27"/>
      <c r="XFA388" s="27"/>
      <c r="XFB388" s="27"/>
      <c r="XFC388" s="27"/>
      <c r="XFD388" s="27"/>
    </row>
    <row r="389" s="42" customFormat="true" ht="14.15" hidden="false" customHeight="true" outlineLevel="0" collapsed="false">
      <c r="A389" s="28" t="s">
        <v>2737</v>
      </c>
      <c r="B389" s="29" t="s">
        <v>2738</v>
      </c>
      <c r="C389" s="29" t="s">
        <v>2739</v>
      </c>
      <c r="D389" s="30" t="s">
        <v>244</v>
      </c>
      <c r="E389" s="30" t="s">
        <v>2740</v>
      </c>
      <c r="F389" s="32" t="n">
        <v>69</v>
      </c>
      <c r="G389" s="31" t="s">
        <v>215</v>
      </c>
      <c r="H389" s="31" t="n">
        <v>1</v>
      </c>
      <c r="I389" s="31" t="s">
        <v>233</v>
      </c>
      <c r="J389" s="29"/>
      <c r="K389" s="29" t="s">
        <v>2741</v>
      </c>
      <c r="L389" s="32" t="n">
        <v>14</v>
      </c>
      <c r="M389" s="33" t="s">
        <v>2742</v>
      </c>
      <c r="N389" s="34" t="n">
        <v>75015</v>
      </c>
      <c r="O389" s="35" t="s">
        <v>55</v>
      </c>
      <c r="P389" s="36" t="s">
        <v>2743</v>
      </c>
      <c r="Q389" s="36" t="n">
        <v>2</v>
      </c>
      <c r="R389" s="32" t="n">
        <v>88</v>
      </c>
      <c r="S389" s="32" t="n">
        <v>4</v>
      </c>
      <c r="T389" s="32"/>
      <c r="U389" s="32"/>
      <c r="V389" s="37" t="n">
        <v>3</v>
      </c>
      <c r="W389" s="32" t="n">
        <v>3</v>
      </c>
      <c r="X389" s="34"/>
      <c r="Y389" s="34" t="n">
        <v>1</v>
      </c>
      <c r="Z389" s="32"/>
      <c r="AA389" s="32" t="s">
        <v>2744</v>
      </c>
      <c r="AB389" s="32" t="s">
        <v>2745</v>
      </c>
      <c r="AC389" s="38" t="str">
        <f aca="false">HYPERLINK("https://biocodex6--c.vf.force.com/0014L00000KFNpNQAX", "ABOULKHEIR HADIDA RUTH")</f>
        <v>ABOULKHEIR HADIDA RUTH</v>
      </c>
      <c r="AD389" s="38" t="str">
        <f aca="false">HYPERLINK("https://annuairesante.ameli.fr/professionnels-de-sante/recherche/fiche-detaillee-B7c1lTI0MzOy.html", "ABOULKHEIR HADIDA RUTH")</f>
        <v>ABOULKHEIR HADIDA RUTH</v>
      </c>
      <c r="AE389" s="39"/>
      <c r="AF389" s="40"/>
      <c r="AG389" s="41"/>
      <c r="AH389" s="32"/>
      <c r="AI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XEY389" s="27"/>
      <c r="XEZ389" s="27"/>
      <c r="XFA389" s="27"/>
      <c r="XFB389" s="27"/>
      <c r="XFC389" s="27"/>
      <c r="XFD389" s="27"/>
    </row>
    <row r="390" s="42" customFormat="true" ht="14.15" hidden="false" customHeight="true" outlineLevel="0" collapsed="false">
      <c r="A390" s="28" t="s">
        <v>2746</v>
      </c>
      <c r="B390" s="29" t="s">
        <v>399</v>
      </c>
      <c r="C390" s="29" t="s">
        <v>2747</v>
      </c>
      <c r="D390" s="30" t="s">
        <v>75</v>
      </c>
      <c r="E390" s="30" t="s">
        <v>112</v>
      </c>
      <c r="F390" s="32" t="n">
        <v>69</v>
      </c>
      <c r="G390" s="31"/>
      <c r="H390" s="31" t="n">
        <v>2</v>
      </c>
      <c r="I390" s="31" t="s">
        <v>51</v>
      </c>
      <c r="J390" s="29" t="s">
        <v>52</v>
      </c>
      <c r="K390" s="29" t="s">
        <v>53</v>
      </c>
      <c r="L390" s="32" t="n">
        <v>149</v>
      </c>
      <c r="M390" s="33" t="s">
        <v>54</v>
      </c>
      <c r="N390" s="34" t="n">
        <v>75015</v>
      </c>
      <c r="O390" s="35" t="s">
        <v>55</v>
      </c>
      <c r="P390" s="36" t="s">
        <v>1387</v>
      </c>
      <c r="Q390" s="36" t="n">
        <v>236</v>
      </c>
      <c r="R390" s="32" t="n">
        <v>85</v>
      </c>
      <c r="S390" s="32" t="n">
        <v>4</v>
      </c>
      <c r="T390" s="32"/>
      <c r="U390" s="32"/>
      <c r="V390" s="37"/>
      <c r="W390" s="32"/>
      <c r="X390" s="34"/>
      <c r="Y390" s="34"/>
      <c r="Z390" s="32"/>
      <c r="AA390" s="32" t="s">
        <v>2748</v>
      </c>
      <c r="AB390" s="32"/>
      <c r="AC390" s="38" t="str">
        <f aca="false">HYPERLINK("https://biocodex6--c.vf.force.com/0014L00000KFgc7QAD", "GOULET OLIVIER")</f>
        <v>GOULET OLIVIER</v>
      </c>
      <c r="AD390" s="38"/>
      <c r="AE390" s="39"/>
      <c r="AF390" s="40"/>
      <c r="AG390" s="41"/>
      <c r="AH390" s="32"/>
      <c r="AI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XEY390" s="27"/>
      <c r="XEZ390" s="27"/>
      <c r="XFA390" s="27"/>
      <c r="XFB390" s="27"/>
      <c r="XFC390" s="27"/>
      <c r="XFD390" s="27"/>
    </row>
    <row r="391" s="42" customFormat="true" ht="14.15" hidden="false" customHeight="true" outlineLevel="0" collapsed="false">
      <c r="A391" s="28" t="s">
        <v>2749</v>
      </c>
      <c r="B391" s="29" t="s">
        <v>2750</v>
      </c>
      <c r="C391" s="29" t="s">
        <v>2751</v>
      </c>
      <c r="D391" s="30" t="s">
        <v>244</v>
      </c>
      <c r="E391" s="30" t="s">
        <v>245</v>
      </c>
      <c r="F391" s="32" t="n">
        <v>63</v>
      </c>
      <c r="G391" s="31" t="s">
        <v>98</v>
      </c>
      <c r="H391" s="31" t="n">
        <v>2</v>
      </c>
      <c r="I391" s="31" t="s">
        <v>99</v>
      </c>
      <c r="J391" s="29"/>
      <c r="K391" s="29" t="s">
        <v>2752</v>
      </c>
      <c r="L391" s="32" t="n">
        <v>13</v>
      </c>
      <c r="M391" s="33" t="s">
        <v>2753</v>
      </c>
      <c r="N391" s="34" t="n">
        <v>75015</v>
      </c>
      <c r="O391" s="35" t="s">
        <v>55</v>
      </c>
      <c r="P391" s="36" t="s">
        <v>2754</v>
      </c>
      <c r="Q391" s="36" t="n">
        <v>1</v>
      </c>
      <c r="R391" s="32" t="n">
        <v>83</v>
      </c>
      <c r="S391" s="32" t="n">
        <v>4</v>
      </c>
      <c r="T391" s="32"/>
      <c r="U391" s="32"/>
      <c r="V391" s="37" t="n">
        <v>3</v>
      </c>
      <c r="W391" s="32" t="n">
        <v>3</v>
      </c>
      <c r="X391" s="34" t="n">
        <v>2</v>
      </c>
      <c r="Y391" s="34" t="n">
        <v>3</v>
      </c>
      <c r="Z391" s="32"/>
      <c r="AA391" s="32" t="s">
        <v>2755</v>
      </c>
      <c r="AB391" s="32" t="s">
        <v>2756</v>
      </c>
      <c r="AC391" s="42" t="str">
        <f aca="false">HYPERLINK("https://biocodex6--c.vf.force.com/0014L00000KFS9eQAH", "HAROUN FATIMA")</f>
        <v>HAROUN FATIMA</v>
      </c>
      <c r="AD391" s="32" t="str">
        <f aca="false">HYPERLINK("https://annuairesante.ameli.fr/professionnels-de-sante/recherche/fiche-detaillee-B7c1lTM3MzK7.html", "HAROUN FATIMA")</f>
        <v>HAROUN FATIMA</v>
      </c>
      <c r="AE391" s="39" t="n">
        <v>45182.5</v>
      </c>
      <c r="AF391" s="40" t="s">
        <v>2757</v>
      </c>
      <c r="AG391" s="41"/>
      <c r="AH391" s="32"/>
      <c r="AI391" s="32" t="s">
        <v>71</v>
      </c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XEY391" s="27"/>
      <c r="XEZ391" s="27"/>
      <c r="XFA391" s="27"/>
      <c r="XFB391" s="27"/>
      <c r="XFC391" s="27"/>
      <c r="XFD391" s="27"/>
    </row>
    <row r="392" s="42" customFormat="true" ht="14.15" hidden="false" customHeight="true" outlineLevel="0" collapsed="false">
      <c r="A392" s="28" t="s">
        <v>2758</v>
      </c>
      <c r="B392" s="29" t="s">
        <v>2759</v>
      </c>
      <c r="C392" s="29" t="s">
        <v>2760</v>
      </c>
      <c r="D392" s="30" t="s">
        <v>112</v>
      </c>
      <c r="E392" s="31"/>
      <c r="F392" s="32" t="n">
        <v>38</v>
      </c>
      <c r="G392" s="31" t="s">
        <v>215</v>
      </c>
      <c r="H392" s="31" t="n">
        <v>1</v>
      </c>
      <c r="I392" s="31" t="s">
        <v>387</v>
      </c>
      <c r="J392" s="29"/>
      <c r="K392" s="29" t="s">
        <v>2717</v>
      </c>
      <c r="L392" s="32" t="n">
        <v>48</v>
      </c>
      <c r="M392" s="33" t="s">
        <v>2718</v>
      </c>
      <c r="N392" s="34" t="n">
        <v>75016</v>
      </c>
      <c r="O392" s="35" t="s">
        <v>55</v>
      </c>
      <c r="P392" s="36" t="s">
        <v>2761</v>
      </c>
      <c r="Q392" s="36" t="n">
        <v>2</v>
      </c>
      <c r="R392" s="32" t="n">
        <v>77</v>
      </c>
      <c r="S392" s="32" t="n">
        <v>4</v>
      </c>
      <c r="T392" s="32"/>
      <c r="U392" s="32"/>
      <c r="V392" s="37"/>
      <c r="W392" s="32"/>
      <c r="X392" s="34"/>
      <c r="Y392" s="34"/>
      <c r="Z392" s="36"/>
      <c r="AA392" s="32" t="s">
        <v>2762</v>
      </c>
      <c r="AB392" s="32" t="s">
        <v>2763</v>
      </c>
      <c r="AC392" s="38" t="str">
        <f aca="false">HYPERLINK("https://biocodex6--c.vf.force.com/0014L00000KFKTQQA5", "DEMOULIN MARYNE")</f>
        <v>DEMOULIN MARYNE</v>
      </c>
      <c r="AD392" s="38" t="str">
        <f aca="false">HYPERLINK("https://annuairesante.ameli.fr/professionnels-de-sante/recherche/fiche-detaillee-B7c1kjEyOTSy.html", "DEMOULIN MARYNE")</f>
        <v>DEMOULIN MARYNE</v>
      </c>
      <c r="AE392" s="39" t="n">
        <v>45253.3958333333</v>
      </c>
      <c r="AF392" s="40"/>
      <c r="AG392" s="41"/>
      <c r="AH392" s="32" t="s">
        <v>179</v>
      </c>
      <c r="AI392" s="32"/>
      <c r="AL392" s="43" t="s">
        <v>657</v>
      </c>
      <c r="AM392" s="43" t="s">
        <v>2764</v>
      </c>
      <c r="AN392" s="43" t="s">
        <v>909</v>
      </c>
      <c r="AO392" s="43" t="s">
        <v>910</v>
      </c>
      <c r="AP392" s="43" t="s">
        <v>657</v>
      </c>
      <c r="AQ392" s="43" t="s">
        <v>2764</v>
      </c>
      <c r="AR392" s="43" t="s">
        <v>2765</v>
      </c>
      <c r="AS392" s="43" t="s">
        <v>192</v>
      </c>
      <c r="AT392" s="43" t="s">
        <v>2766</v>
      </c>
      <c r="AU392" s="32"/>
      <c r="XEY392" s="27"/>
      <c r="XEZ392" s="27"/>
      <c r="XFA392" s="27"/>
      <c r="XFB392" s="27"/>
      <c r="XFC392" s="27"/>
      <c r="XFD392" s="27"/>
    </row>
    <row r="393" s="42" customFormat="true" ht="14.15" hidden="false" customHeight="true" outlineLevel="0" collapsed="false">
      <c r="A393" s="28" t="s">
        <v>2767</v>
      </c>
      <c r="B393" s="29" t="s">
        <v>419</v>
      </c>
      <c r="C393" s="29" t="s">
        <v>2768</v>
      </c>
      <c r="D393" s="30" t="s">
        <v>112</v>
      </c>
      <c r="E393" s="31"/>
      <c r="F393" s="32" t="n">
        <v>37</v>
      </c>
      <c r="G393" s="31"/>
      <c r="H393" s="31" t="n">
        <v>2</v>
      </c>
      <c r="I393" s="31" t="s">
        <v>51</v>
      </c>
      <c r="J393" s="29" t="s">
        <v>52</v>
      </c>
      <c r="K393" s="29" t="s">
        <v>53</v>
      </c>
      <c r="L393" s="32" t="n">
        <v>149</v>
      </c>
      <c r="M393" s="33" t="s">
        <v>54</v>
      </c>
      <c r="N393" s="34" t="n">
        <v>75015</v>
      </c>
      <c r="O393" s="35" t="s">
        <v>55</v>
      </c>
      <c r="P393" s="36" t="s">
        <v>2769</v>
      </c>
      <c r="Q393" s="36" t="n">
        <v>236</v>
      </c>
      <c r="R393" s="32" t="n">
        <v>76</v>
      </c>
      <c r="S393" s="32" t="n">
        <v>4</v>
      </c>
      <c r="T393" s="32"/>
      <c r="U393" s="32"/>
      <c r="V393" s="37"/>
      <c r="W393" s="32" t="n">
        <v>3</v>
      </c>
      <c r="X393" s="34"/>
      <c r="Y393" s="34" t="n">
        <v>1</v>
      </c>
      <c r="Z393" s="32"/>
      <c r="AA393" s="32" t="s">
        <v>2770</v>
      </c>
      <c r="AB393" s="32"/>
      <c r="AC393" s="38" t="str">
        <f aca="false">HYPERLINK("https://biocodex6--c.vf.force.com/0014L00000KFPjmQAH", "LAGEIX FLORENCE")</f>
        <v>LAGEIX FLORENCE</v>
      </c>
      <c r="AD393" s="38"/>
      <c r="AE393" s="39" t="n">
        <v>45260.5833333333</v>
      </c>
      <c r="AF393" s="40"/>
      <c r="AG393" s="41"/>
      <c r="AH393" s="32"/>
      <c r="AI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XEY393" s="27"/>
      <c r="XEZ393" s="27"/>
      <c r="XFA393" s="27"/>
      <c r="XFB393" s="27"/>
      <c r="XFC393" s="27"/>
      <c r="XFD393" s="27"/>
    </row>
    <row r="394" s="42" customFormat="true" ht="14.15" hidden="false" customHeight="true" outlineLevel="0" collapsed="false">
      <c r="A394" s="28" t="s">
        <v>2771</v>
      </c>
      <c r="B394" s="29" t="s">
        <v>2481</v>
      </c>
      <c r="C394" s="29" t="s">
        <v>2772</v>
      </c>
      <c r="D394" s="30" t="s">
        <v>244</v>
      </c>
      <c r="E394" s="30" t="s">
        <v>245</v>
      </c>
      <c r="F394" s="32" t="n">
        <v>46</v>
      </c>
      <c r="G394" s="31"/>
      <c r="H394" s="31" t="n">
        <v>1</v>
      </c>
      <c r="I394" s="31" t="s">
        <v>99</v>
      </c>
      <c r="J394" s="29" t="s">
        <v>595</v>
      </c>
      <c r="K394" s="29" t="s">
        <v>596</v>
      </c>
      <c r="L394" s="32" t="n">
        <v>20</v>
      </c>
      <c r="M394" s="33" t="s">
        <v>597</v>
      </c>
      <c r="N394" s="34" t="n">
        <v>75015</v>
      </c>
      <c r="O394" s="35" t="s">
        <v>55</v>
      </c>
      <c r="P394" s="36" t="s">
        <v>2773</v>
      </c>
      <c r="Q394" s="36" t="n">
        <v>90</v>
      </c>
      <c r="R394" s="32" t="n">
        <v>69</v>
      </c>
      <c r="S394" s="32" t="n">
        <v>4</v>
      </c>
      <c r="T394" s="32"/>
      <c r="U394" s="32"/>
      <c r="V394" s="37"/>
      <c r="W394" s="32"/>
      <c r="X394" s="34"/>
      <c r="Y394" s="34"/>
      <c r="Z394" s="32"/>
      <c r="AA394" s="32" t="s">
        <v>2774</v>
      </c>
      <c r="AB394" s="32"/>
      <c r="AC394" s="38" t="str">
        <f aca="false">HYPERLINK("https://biocodex6--c.vf.force.com/0014L00000KFTfXQAX", "BATS MONGARDON ANNE SOPHIE")</f>
        <v>BATS MONGARDON ANNE SOPHIE</v>
      </c>
      <c r="AD394" s="38"/>
      <c r="AE394" s="39" t="n">
        <v>45236.625</v>
      </c>
      <c r="AF394" s="40"/>
      <c r="AG394" s="41"/>
      <c r="AH394" s="32"/>
      <c r="AI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XEY394" s="27"/>
      <c r="XEZ394" s="27"/>
      <c r="XFA394" s="27"/>
      <c r="XFB394" s="27"/>
      <c r="XFC394" s="27"/>
      <c r="XFD394" s="27"/>
    </row>
    <row r="395" s="42" customFormat="true" ht="14.15" hidden="false" customHeight="true" outlineLevel="0" collapsed="false">
      <c r="A395" s="28" t="s">
        <v>2775</v>
      </c>
      <c r="B395" s="29" t="s">
        <v>1423</v>
      </c>
      <c r="C395" s="29" t="s">
        <v>2776</v>
      </c>
      <c r="D395" s="30" t="s">
        <v>50</v>
      </c>
      <c r="E395" s="31"/>
      <c r="F395" s="32" t="n">
        <v>35</v>
      </c>
      <c r="G395" s="31"/>
      <c r="H395" s="31" t="n">
        <v>2</v>
      </c>
      <c r="I395" s="31" t="s">
        <v>387</v>
      </c>
      <c r="J395" s="29"/>
      <c r="K395" s="29" t="s">
        <v>2777</v>
      </c>
      <c r="L395" s="32" t="n">
        <v>72</v>
      </c>
      <c r="M395" s="33" t="s">
        <v>2778</v>
      </c>
      <c r="N395" s="34" t="n">
        <v>75016</v>
      </c>
      <c r="O395" s="35" t="s">
        <v>55</v>
      </c>
      <c r="P395" s="36" t="s">
        <v>2779</v>
      </c>
      <c r="Q395" s="36" t="n">
        <v>1</v>
      </c>
      <c r="R395" s="32" t="n">
        <v>69</v>
      </c>
      <c r="S395" s="32" t="n">
        <v>4</v>
      </c>
      <c r="T395" s="32"/>
      <c r="U395" s="32"/>
      <c r="V395" s="37"/>
      <c r="W395" s="32"/>
      <c r="X395" s="34"/>
      <c r="Y395" s="34"/>
      <c r="Z395" s="36"/>
      <c r="AA395" s="32" t="s">
        <v>2780</v>
      </c>
      <c r="AB395" s="32"/>
      <c r="AC395" s="38" t="str">
        <f aca="false">HYPERLINK("https://biocodex6--c.vf.force.com/0014L00000KGECKQA5", "NACCACHE ELIE")</f>
        <v>NACCACHE ELIE</v>
      </c>
      <c r="AD395" s="38"/>
      <c r="AE395" s="39"/>
      <c r="AF395" s="40"/>
      <c r="AG395" s="41"/>
      <c r="AH395" s="32" t="s">
        <v>179</v>
      </c>
      <c r="AI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XEY395" s="27"/>
      <c r="XEZ395" s="27"/>
      <c r="XFA395" s="27"/>
      <c r="XFB395" s="27"/>
      <c r="XFC395" s="27"/>
      <c r="XFD395" s="27"/>
    </row>
    <row r="396" s="42" customFormat="true" ht="14.15" hidden="false" customHeight="true" outlineLevel="0" collapsed="false">
      <c r="A396" s="28" t="s">
        <v>2781</v>
      </c>
      <c r="B396" s="29" t="s">
        <v>2782</v>
      </c>
      <c r="C396" s="29" t="s">
        <v>2783</v>
      </c>
      <c r="D396" s="30" t="s">
        <v>172</v>
      </c>
      <c r="E396" s="31"/>
      <c r="F396" s="32" t="n">
        <v>48</v>
      </c>
      <c r="G396" s="31"/>
      <c r="H396" s="31" t="n">
        <v>1</v>
      </c>
      <c r="I396" s="31" t="s">
        <v>295</v>
      </c>
      <c r="J396" s="29"/>
      <c r="K396" s="29" t="s">
        <v>1586</v>
      </c>
      <c r="L396" s="32" t="n">
        <v>86</v>
      </c>
      <c r="M396" s="33" t="s">
        <v>1050</v>
      </c>
      <c r="N396" s="34" t="n">
        <v>92300</v>
      </c>
      <c r="O396" s="35" t="s">
        <v>298</v>
      </c>
      <c r="P396" s="36" t="s">
        <v>1587</v>
      </c>
      <c r="Q396" s="36" t="n">
        <v>3</v>
      </c>
      <c r="R396" s="32" t="n">
        <v>68</v>
      </c>
      <c r="S396" s="32" t="n">
        <v>4</v>
      </c>
      <c r="T396" s="43" t="s">
        <v>316</v>
      </c>
      <c r="U396" s="32"/>
      <c r="V396" s="37"/>
      <c r="W396" s="32"/>
      <c r="X396" s="34"/>
      <c r="Y396" s="34"/>
      <c r="Z396" s="36"/>
      <c r="AA396" s="32" t="s">
        <v>2784</v>
      </c>
      <c r="AB396" s="32"/>
      <c r="AC396" s="38" t="str">
        <f aca="false">HYPERLINK("https://biocodex6--c.vf.force.com/0014L00000KFSHWQA5", "GERMAIN CANDICE")</f>
        <v>GERMAIN CANDICE</v>
      </c>
      <c r="AD396" s="38"/>
      <c r="AE396" s="39"/>
      <c r="AF396" s="40"/>
      <c r="AG396" s="41"/>
      <c r="AH396" s="32" t="s">
        <v>179</v>
      </c>
      <c r="AI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XEY396" s="27"/>
      <c r="XEZ396" s="27"/>
      <c r="XFA396" s="27"/>
      <c r="XFB396" s="27"/>
      <c r="XFC396" s="27"/>
      <c r="XFD396" s="27"/>
    </row>
    <row r="397" s="42" customFormat="true" ht="14.15" hidden="false" customHeight="true" outlineLevel="0" collapsed="false">
      <c r="A397" s="28" t="s">
        <v>2785</v>
      </c>
      <c r="B397" s="29" t="s">
        <v>1423</v>
      </c>
      <c r="C397" s="29" t="s">
        <v>2786</v>
      </c>
      <c r="D397" s="30" t="s">
        <v>244</v>
      </c>
      <c r="E397" s="30" t="s">
        <v>245</v>
      </c>
      <c r="F397" s="32" t="n">
        <v>54</v>
      </c>
      <c r="G397" s="31" t="s">
        <v>215</v>
      </c>
      <c r="H397" s="31" t="n">
        <v>4</v>
      </c>
      <c r="I397" s="31" t="s">
        <v>233</v>
      </c>
      <c r="J397" s="29"/>
      <c r="K397" s="29" t="s">
        <v>2787</v>
      </c>
      <c r="L397" s="32" t="n">
        <v>45</v>
      </c>
      <c r="M397" s="33" t="s">
        <v>2788</v>
      </c>
      <c r="N397" s="34" t="n">
        <v>75015</v>
      </c>
      <c r="O397" s="35" t="s">
        <v>55</v>
      </c>
      <c r="P397" s="36" t="s">
        <v>2789</v>
      </c>
      <c r="Q397" s="36" t="n">
        <v>2</v>
      </c>
      <c r="R397" s="32" t="n">
        <v>65</v>
      </c>
      <c r="S397" s="32" t="n">
        <v>4</v>
      </c>
      <c r="T397" s="32"/>
      <c r="U397" s="32"/>
      <c r="V397" s="37" t="n">
        <v>3</v>
      </c>
      <c r="W397" s="32"/>
      <c r="X397" s="34"/>
      <c r="Y397" s="34"/>
      <c r="Z397" s="32" t="s">
        <v>2790</v>
      </c>
      <c r="AA397" s="32" t="s">
        <v>2791</v>
      </c>
      <c r="AB397" s="32" t="s">
        <v>2792</v>
      </c>
      <c r="AC397" s="38" t="str">
        <f aca="false">HYPERLINK("https://biocodex6--c.vf.force.com/0014L00000KFzX3QAL", "RIZK ELIE")</f>
        <v>RIZK ELIE</v>
      </c>
      <c r="AD397" s="38" t="str">
        <f aca="false">HYPERLINK("https://annuairesante.ameli.fr/professionnels-de-sante/recherche/fiche-detaillee-B7c1lTA1NjG2.html", "RIZK ELIE")</f>
        <v>RIZK ELIE</v>
      </c>
      <c r="AE397" s="39"/>
      <c r="AF397" s="40"/>
      <c r="AG397" s="41"/>
      <c r="AH397" s="32"/>
      <c r="AI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XEY397" s="27"/>
      <c r="XEZ397" s="27"/>
      <c r="XFA397" s="27"/>
      <c r="XFB397" s="27"/>
      <c r="XFC397" s="27"/>
      <c r="XFD397" s="27"/>
    </row>
    <row r="398" s="42" customFormat="true" ht="14.15" hidden="false" customHeight="true" outlineLevel="0" collapsed="false">
      <c r="A398" s="28" t="s">
        <v>2793</v>
      </c>
      <c r="B398" s="29" t="s">
        <v>2794</v>
      </c>
      <c r="C398" s="29" t="s">
        <v>2795</v>
      </c>
      <c r="D398" s="30" t="s">
        <v>112</v>
      </c>
      <c r="E398" s="31"/>
      <c r="F398" s="32" t="n">
        <v>55</v>
      </c>
      <c r="G398" s="31"/>
      <c r="H398" s="31" t="n">
        <v>2</v>
      </c>
      <c r="I398" s="31" t="s">
        <v>197</v>
      </c>
      <c r="J398" s="29"/>
      <c r="K398" s="29" t="s">
        <v>2796</v>
      </c>
      <c r="L398" s="32" t="n">
        <v>19</v>
      </c>
      <c r="M398" s="33" t="s">
        <v>2797</v>
      </c>
      <c r="N398" s="34" t="n">
        <v>75017</v>
      </c>
      <c r="O398" s="35" t="s">
        <v>55</v>
      </c>
      <c r="P398" s="36" t="s">
        <v>2798</v>
      </c>
      <c r="Q398" s="36" t="n">
        <v>2</v>
      </c>
      <c r="R398" s="32" t="n">
        <v>53</v>
      </c>
      <c r="S398" s="32" t="n">
        <v>4</v>
      </c>
      <c r="T398" s="32"/>
      <c r="U398" s="32" t="n">
        <v>3</v>
      </c>
      <c r="V398" s="37"/>
      <c r="W398" s="32" t="n">
        <v>3</v>
      </c>
      <c r="X398" s="34"/>
      <c r="Y398" s="34" t="n">
        <v>2</v>
      </c>
      <c r="Z398" s="32"/>
      <c r="AA398" s="32" t="s">
        <v>2799</v>
      </c>
      <c r="AB398" s="32"/>
      <c r="AC398" s="38" t="str">
        <f aca="false">HYPERLINK("https://biocodex6--c.vf.force.com/0014L00000KG5U3QAL", "WEILL CLAIRE")</f>
        <v>WEILL CLAIRE</v>
      </c>
      <c r="AD398" s="38"/>
      <c r="AE398" s="39"/>
      <c r="AF398" s="40"/>
      <c r="AG398" s="41"/>
      <c r="AH398" s="32"/>
      <c r="AI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XEY398" s="27"/>
      <c r="XEZ398" s="27"/>
      <c r="XFA398" s="27"/>
      <c r="XFB398" s="27"/>
      <c r="XFC398" s="27"/>
      <c r="XFD398" s="27"/>
    </row>
    <row r="399" s="42" customFormat="true" ht="14.15" hidden="false" customHeight="true" outlineLevel="0" collapsed="false">
      <c r="A399" s="28" t="s">
        <v>2800</v>
      </c>
      <c r="B399" s="29" t="s">
        <v>117</v>
      </c>
      <c r="C399" s="29" t="s">
        <v>2801</v>
      </c>
      <c r="D399" s="30" t="s">
        <v>50</v>
      </c>
      <c r="E399" s="30" t="s">
        <v>2802</v>
      </c>
      <c r="F399" s="32" t="n">
        <v>65</v>
      </c>
      <c r="G399" s="31" t="s">
        <v>215</v>
      </c>
      <c r="H399" s="31" t="n">
        <v>1</v>
      </c>
      <c r="I399" s="31" t="s">
        <v>197</v>
      </c>
      <c r="J399" s="29"/>
      <c r="K399" s="29" t="s">
        <v>2803</v>
      </c>
      <c r="L399" s="32" t="n">
        <v>88</v>
      </c>
      <c r="M399" s="33" t="s">
        <v>2804</v>
      </c>
      <c r="N399" s="34" t="n">
        <v>75017</v>
      </c>
      <c r="O399" s="35" t="s">
        <v>55</v>
      </c>
      <c r="P399" s="36" t="s">
        <v>2805</v>
      </c>
      <c r="Q399" s="36" t="n">
        <v>1</v>
      </c>
      <c r="R399" s="32" t="n">
        <v>43</v>
      </c>
      <c r="S399" s="32" t="n">
        <v>4</v>
      </c>
      <c r="T399" s="32"/>
      <c r="U399" s="32"/>
      <c r="V399" s="37"/>
      <c r="W399" s="32"/>
      <c r="X399" s="34"/>
      <c r="Y399" s="34"/>
      <c r="Z399" s="32"/>
      <c r="AA399" s="32" t="s">
        <v>2806</v>
      </c>
      <c r="AB399" s="32" t="s">
        <v>2807</v>
      </c>
      <c r="AC399" s="38" t="str">
        <f aca="false">HYPERLINK("https://biocodex6--c.vf.force.com/0014L00000kTkMyQAK", "CHAHINE DOMINIQUE")</f>
        <v>CHAHINE DOMINIQUE</v>
      </c>
      <c r="AD399" s="38" t="str">
        <f aca="false">HYPERLINK("https://annuairesante.ameli.fr/professionnels-de-sante/recherche/fiche-detaillee-B7c1lzM4Mzqy.html", "CHAHINE DOMINIQUE")</f>
        <v>CHAHINE DOMINIQUE</v>
      </c>
      <c r="AE399" s="39"/>
      <c r="AF399" s="40"/>
      <c r="AG399" s="41"/>
      <c r="AH399" s="32"/>
      <c r="AI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XEY399" s="27"/>
      <c r="XEZ399" s="27"/>
      <c r="XFA399" s="27"/>
      <c r="XFB399" s="27"/>
      <c r="XFC399" s="27"/>
      <c r="XFD399" s="27"/>
    </row>
    <row r="400" s="42" customFormat="true" ht="14.15" hidden="false" customHeight="true" outlineLevel="0" collapsed="false">
      <c r="A400" s="28" t="s">
        <v>2808</v>
      </c>
      <c r="B400" s="29" t="s">
        <v>332</v>
      </c>
      <c r="C400" s="29" t="s">
        <v>2809</v>
      </c>
      <c r="D400" s="30" t="s">
        <v>172</v>
      </c>
      <c r="E400" s="31"/>
      <c r="F400" s="32" t="n">
        <v>73</v>
      </c>
      <c r="G400" s="31"/>
      <c r="H400" s="31" t="n">
        <v>2</v>
      </c>
      <c r="I400" s="31" t="s">
        <v>173</v>
      </c>
      <c r="J400" s="29"/>
      <c r="K400" s="29" t="s">
        <v>1922</v>
      </c>
      <c r="L400" s="32" t="n">
        <v>29</v>
      </c>
      <c r="M400" s="33" t="s">
        <v>1923</v>
      </c>
      <c r="N400" s="34" t="n">
        <v>75016</v>
      </c>
      <c r="O400" s="35" t="s">
        <v>55</v>
      </c>
      <c r="P400" s="36" t="s">
        <v>1924</v>
      </c>
      <c r="Q400" s="36" t="n">
        <v>3</v>
      </c>
      <c r="R400" s="32" t="n">
        <v>41</v>
      </c>
      <c r="S400" s="32" t="n">
        <v>4</v>
      </c>
      <c r="T400" s="43" t="s">
        <v>316</v>
      </c>
      <c r="U400" s="32"/>
      <c r="V400" s="37"/>
      <c r="W400" s="32"/>
      <c r="X400" s="34"/>
      <c r="Y400" s="34"/>
      <c r="Z400" s="36"/>
      <c r="AA400" s="32" t="s">
        <v>2810</v>
      </c>
      <c r="AB400" s="32"/>
      <c r="AC400" s="38" t="str">
        <f aca="false">HYPERLINK("https://biocodex6--c.vf.force.com/0014L00000KFj1tQAD", "HOANG HUU PHUONG CATHERINE")</f>
        <v>HOANG HUU PHUONG CATHERINE</v>
      </c>
      <c r="AD400" s="38"/>
      <c r="AE400" s="39"/>
      <c r="AF400" s="40"/>
      <c r="AG400" s="41"/>
      <c r="AH400" s="32" t="s">
        <v>179</v>
      </c>
      <c r="AI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XEY400" s="27"/>
      <c r="XEZ400" s="27"/>
      <c r="XFA400" s="27"/>
      <c r="XFB400" s="27"/>
      <c r="XFC400" s="27"/>
      <c r="XFD400" s="27"/>
    </row>
    <row r="401" s="42" customFormat="true" ht="14.15" hidden="false" customHeight="true" outlineLevel="0" collapsed="false">
      <c r="A401" s="28" t="s">
        <v>2316</v>
      </c>
      <c r="B401" s="29" t="s">
        <v>1721</v>
      </c>
      <c r="C401" s="29" t="s">
        <v>2811</v>
      </c>
      <c r="D401" s="30" t="s">
        <v>172</v>
      </c>
      <c r="E401" s="31"/>
      <c r="F401" s="32" t="n">
        <v>53</v>
      </c>
      <c r="G401" s="31"/>
      <c r="H401" s="31" t="n">
        <v>1</v>
      </c>
      <c r="I401" s="31" t="s">
        <v>435</v>
      </c>
      <c r="J401" s="29" t="s">
        <v>2202</v>
      </c>
      <c r="K401" s="29" t="s">
        <v>2203</v>
      </c>
      <c r="L401" s="32" t="n">
        <v>2</v>
      </c>
      <c r="M401" s="33" t="s">
        <v>2204</v>
      </c>
      <c r="N401" s="34" t="n">
        <v>75016</v>
      </c>
      <c r="O401" s="35" t="s">
        <v>55</v>
      </c>
      <c r="P401" s="36" t="s">
        <v>2205</v>
      </c>
      <c r="Q401" s="36" t="n">
        <v>5</v>
      </c>
      <c r="R401" s="32" t="n">
        <v>40</v>
      </c>
      <c r="S401" s="32" t="n">
        <v>4</v>
      </c>
      <c r="T401" s="43" t="s">
        <v>316</v>
      </c>
      <c r="U401" s="32"/>
      <c r="V401" s="37"/>
      <c r="W401" s="32"/>
      <c r="X401" s="34"/>
      <c r="Y401" s="34"/>
      <c r="Z401" s="36"/>
      <c r="AA401" s="32" t="s">
        <v>2812</v>
      </c>
      <c r="AB401" s="32"/>
      <c r="AC401" s="38" t="str">
        <f aca="false">HYPERLINK("https://biocodex6--c.vf.force.com/0014L00000KFkXWQA1", "COSTE EMMANUELLE")</f>
        <v>COSTE EMMANUELLE</v>
      </c>
      <c r="AD401" s="38"/>
      <c r="AE401" s="39"/>
      <c r="AF401" s="40"/>
      <c r="AG401" s="41"/>
      <c r="AH401" s="32" t="s">
        <v>179</v>
      </c>
      <c r="AI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XEY401" s="27"/>
      <c r="XEZ401" s="27"/>
      <c r="XFA401" s="27"/>
      <c r="XFB401" s="27"/>
      <c r="XFC401" s="27"/>
      <c r="XFD401" s="27"/>
    </row>
    <row r="402" s="42" customFormat="true" ht="14.15" hidden="false" customHeight="true" outlineLevel="0" collapsed="false">
      <c r="A402" s="28" t="s">
        <v>2813</v>
      </c>
      <c r="B402" s="29" t="s">
        <v>170</v>
      </c>
      <c r="C402" s="29" t="s">
        <v>2814</v>
      </c>
      <c r="D402" s="30" t="s">
        <v>172</v>
      </c>
      <c r="E402" s="31"/>
      <c r="F402" s="32" t="n">
        <v>49</v>
      </c>
      <c r="G402" s="31"/>
      <c r="H402" s="31" t="n">
        <v>1</v>
      </c>
      <c r="I402" s="31" t="s">
        <v>435</v>
      </c>
      <c r="J402" s="29" t="s">
        <v>2202</v>
      </c>
      <c r="K402" s="29" t="s">
        <v>2203</v>
      </c>
      <c r="L402" s="32" t="n">
        <v>2</v>
      </c>
      <c r="M402" s="33" t="s">
        <v>2204</v>
      </c>
      <c r="N402" s="34" t="n">
        <v>75016</v>
      </c>
      <c r="O402" s="35" t="s">
        <v>55</v>
      </c>
      <c r="P402" s="36" t="s">
        <v>2205</v>
      </c>
      <c r="Q402" s="36" t="n">
        <v>5</v>
      </c>
      <c r="R402" s="32" t="n">
        <v>40</v>
      </c>
      <c r="S402" s="32" t="n">
        <v>4</v>
      </c>
      <c r="T402" s="43" t="s">
        <v>316</v>
      </c>
      <c r="U402" s="32"/>
      <c r="V402" s="37"/>
      <c r="W402" s="32"/>
      <c r="X402" s="34"/>
      <c r="Y402" s="34"/>
      <c r="Z402" s="32"/>
      <c r="AA402" s="32" t="s">
        <v>2815</v>
      </c>
      <c r="AB402" s="32"/>
      <c r="AC402" s="38" t="str">
        <f aca="false">HYPERLINK("https://biocodex6--c.vf.force.com/0014L00000KG0qEQAT", "SEGUY CAROLE")</f>
        <v>SEGUY CAROLE</v>
      </c>
      <c r="AD402" s="38"/>
      <c r="AE402" s="39"/>
      <c r="AF402" s="40"/>
      <c r="AG402" s="41"/>
      <c r="AH402" s="32"/>
      <c r="AI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XEY402" s="27"/>
      <c r="XEZ402" s="27"/>
      <c r="XFA402" s="27"/>
      <c r="XFB402" s="27"/>
      <c r="XFC402" s="27"/>
      <c r="XFD402" s="27"/>
    </row>
    <row r="403" s="42" customFormat="true" ht="14.15" hidden="false" customHeight="true" outlineLevel="0" collapsed="false">
      <c r="A403" s="28" t="s">
        <v>2816</v>
      </c>
      <c r="B403" s="29" t="s">
        <v>2817</v>
      </c>
      <c r="C403" s="29" t="s">
        <v>2818</v>
      </c>
      <c r="D403" s="30" t="s">
        <v>172</v>
      </c>
      <c r="E403" s="31"/>
      <c r="F403" s="32" t="n">
        <v>50</v>
      </c>
      <c r="G403" s="31"/>
      <c r="H403" s="31" t="n">
        <v>1</v>
      </c>
      <c r="I403" s="31" t="s">
        <v>197</v>
      </c>
      <c r="J403" s="29" t="s">
        <v>1915</v>
      </c>
      <c r="K403" s="29" t="s">
        <v>1916</v>
      </c>
      <c r="L403" s="32" t="n">
        <v>17</v>
      </c>
      <c r="M403" s="33" t="s">
        <v>1917</v>
      </c>
      <c r="N403" s="34" t="n">
        <v>75017</v>
      </c>
      <c r="O403" s="35" t="s">
        <v>55</v>
      </c>
      <c r="P403" s="36" t="s">
        <v>1918</v>
      </c>
      <c r="Q403" s="36" t="n">
        <v>12</v>
      </c>
      <c r="R403" s="32" t="n">
        <v>38</v>
      </c>
      <c r="S403" s="32" t="n">
        <v>4</v>
      </c>
      <c r="T403" s="43" t="s">
        <v>316</v>
      </c>
      <c r="U403" s="32"/>
      <c r="V403" s="37"/>
      <c r="W403" s="32"/>
      <c r="X403" s="34"/>
      <c r="Y403" s="34"/>
      <c r="Z403" s="36"/>
      <c r="AA403" s="32" t="s">
        <v>2819</v>
      </c>
      <c r="AB403" s="32"/>
      <c r="AC403" s="38" t="str">
        <f aca="false">HYPERLINK("https://biocodex6--c.vf.force.com/0014L00000KFiSUQA1", "KALMI EL LAIK ESTHER")</f>
        <v>KALMI EL LAIK ESTHER</v>
      </c>
      <c r="AD403" s="38"/>
      <c r="AE403" s="39"/>
      <c r="AF403" s="40"/>
      <c r="AG403" s="41"/>
      <c r="AH403" s="32" t="s">
        <v>179</v>
      </c>
      <c r="AI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XEY403" s="27"/>
      <c r="XEZ403" s="27"/>
      <c r="XFA403" s="27"/>
      <c r="XFB403" s="27"/>
      <c r="XFC403" s="27"/>
      <c r="XFD403" s="27"/>
    </row>
    <row r="404" s="42" customFormat="true" ht="14.15" hidden="false" customHeight="true" outlineLevel="0" collapsed="false">
      <c r="A404" s="28" t="s">
        <v>2820</v>
      </c>
      <c r="B404" s="29" t="s">
        <v>2794</v>
      </c>
      <c r="C404" s="29" t="s">
        <v>2821</v>
      </c>
      <c r="D404" s="30" t="s">
        <v>172</v>
      </c>
      <c r="E404" s="31"/>
      <c r="F404" s="32" t="n">
        <v>58</v>
      </c>
      <c r="G404" s="31"/>
      <c r="H404" s="31" t="n">
        <v>1</v>
      </c>
      <c r="I404" s="31" t="s">
        <v>233</v>
      </c>
      <c r="J404" s="29"/>
      <c r="K404" s="29" t="s">
        <v>2822</v>
      </c>
      <c r="L404" s="32" t="n">
        <v>3</v>
      </c>
      <c r="M404" s="33" t="s">
        <v>2823</v>
      </c>
      <c r="N404" s="34" t="n">
        <v>75015</v>
      </c>
      <c r="O404" s="35" t="s">
        <v>55</v>
      </c>
      <c r="P404" s="36" t="s">
        <v>2824</v>
      </c>
      <c r="Q404" s="36" t="n">
        <v>5</v>
      </c>
      <c r="R404" s="32" t="n">
        <v>37</v>
      </c>
      <c r="S404" s="32" t="n">
        <v>4</v>
      </c>
      <c r="T404" s="43" t="s">
        <v>1107</v>
      </c>
      <c r="U404" s="32" t="n">
        <v>3</v>
      </c>
      <c r="V404" s="37" t="n">
        <v>3</v>
      </c>
      <c r="W404" s="32"/>
      <c r="X404" s="34"/>
      <c r="Y404" s="34"/>
      <c r="Z404" s="36"/>
      <c r="AA404" s="32" t="s">
        <v>2825</v>
      </c>
      <c r="AB404" s="32"/>
      <c r="AC404" s="38" t="str">
        <f aca="false">HYPERLINK("https://biocodex6--c.vf.force.com/0014L00000KFYNQQA5", "DIGE MICHAUX CLAIRE")</f>
        <v>DIGE MICHAUX CLAIRE</v>
      </c>
      <c r="AD404" s="38"/>
      <c r="AE404" s="39"/>
      <c r="AF404" s="40"/>
      <c r="AG404" s="41"/>
      <c r="AH404" s="32" t="s">
        <v>179</v>
      </c>
      <c r="AI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XEY404" s="27"/>
      <c r="XEZ404" s="27"/>
      <c r="XFA404" s="27"/>
      <c r="XFB404" s="27"/>
      <c r="XFC404" s="27"/>
      <c r="XFD404" s="27"/>
    </row>
    <row r="405" s="42" customFormat="true" ht="14.15" hidden="false" customHeight="true" outlineLevel="0" collapsed="false">
      <c r="A405" s="28" t="s">
        <v>2826</v>
      </c>
      <c r="B405" s="29" t="s">
        <v>2827</v>
      </c>
      <c r="C405" s="29" t="s">
        <v>2828</v>
      </c>
      <c r="D405" s="30" t="s">
        <v>50</v>
      </c>
      <c r="E405" s="30" t="s">
        <v>344</v>
      </c>
      <c r="F405" s="32"/>
      <c r="G405" s="31" t="s">
        <v>345</v>
      </c>
      <c r="H405" s="31" t="n">
        <v>1</v>
      </c>
      <c r="I405" s="31" t="s">
        <v>62</v>
      </c>
      <c r="J405" s="29"/>
      <c r="K405" s="29" t="s">
        <v>2829</v>
      </c>
      <c r="L405" s="32" t="n">
        <v>7</v>
      </c>
      <c r="M405" s="33" t="s">
        <v>2830</v>
      </c>
      <c r="N405" s="34" t="n">
        <v>75017</v>
      </c>
      <c r="O405" s="35" t="s">
        <v>55</v>
      </c>
      <c r="P405" s="36" t="s">
        <v>2831</v>
      </c>
      <c r="Q405" s="36" t="n">
        <v>1</v>
      </c>
      <c r="R405" s="32" t="n">
        <v>20</v>
      </c>
      <c r="S405" s="32" t="n">
        <v>4</v>
      </c>
      <c r="T405" s="32"/>
      <c r="U405" s="32"/>
      <c r="V405" s="37"/>
      <c r="W405" s="32"/>
      <c r="X405" s="34"/>
      <c r="Y405" s="34"/>
      <c r="Z405" s="32"/>
      <c r="AA405" s="32" t="s">
        <v>2832</v>
      </c>
      <c r="AB405" s="32" t="s">
        <v>2833</v>
      </c>
      <c r="AC405" s="38" t="str">
        <f aca="false">HYPERLINK("https://biocodex6--c.vf.force.com/0014L00000KFjXbQAL", "KISSELEVA ROMANOVA HOOGHE ELENA")</f>
        <v>KISSELEVA ROMANOVA HOOGHE ELENA</v>
      </c>
      <c r="AD405" s="38" t="str">
        <f aca="false">HYPERLINK("https://annuairesante.ameli.fr/professionnels-de-sante/recherche/fiche-detaillee-B7c1lTM5ODKy.html", "KISSELEVA ROMANOVA HOOGHE ELENA")</f>
        <v>KISSELEVA ROMANOVA HOOGHE ELENA</v>
      </c>
      <c r="AE405" s="39"/>
      <c r="AF405" s="40"/>
      <c r="AG405" s="41"/>
      <c r="AH405" s="32"/>
      <c r="AI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XEY405" s="27"/>
      <c r="XEZ405" s="27"/>
      <c r="XFA405" s="27"/>
      <c r="XFB405" s="27"/>
      <c r="XFC405" s="27"/>
      <c r="XFD405" s="27"/>
    </row>
    <row r="406" s="42" customFormat="true" ht="14.15" hidden="false" customHeight="true" outlineLevel="0" collapsed="false">
      <c r="A406" s="28" t="s">
        <v>2834</v>
      </c>
      <c r="B406" s="29" t="s">
        <v>450</v>
      </c>
      <c r="C406" s="29" t="s">
        <v>2835</v>
      </c>
      <c r="D406" s="30" t="s">
        <v>112</v>
      </c>
      <c r="E406" s="30" t="s">
        <v>1820</v>
      </c>
      <c r="F406" s="32" t="n">
        <v>53</v>
      </c>
      <c r="G406" s="31"/>
      <c r="H406" s="31" t="n">
        <v>1</v>
      </c>
      <c r="I406" s="31" t="s">
        <v>51</v>
      </c>
      <c r="J406" s="29" t="s">
        <v>52</v>
      </c>
      <c r="K406" s="29" t="s">
        <v>53</v>
      </c>
      <c r="L406" s="32" t="n">
        <v>149</v>
      </c>
      <c r="M406" s="33" t="s">
        <v>54</v>
      </c>
      <c r="N406" s="34" t="n">
        <v>75015</v>
      </c>
      <c r="O406" s="35" t="s">
        <v>55</v>
      </c>
      <c r="P406" s="36" t="s">
        <v>1821</v>
      </c>
      <c r="Q406" s="36" t="n">
        <v>236</v>
      </c>
      <c r="R406" s="32" t="n">
        <v>11</v>
      </c>
      <c r="S406" s="32" t="n">
        <v>4</v>
      </c>
      <c r="T406" s="32"/>
      <c r="U406" s="32"/>
      <c r="V406" s="37"/>
      <c r="W406" s="32"/>
      <c r="X406" s="34"/>
      <c r="Y406" s="34"/>
      <c r="Z406" s="32"/>
      <c r="AA406" s="32" t="s">
        <v>2836</v>
      </c>
      <c r="AB406" s="32"/>
      <c r="AC406" s="38" t="str">
        <f aca="false">HYPERLINK("https://biocodex6--c.vf.force.com/0014L00000KFtq3QAD", "NEVEN BENEDICTE")</f>
        <v>NEVEN BENEDICTE</v>
      </c>
      <c r="AD406" s="38"/>
      <c r="AE406" s="39"/>
      <c r="AF406" s="40"/>
      <c r="AG406" s="41"/>
      <c r="AH406" s="32"/>
      <c r="AI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XEY406" s="27"/>
      <c r="XEZ406" s="27"/>
      <c r="XFA406" s="27"/>
      <c r="XFB406" s="27"/>
      <c r="XFC406" s="27"/>
      <c r="XFD406" s="27"/>
    </row>
    <row r="407" s="42" customFormat="true" ht="14.15" hidden="false" customHeight="true" outlineLevel="0" collapsed="false">
      <c r="A407" s="28" t="s">
        <v>2837</v>
      </c>
      <c r="B407" s="29" t="s">
        <v>2838</v>
      </c>
      <c r="C407" s="29" t="s">
        <v>2839</v>
      </c>
      <c r="D407" s="30" t="s">
        <v>50</v>
      </c>
      <c r="E407" s="31"/>
      <c r="F407" s="32" t="n">
        <v>51</v>
      </c>
      <c r="G407" s="31" t="s">
        <v>345</v>
      </c>
      <c r="H407" s="31" t="n">
        <v>1</v>
      </c>
      <c r="I407" s="31" t="s">
        <v>435</v>
      </c>
      <c r="J407" s="29"/>
      <c r="K407" s="29" t="s">
        <v>2840</v>
      </c>
      <c r="L407" s="32" t="n">
        <v>123</v>
      </c>
      <c r="M407" s="33" t="s">
        <v>498</v>
      </c>
      <c r="N407" s="34" t="n">
        <v>75016</v>
      </c>
      <c r="O407" s="35" t="s">
        <v>55</v>
      </c>
      <c r="P407" s="36" t="s">
        <v>2841</v>
      </c>
      <c r="Q407" s="36" t="n">
        <v>1</v>
      </c>
      <c r="R407" s="32" t="n">
        <v>11</v>
      </c>
      <c r="S407" s="32" t="n">
        <v>4</v>
      </c>
      <c r="T407" s="32"/>
      <c r="U407" s="32"/>
      <c r="V407" s="37"/>
      <c r="W407" s="32"/>
      <c r="X407" s="34"/>
      <c r="Y407" s="34"/>
      <c r="Z407" s="32"/>
      <c r="AA407" s="32" t="s">
        <v>2842</v>
      </c>
      <c r="AB407" s="32" t="s">
        <v>2843</v>
      </c>
      <c r="AC407" s="38" t="str">
        <f aca="false">HYPERLINK("https://biocodex6--c.vf.force.com/0014L00000fZirNQAS", "MAYEUX PIERRE ALAIN")</f>
        <v>MAYEUX PIERRE ALAIN</v>
      </c>
      <c r="AD407" s="38" t="str">
        <f aca="false">HYPERLINK("https://annuairesante.ameli.fr/professionnels-de-sante/recherche/fiche-detaillee-B7c1lTA3MjGx.html", "MAYEUX PIERRE ALAIN")</f>
        <v>MAYEUX PIERRE ALAIN</v>
      </c>
      <c r="AE407" s="39"/>
      <c r="AF407" s="40"/>
      <c r="AG407" s="41"/>
      <c r="AH407" s="32"/>
      <c r="AI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XEY407" s="27"/>
      <c r="XEZ407" s="27"/>
      <c r="XFA407" s="27"/>
      <c r="XFB407" s="27"/>
      <c r="XFC407" s="27"/>
      <c r="XFD407" s="27"/>
    </row>
    <row r="408" s="42" customFormat="true" ht="14.15" hidden="false" customHeight="true" outlineLevel="0" collapsed="false">
      <c r="A408" s="28" t="s">
        <v>2844</v>
      </c>
      <c r="B408" s="29" t="s">
        <v>2845</v>
      </c>
      <c r="C408" s="29" t="s">
        <v>2846</v>
      </c>
      <c r="D408" s="30" t="s">
        <v>50</v>
      </c>
      <c r="E408" s="31"/>
      <c r="F408" s="32" t="n">
        <v>0</v>
      </c>
      <c r="G408" s="31"/>
      <c r="H408" s="31" t="n">
        <v>1</v>
      </c>
      <c r="I408" s="31" t="s">
        <v>51</v>
      </c>
      <c r="J408" s="29" t="s">
        <v>286</v>
      </c>
      <c r="K408" s="29" t="s">
        <v>287</v>
      </c>
      <c r="L408" s="32" t="n">
        <v>12</v>
      </c>
      <c r="M408" s="33" t="s">
        <v>288</v>
      </c>
      <c r="N408" s="34" t="n">
        <v>75015</v>
      </c>
      <c r="O408" s="35" t="s">
        <v>55</v>
      </c>
      <c r="P408" s="36" t="s">
        <v>289</v>
      </c>
      <c r="Q408" s="36" t="n">
        <v>14</v>
      </c>
      <c r="R408" s="32"/>
      <c r="S408" s="32" t="n">
        <v>4</v>
      </c>
      <c r="T408" s="32"/>
      <c r="U408" s="32"/>
      <c r="V408" s="37"/>
      <c r="W408" s="32"/>
      <c r="X408" s="34"/>
      <c r="Y408" s="34"/>
      <c r="Z408" s="32"/>
      <c r="AA408" s="32"/>
      <c r="AB408" s="32"/>
      <c r="AC408" s="38"/>
      <c r="AD408" s="38"/>
      <c r="AE408" s="39" t="n">
        <v>45343.5416666667</v>
      </c>
      <c r="AF408" s="40"/>
      <c r="AG408" s="41"/>
      <c r="AH408" s="32"/>
      <c r="AI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XEY408" s="27"/>
      <c r="XEZ408" s="27"/>
      <c r="XFA408" s="27"/>
      <c r="XFB408" s="27"/>
      <c r="XFC408" s="27"/>
      <c r="XFD408" s="27"/>
    </row>
    <row r="409" s="42" customFormat="true" ht="14.15" hidden="false" customHeight="true" outlineLevel="0" collapsed="false">
      <c r="A409" s="28" t="s">
        <v>2847</v>
      </c>
      <c r="B409" s="29" t="s">
        <v>2848</v>
      </c>
      <c r="C409" s="29" t="s">
        <v>2849</v>
      </c>
      <c r="D409" s="30" t="s">
        <v>50</v>
      </c>
      <c r="E409" s="31"/>
      <c r="F409" s="32" t="n">
        <v>34</v>
      </c>
      <c r="G409" s="31"/>
      <c r="H409" s="31" t="n">
        <v>1</v>
      </c>
      <c r="I409" s="31" t="s">
        <v>99</v>
      </c>
      <c r="J409" s="29"/>
      <c r="K409" s="29" t="s">
        <v>2850</v>
      </c>
      <c r="L409" s="32" t="n">
        <v>61</v>
      </c>
      <c r="M409" s="33" t="s">
        <v>892</v>
      </c>
      <c r="N409" s="34" t="n">
        <v>75015</v>
      </c>
      <c r="O409" s="35" t="s">
        <v>55</v>
      </c>
      <c r="P409" s="36"/>
      <c r="Q409" s="36" t="n">
        <v>1</v>
      </c>
      <c r="R409" s="32"/>
      <c r="S409" s="32" t="n">
        <v>4</v>
      </c>
      <c r="T409" s="32"/>
      <c r="U409" s="32"/>
      <c r="V409" s="37"/>
      <c r="W409" s="32"/>
      <c r="X409" s="34"/>
      <c r="Y409" s="34"/>
      <c r="Z409" s="36"/>
      <c r="AA409" s="32" t="s">
        <v>2851</v>
      </c>
      <c r="AB409" s="32"/>
      <c r="AC409" s="38" t="str">
        <f aca="false">HYPERLINK("https://biocodex6--c.vf.force.com/0014L00000hto5gQAA", "FRESNE MATHIEU")</f>
        <v>FRESNE MATHIEU</v>
      </c>
      <c r="AD409" s="38"/>
      <c r="AE409" s="39"/>
      <c r="AF409" s="40"/>
      <c r="AG409" s="41"/>
      <c r="AH409" s="32" t="s">
        <v>179</v>
      </c>
      <c r="AI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XEY409" s="27"/>
      <c r="XEZ409" s="27"/>
      <c r="XFA409" s="27"/>
      <c r="XFB409" s="27"/>
      <c r="XFC409" s="27"/>
      <c r="XFD409" s="27"/>
    </row>
    <row r="410" s="42" customFormat="true" ht="14.15" hidden="false" customHeight="true" outlineLevel="0" collapsed="false">
      <c r="A410" s="28" t="s">
        <v>2852</v>
      </c>
      <c r="B410" s="29" t="s">
        <v>2853</v>
      </c>
      <c r="C410" s="29" t="s">
        <v>2854</v>
      </c>
      <c r="D410" s="30" t="s">
        <v>50</v>
      </c>
      <c r="E410" s="31"/>
      <c r="F410" s="32" t="n">
        <v>33</v>
      </c>
      <c r="G410" s="31"/>
      <c r="H410" s="31" t="n">
        <v>1</v>
      </c>
      <c r="I410" s="31" t="s">
        <v>99</v>
      </c>
      <c r="J410" s="29" t="s">
        <v>162</v>
      </c>
      <c r="K410" s="29" t="s">
        <v>163</v>
      </c>
      <c r="L410" s="32" t="n">
        <v>66</v>
      </c>
      <c r="M410" s="33" t="s">
        <v>164</v>
      </c>
      <c r="N410" s="34" t="n">
        <v>75015</v>
      </c>
      <c r="O410" s="35" t="s">
        <v>55</v>
      </c>
      <c r="P410" s="36" t="s">
        <v>306</v>
      </c>
      <c r="Q410" s="36" t="n">
        <v>5</v>
      </c>
      <c r="R410" s="32"/>
      <c r="S410" s="32" t="n">
        <v>4</v>
      </c>
      <c r="T410" s="32"/>
      <c r="U410" s="32"/>
      <c r="V410" s="37"/>
      <c r="W410" s="32"/>
      <c r="X410" s="34"/>
      <c r="Y410" s="34"/>
      <c r="Z410" s="32"/>
      <c r="AA410" s="32" t="s">
        <v>2855</v>
      </c>
      <c r="AB410" s="32"/>
      <c r="AC410" s="38" t="str">
        <f aca="false">HYPERLINK("https://biocodex6--c.vf.force.com/0014L00000KGERdQAP", "DUGUET MARJORIE")</f>
        <v>DUGUET MARJORIE</v>
      </c>
      <c r="AD410" s="38"/>
      <c r="AE410" s="39"/>
      <c r="AF410" s="40"/>
      <c r="AG410" s="41"/>
      <c r="AH410" s="32"/>
      <c r="AI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XEY410" s="27"/>
      <c r="XEZ410" s="27"/>
      <c r="XFA410" s="27"/>
      <c r="XFB410" s="27"/>
      <c r="XFC410" s="27"/>
      <c r="XFD410" s="27"/>
    </row>
    <row r="411" s="42" customFormat="true" ht="14.15" hidden="false" customHeight="true" outlineLevel="0" collapsed="false">
      <c r="A411" s="28" t="s">
        <v>2856</v>
      </c>
      <c r="B411" s="29" t="s">
        <v>773</v>
      </c>
      <c r="C411" s="29" t="s">
        <v>2857</v>
      </c>
      <c r="D411" s="30" t="s">
        <v>50</v>
      </c>
      <c r="E411" s="31"/>
      <c r="F411" s="32" t="n">
        <v>36</v>
      </c>
      <c r="G411" s="31"/>
      <c r="H411" s="31" t="n">
        <v>1</v>
      </c>
      <c r="I411" s="31" t="s">
        <v>51</v>
      </c>
      <c r="J411" s="29" t="s">
        <v>52</v>
      </c>
      <c r="K411" s="29" t="s">
        <v>53</v>
      </c>
      <c r="L411" s="32" t="n">
        <v>149</v>
      </c>
      <c r="M411" s="33" t="s">
        <v>54</v>
      </c>
      <c r="N411" s="34" t="n">
        <v>75015</v>
      </c>
      <c r="O411" s="35" t="s">
        <v>55</v>
      </c>
      <c r="P411" s="36" t="s">
        <v>2858</v>
      </c>
      <c r="Q411" s="36" t="n">
        <v>236</v>
      </c>
      <c r="R411" s="32"/>
      <c r="S411" s="32" t="n">
        <v>4</v>
      </c>
      <c r="T411" s="32"/>
      <c r="U411" s="32"/>
      <c r="V411" s="37"/>
      <c r="W411" s="32"/>
      <c r="X411" s="34"/>
      <c r="Y411" s="34"/>
      <c r="Z411" s="36"/>
      <c r="AA411" s="32" t="s">
        <v>2859</v>
      </c>
      <c r="AB411" s="32"/>
      <c r="AC411" s="38" t="str">
        <f aca="false">HYPERLINK("https://biocodex6--c.vf.force.com/0014L00000n0nx5QAA", "VALENTIN THOMAS")</f>
        <v>VALENTIN THOMAS</v>
      </c>
      <c r="AD411" s="38"/>
      <c r="AE411" s="39"/>
      <c r="AF411" s="40"/>
      <c r="AG411" s="41"/>
      <c r="AH411" s="32" t="s">
        <v>179</v>
      </c>
      <c r="AI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XEY411" s="27"/>
      <c r="XEZ411" s="27"/>
      <c r="XFA411" s="27"/>
      <c r="XFB411" s="27"/>
      <c r="XFC411" s="27"/>
      <c r="XFD411" s="27"/>
    </row>
    <row r="412" s="42" customFormat="true" ht="14.15" hidden="false" customHeight="true" outlineLevel="0" collapsed="false">
      <c r="A412" s="28" t="s">
        <v>2860</v>
      </c>
      <c r="B412" s="29" t="s">
        <v>2861</v>
      </c>
      <c r="C412" s="29" t="s">
        <v>2862</v>
      </c>
      <c r="D412" s="30" t="s">
        <v>244</v>
      </c>
      <c r="E412" s="30" t="s">
        <v>245</v>
      </c>
      <c r="F412" s="32" t="n">
        <v>32</v>
      </c>
      <c r="G412" s="31" t="s">
        <v>215</v>
      </c>
      <c r="H412" s="31" t="n">
        <v>3</v>
      </c>
      <c r="I412" s="31" t="s">
        <v>295</v>
      </c>
      <c r="J412" s="29"/>
      <c r="K412" s="29" t="s">
        <v>2863</v>
      </c>
      <c r="L412" s="32" t="n">
        <v>122</v>
      </c>
      <c r="M412" s="33" t="s">
        <v>2864</v>
      </c>
      <c r="N412" s="34" t="n">
        <v>92300</v>
      </c>
      <c r="O412" s="35" t="s">
        <v>298</v>
      </c>
      <c r="P412" s="36"/>
      <c r="Q412" s="36" t="n">
        <v>1</v>
      </c>
      <c r="R412" s="32"/>
      <c r="S412" s="32" t="n">
        <v>4</v>
      </c>
      <c r="T412" s="32"/>
      <c r="U412" s="32"/>
      <c r="V412" s="37"/>
      <c r="W412" s="32"/>
      <c r="X412" s="34"/>
      <c r="Y412" s="34"/>
      <c r="Z412" s="32"/>
      <c r="AA412" s="32" t="s">
        <v>2865</v>
      </c>
      <c r="AB412" s="32" t="s">
        <v>2866</v>
      </c>
      <c r="AC412" s="38" t="str">
        <f aca="false">HYPERLINK("https://biocodex6--c.vf.force.com/0014L00000KGDnQQAX", "OHAYON JORDAN")</f>
        <v>OHAYON JORDAN</v>
      </c>
      <c r="AD412" s="38" t="str">
        <f aca="false">HYPERLINK("https://annuairesante.ameli.fr/professionnels-de-sante/recherche/fiche-detaillee-CbA1kjY4Nze3.html", "OHAYON JORDAN")</f>
        <v>OHAYON JORDAN</v>
      </c>
      <c r="AE412" s="39"/>
      <c r="AF412" s="40"/>
      <c r="AG412" s="41"/>
      <c r="AH412" s="32"/>
      <c r="AI412" s="32"/>
      <c r="AL412" s="32"/>
      <c r="AM412" s="32"/>
      <c r="AN412" s="43" t="s">
        <v>338</v>
      </c>
      <c r="AO412" s="32"/>
      <c r="AP412" s="32"/>
      <c r="AQ412" s="32"/>
      <c r="AR412" s="43" t="s">
        <v>338</v>
      </c>
      <c r="AS412" s="32"/>
      <c r="AT412" s="32"/>
      <c r="AU412" s="32"/>
      <c r="XEY412" s="27"/>
      <c r="XEZ412" s="27"/>
      <c r="XFA412" s="27"/>
      <c r="XFB412" s="27"/>
      <c r="XFC412" s="27"/>
      <c r="XFD412" s="27"/>
    </row>
    <row r="413" s="42" customFormat="true" ht="14.15" hidden="false" customHeight="true" outlineLevel="0" collapsed="false">
      <c r="A413" s="28" t="s">
        <v>2867</v>
      </c>
      <c r="B413" s="29" t="s">
        <v>2868</v>
      </c>
      <c r="C413" s="29" t="s">
        <v>2869</v>
      </c>
      <c r="D413" s="30" t="s">
        <v>50</v>
      </c>
      <c r="E413" s="31"/>
      <c r="F413" s="32" t="n">
        <v>34</v>
      </c>
      <c r="G413" s="31" t="s">
        <v>98</v>
      </c>
      <c r="H413" s="31" t="n">
        <v>1</v>
      </c>
      <c r="I413" s="31" t="s">
        <v>295</v>
      </c>
      <c r="J413" s="29"/>
      <c r="K413" s="29" t="s">
        <v>2870</v>
      </c>
      <c r="L413" s="32" t="n">
        <v>103</v>
      </c>
      <c r="M413" s="33" t="s">
        <v>1317</v>
      </c>
      <c r="N413" s="34" t="n">
        <v>92300</v>
      </c>
      <c r="O413" s="35" t="s">
        <v>298</v>
      </c>
      <c r="P413" s="36" t="s">
        <v>2871</v>
      </c>
      <c r="Q413" s="36" t="n">
        <v>1</v>
      </c>
      <c r="R413" s="32"/>
      <c r="S413" s="32" t="n">
        <v>4</v>
      </c>
      <c r="T413" s="32"/>
      <c r="U413" s="32"/>
      <c r="V413" s="37"/>
      <c r="W413" s="32"/>
      <c r="X413" s="34"/>
      <c r="Y413" s="34"/>
      <c r="Z413" s="32"/>
      <c r="AA413" s="32" t="s">
        <v>2872</v>
      </c>
      <c r="AB413" s="32" t="s">
        <v>2873</v>
      </c>
      <c r="AC413" s="38" t="str">
        <f aca="false">HYPERLINK("https://biocodex6--c.vf.force.com/0014L00000W3S3SQAV", "ABERTURAS PALOMA")</f>
        <v>ABERTURAS PALOMA</v>
      </c>
      <c r="AD413" s="38" t="str">
        <f aca="false">HYPERLINK("https://annuairesante.ameli.fr/professionnels-de-sante/recherche/fiche-detaillee-CbA1kjQ0MTay.html", "ABERTURAS PALOMA")</f>
        <v>ABERTURAS PALOMA</v>
      </c>
      <c r="AE413" s="39"/>
      <c r="AF413" s="40"/>
      <c r="AG413" s="41"/>
      <c r="AH413" s="32"/>
      <c r="AI413" s="32"/>
      <c r="AL413" s="43" t="s">
        <v>909</v>
      </c>
      <c r="AM413" s="43" t="s">
        <v>910</v>
      </c>
      <c r="AN413" s="43" t="s">
        <v>909</v>
      </c>
      <c r="AO413" s="43" t="s">
        <v>1908</v>
      </c>
      <c r="AP413" s="43" t="s">
        <v>2874</v>
      </c>
      <c r="AQ413" s="32"/>
      <c r="AR413" s="43" t="s">
        <v>909</v>
      </c>
      <c r="AS413" s="43" t="s">
        <v>1908</v>
      </c>
      <c r="AT413" s="32"/>
      <c r="AU413" s="43" t="s">
        <v>910</v>
      </c>
      <c r="XEY413" s="27"/>
      <c r="XEZ413" s="27"/>
      <c r="XFA413" s="27"/>
      <c r="XFB413" s="27"/>
      <c r="XFC413" s="27"/>
      <c r="XFD413" s="27"/>
    </row>
    <row r="414" s="42" customFormat="true" ht="14.15" hidden="false" customHeight="true" outlineLevel="0" collapsed="false">
      <c r="A414" s="28" t="s">
        <v>2875</v>
      </c>
      <c r="B414" s="29" t="s">
        <v>2876</v>
      </c>
      <c r="C414" s="29" t="s">
        <v>2877</v>
      </c>
      <c r="D414" s="30" t="s">
        <v>112</v>
      </c>
      <c r="E414" s="31"/>
      <c r="F414" s="32" t="n">
        <v>31</v>
      </c>
      <c r="G414" s="31"/>
      <c r="H414" s="31" t="n">
        <v>1</v>
      </c>
      <c r="I414" s="31" t="s">
        <v>77</v>
      </c>
      <c r="J414" s="29" t="s">
        <v>246</v>
      </c>
      <c r="K414" s="29" t="s">
        <v>247</v>
      </c>
      <c r="L414" s="32" t="n">
        <v>36</v>
      </c>
      <c r="M414" s="33" t="s">
        <v>248</v>
      </c>
      <c r="N414" s="34" t="n">
        <v>92200</v>
      </c>
      <c r="O414" s="35" t="s">
        <v>81</v>
      </c>
      <c r="P414" s="36" t="s">
        <v>365</v>
      </c>
      <c r="Q414" s="36" t="n">
        <v>49</v>
      </c>
      <c r="R414" s="32"/>
      <c r="S414" s="32" t="n">
        <v>4</v>
      </c>
      <c r="T414" s="32"/>
      <c r="U414" s="32"/>
      <c r="V414" s="37"/>
      <c r="W414" s="32"/>
      <c r="X414" s="34"/>
      <c r="Y414" s="34"/>
      <c r="Z414" s="36"/>
      <c r="AA414" s="32" t="s">
        <v>2878</v>
      </c>
      <c r="AB414" s="32"/>
      <c r="AC414" s="38" t="str">
        <f aca="false">HYPERLINK("https://biocodex6--c.vf.force.com/0014L00000NBSpXQAX", "BOURGINE TINA")</f>
        <v>BOURGINE TINA</v>
      </c>
      <c r="AD414" s="38"/>
      <c r="AE414" s="39"/>
      <c r="AF414" s="40"/>
      <c r="AG414" s="41"/>
      <c r="AH414" s="32" t="s">
        <v>179</v>
      </c>
      <c r="AI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XEY414" s="27"/>
      <c r="XEZ414" s="27"/>
      <c r="XFA414" s="27"/>
      <c r="XFB414" s="27"/>
      <c r="XFC414" s="27"/>
      <c r="XFD414" s="27"/>
    </row>
    <row r="415" s="42" customFormat="true" ht="14.15" hidden="false" customHeight="true" outlineLevel="0" collapsed="false">
      <c r="A415" s="28" t="s">
        <v>2879</v>
      </c>
      <c r="B415" s="29" t="s">
        <v>2880</v>
      </c>
      <c r="C415" s="29" t="s">
        <v>2881</v>
      </c>
      <c r="D415" s="30" t="s">
        <v>268</v>
      </c>
      <c r="E415" s="31"/>
      <c r="F415" s="32" t="n">
        <v>56</v>
      </c>
      <c r="G415" s="31" t="s">
        <v>215</v>
      </c>
      <c r="H415" s="31" t="n">
        <v>1</v>
      </c>
      <c r="I415" s="31" t="s">
        <v>435</v>
      </c>
      <c r="J415" s="29"/>
      <c r="K415" s="29" t="s">
        <v>2882</v>
      </c>
      <c r="L415" s="32" t="n">
        <v>133</v>
      </c>
      <c r="M415" s="33" t="s">
        <v>2883</v>
      </c>
      <c r="N415" s="34" t="n">
        <v>75016</v>
      </c>
      <c r="O415" s="35" t="s">
        <v>55</v>
      </c>
      <c r="P415" s="36" t="s">
        <v>2884</v>
      </c>
      <c r="Q415" s="36" t="n">
        <v>2</v>
      </c>
      <c r="R415" s="32" t="n">
        <v>679</v>
      </c>
      <c r="S415" s="32" t="n">
        <v>3</v>
      </c>
      <c r="T415" s="32"/>
      <c r="U415" s="32"/>
      <c r="V415" s="37"/>
      <c r="W415" s="32"/>
      <c r="X415" s="34"/>
      <c r="Y415" s="34"/>
      <c r="Z415" s="36"/>
      <c r="AA415" s="32" t="s">
        <v>2885</v>
      </c>
      <c r="AB415" s="32" t="s">
        <v>2886</v>
      </c>
      <c r="AC415" s="38" t="str">
        <f aca="false">HYPERLINK("https://biocodex6--c.vf.force.com/0014L00000KFretQAD", "MASTAIN BRUNO")</f>
        <v>MASTAIN BRUNO</v>
      </c>
      <c r="AD415" s="38" t="str">
        <f aca="false">HYPERLINK("https://annuairesante.ameli.fr/professionnels-de-sante/recherche/fiche-detaillee-B7c1lDo4Nju0.html", "MASTAIN BRUNO")</f>
        <v>MASTAIN BRUNO</v>
      </c>
      <c r="AE415" s="39"/>
      <c r="AF415" s="40"/>
      <c r="AG415" s="41"/>
      <c r="AH415" s="32" t="s">
        <v>179</v>
      </c>
      <c r="AI415" s="32"/>
      <c r="AL415" s="43" t="s">
        <v>925</v>
      </c>
      <c r="AM415" s="32"/>
      <c r="AN415" s="43" t="s">
        <v>263</v>
      </c>
      <c r="AO415" s="43" t="s">
        <v>137</v>
      </c>
      <c r="AP415" s="32"/>
      <c r="AQ415" s="43" t="s">
        <v>924</v>
      </c>
      <c r="AR415" s="43" t="s">
        <v>925</v>
      </c>
      <c r="AS415" s="43" t="s">
        <v>340</v>
      </c>
      <c r="AT415" s="43" t="s">
        <v>263</v>
      </c>
      <c r="AU415" s="43" t="s">
        <v>661</v>
      </c>
      <c r="XEY415" s="27"/>
      <c r="XEZ415" s="27"/>
      <c r="XFA415" s="27"/>
      <c r="XFB415" s="27"/>
      <c r="XFC415" s="27"/>
      <c r="XFD415" s="27"/>
    </row>
    <row r="416" s="42" customFormat="true" ht="14.15" hidden="false" customHeight="true" outlineLevel="0" collapsed="false">
      <c r="A416" s="28" t="s">
        <v>2887</v>
      </c>
      <c r="B416" s="29" t="s">
        <v>883</v>
      </c>
      <c r="C416" s="29" t="s">
        <v>2888</v>
      </c>
      <c r="D416" s="30" t="s">
        <v>75</v>
      </c>
      <c r="E416" s="31"/>
      <c r="F416" s="32" t="n">
        <v>61</v>
      </c>
      <c r="G416" s="31" t="s">
        <v>215</v>
      </c>
      <c r="H416" s="31" t="n">
        <v>1</v>
      </c>
      <c r="I416" s="31" t="s">
        <v>77</v>
      </c>
      <c r="J416" s="29"/>
      <c r="K416" s="29" t="s">
        <v>2889</v>
      </c>
      <c r="L416" s="32" t="n">
        <v>20</v>
      </c>
      <c r="M416" s="33" t="s">
        <v>379</v>
      </c>
      <c r="N416" s="34" t="n">
        <v>92200</v>
      </c>
      <c r="O416" s="35" t="s">
        <v>81</v>
      </c>
      <c r="P416" s="36" t="s">
        <v>2890</v>
      </c>
      <c r="Q416" s="36" t="n">
        <v>1</v>
      </c>
      <c r="R416" s="32" t="n">
        <v>561</v>
      </c>
      <c r="S416" s="32" t="n">
        <v>3</v>
      </c>
      <c r="T416" s="32"/>
      <c r="U416" s="32"/>
      <c r="V416" s="37"/>
      <c r="W416" s="32"/>
      <c r="X416" s="34"/>
      <c r="Y416" s="34"/>
      <c r="Z416" s="32"/>
      <c r="AA416" s="32" t="s">
        <v>2891</v>
      </c>
      <c r="AB416" s="32" t="s">
        <v>2892</v>
      </c>
      <c r="AC416" s="38" t="str">
        <f aca="false">HYPERLINK("https://biocodex6--c.vf.force.com/0014L00000KG15aQAD", "SEE JACQUES")</f>
        <v>SEE JACQUES</v>
      </c>
      <c r="AD416" s="38" t="str">
        <f aca="false">HYPERLINK("https://annuairesante.ameli.fr/professionnels-de-sante/recherche/fiche-detaillee-CbA1kzY2ODqy.html", "SEE JACQUES")</f>
        <v>SEE JACQUES</v>
      </c>
      <c r="AE416" s="39" t="n">
        <v>45250.3958333333</v>
      </c>
      <c r="AF416" s="40"/>
      <c r="AG416" s="41"/>
      <c r="AH416" s="32"/>
      <c r="AI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XEY416" s="27"/>
      <c r="XEZ416" s="27"/>
      <c r="XFA416" s="27"/>
      <c r="XFB416" s="27"/>
      <c r="XFC416" s="27"/>
      <c r="XFD416" s="27"/>
    </row>
    <row r="417" s="42" customFormat="true" ht="14.15" hidden="false" customHeight="true" outlineLevel="0" collapsed="false">
      <c r="A417" s="28" t="s">
        <v>2893</v>
      </c>
      <c r="B417" s="29" t="s">
        <v>2894</v>
      </c>
      <c r="C417" s="29" t="s">
        <v>2895</v>
      </c>
      <c r="D417" s="30" t="s">
        <v>50</v>
      </c>
      <c r="E417" s="31"/>
      <c r="F417" s="32" t="n">
        <v>47</v>
      </c>
      <c r="G417" s="31" t="s">
        <v>98</v>
      </c>
      <c r="H417" s="31" t="n">
        <v>1</v>
      </c>
      <c r="I417" s="31" t="s">
        <v>572</v>
      </c>
      <c r="J417" s="29"/>
      <c r="K417" s="29" t="s">
        <v>2896</v>
      </c>
      <c r="L417" s="32" t="n">
        <v>76</v>
      </c>
      <c r="M417" s="33" t="s">
        <v>798</v>
      </c>
      <c r="N417" s="34" t="n">
        <v>75008</v>
      </c>
      <c r="O417" s="35" t="s">
        <v>55</v>
      </c>
      <c r="P417" s="36" t="s">
        <v>2897</v>
      </c>
      <c r="Q417" s="36" t="n">
        <v>1</v>
      </c>
      <c r="R417" s="32" t="n">
        <v>452</v>
      </c>
      <c r="S417" s="32" t="n">
        <v>3</v>
      </c>
      <c r="T417" s="32"/>
      <c r="U417" s="32"/>
      <c r="V417" s="37"/>
      <c r="W417" s="32"/>
      <c r="X417" s="34"/>
      <c r="Y417" s="34"/>
      <c r="Z417" s="32"/>
      <c r="AA417" s="32" t="s">
        <v>2898</v>
      </c>
      <c r="AB417" s="32" t="s">
        <v>2899</v>
      </c>
      <c r="AC417" s="38" t="str">
        <f aca="false">HYPERLINK("https://biocodex6--c.vf.force.com/0014L00000KFwORQA1", "PANAGOULIAS PROKOPIOS")</f>
        <v>PANAGOULIAS PROKOPIOS</v>
      </c>
      <c r="AD417" s="38" t="str">
        <f aca="false">HYPERLINK("https://annuairesante.ameli.fr/professionnels-de-sante/recherche/fiche-detaillee-B7c1lTE4MTOz.html", "PANAGOULIAS PROKOPIOS")</f>
        <v>PANAGOULIAS PROKOPIOS</v>
      </c>
      <c r="AE417" s="39"/>
      <c r="AF417" s="40"/>
      <c r="AG417" s="41"/>
      <c r="AH417" s="32"/>
      <c r="AI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XEY417" s="27"/>
      <c r="XEZ417" s="27"/>
      <c r="XFA417" s="27"/>
      <c r="XFB417" s="27"/>
      <c r="XFC417" s="27"/>
      <c r="XFD417" s="27"/>
    </row>
    <row r="418" s="42" customFormat="true" ht="14.15" hidden="false" customHeight="true" outlineLevel="0" collapsed="false">
      <c r="A418" s="28" t="s">
        <v>2900</v>
      </c>
      <c r="B418" s="29" t="s">
        <v>2901</v>
      </c>
      <c r="C418" s="29" t="s">
        <v>2902</v>
      </c>
      <c r="D418" s="30" t="s">
        <v>50</v>
      </c>
      <c r="E418" s="30" t="s">
        <v>344</v>
      </c>
      <c r="F418" s="32" t="n">
        <v>66</v>
      </c>
      <c r="G418" s="31" t="s">
        <v>215</v>
      </c>
      <c r="H418" s="31" t="n">
        <v>2</v>
      </c>
      <c r="I418" s="31" t="s">
        <v>387</v>
      </c>
      <c r="J418" s="29"/>
      <c r="K418" s="29" t="s">
        <v>2903</v>
      </c>
      <c r="L418" s="32" t="n">
        <v>57</v>
      </c>
      <c r="M418" s="33" t="s">
        <v>2499</v>
      </c>
      <c r="N418" s="34" t="n">
        <v>75016</v>
      </c>
      <c r="O418" s="35" t="s">
        <v>55</v>
      </c>
      <c r="P418" s="36" t="s">
        <v>2904</v>
      </c>
      <c r="Q418" s="36" t="n">
        <v>4</v>
      </c>
      <c r="R418" s="32" t="n">
        <v>442</v>
      </c>
      <c r="S418" s="32" t="n">
        <v>3</v>
      </c>
      <c r="T418" s="32"/>
      <c r="U418" s="32"/>
      <c r="V418" s="37"/>
      <c r="W418" s="32"/>
      <c r="X418" s="34"/>
      <c r="Y418" s="34"/>
      <c r="Z418" s="32"/>
      <c r="AA418" s="32" t="s">
        <v>2905</v>
      </c>
      <c r="AB418" s="32" t="s">
        <v>2906</v>
      </c>
      <c r="AC418" s="38" t="str">
        <f aca="false">HYPERLINK("https://biocodex6--c.vf.force.com/0014L00000KFSiEQAX", "BENSIMHON RAPHAEL")</f>
        <v>BENSIMHON RAPHAEL</v>
      </c>
      <c r="AD418" s="38" t="str">
        <f aca="false">HYPERLINK("https://annuairesante.ameli.fr/professionnels-de-sante/recherche/fiche-detaillee-B7c1kjU2MTe1.html", "BENSIMHON RAPHAEL")</f>
        <v>BENSIMHON RAPHAEL</v>
      </c>
      <c r="AE418" s="39"/>
      <c r="AF418" s="40"/>
      <c r="AG418" s="41"/>
      <c r="AH418" s="32"/>
      <c r="AI418" s="32"/>
      <c r="AL418" s="43" t="s">
        <v>657</v>
      </c>
      <c r="AM418" s="43" t="s">
        <v>137</v>
      </c>
      <c r="AN418" s="43" t="s">
        <v>1302</v>
      </c>
      <c r="AO418" s="32"/>
      <c r="AP418" s="43" t="s">
        <v>657</v>
      </c>
      <c r="AQ418" s="43" t="s">
        <v>476</v>
      </c>
      <c r="AR418" s="43" t="s">
        <v>1302</v>
      </c>
      <c r="AS418" s="32"/>
      <c r="AT418" s="43" t="s">
        <v>1302</v>
      </c>
      <c r="AU418" s="32"/>
      <c r="XEY418" s="27"/>
      <c r="XEZ418" s="27"/>
      <c r="XFA418" s="27"/>
      <c r="XFB418" s="27"/>
      <c r="XFC418" s="27"/>
      <c r="XFD418" s="27"/>
    </row>
    <row r="419" s="42" customFormat="true" ht="14.15" hidden="false" customHeight="true" outlineLevel="0" collapsed="false">
      <c r="A419" s="28" t="s">
        <v>2907</v>
      </c>
      <c r="B419" s="29" t="s">
        <v>619</v>
      </c>
      <c r="C419" s="29" t="s">
        <v>2908</v>
      </c>
      <c r="D419" s="30" t="s">
        <v>50</v>
      </c>
      <c r="E419" s="30" t="s">
        <v>2909</v>
      </c>
      <c r="F419" s="32" t="n">
        <v>0</v>
      </c>
      <c r="G419" s="31"/>
      <c r="H419" s="31" t="n">
        <v>1</v>
      </c>
      <c r="I419" s="31" t="s">
        <v>387</v>
      </c>
      <c r="J419" s="29" t="s">
        <v>1306</v>
      </c>
      <c r="K419" s="29" t="s">
        <v>1307</v>
      </c>
      <c r="L419" s="32" t="n">
        <v>11</v>
      </c>
      <c r="M419" s="33" t="s">
        <v>1308</v>
      </c>
      <c r="N419" s="34" t="n">
        <v>75016</v>
      </c>
      <c r="O419" s="35" t="s">
        <v>55</v>
      </c>
      <c r="P419" s="36" t="s">
        <v>1309</v>
      </c>
      <c r="Q419" s="36" t="n">
        <v>9</v>
      </c>
      <c r="R419" s="32" t="n">
        <v>400</v>
      </c>
      <c r="S419" s="32" t="n">
        <v>3</v>
      </c>
      <c r="T419" s="32"/>
      <c r="U419" s="32"/>
      <c r="V419" s="37"/>
      <c r="W419" s="32"/>
      <c r="X419" s="34"/>
      <c r="Y419" s="34"/>
      <c r="Z419" s="32"/>
      <c r="AA419" s="32" t="s">
        <v>2910</v>
      </c>
      <c r="AB419" s="32"/>
      <c r="AC419" s="38" t="str">
        <f aca="false">HYPERLINK("https://biocodex6--c.vf.force.com/0014L00000hsTZYQA2", "BELIERES CHARLES")</f>
        <v>BELIERES CHARLES</v>
      </c>
      <c r="AD419" s="38"/>
      <c r="AE419" s="39"/>
      <c r="AF419" s="40"/>
      <c r="AG419" s="41"/>
      <c r="AH419" s="32"/>
      <c r="AI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XEY419" s="27"/>
      <c r="XEZ419" s="27"/>
      <c r="XFA419" s="27"/>
      <c r="XFB419" s="27"/>
      <c r="XFC419" s="27"/>
      <c r="XFD419" s="27"/>
    </row>
    <row r="420" s="42" customFormat="true" ht="14.15" hidden="false" customHeight="true" outlineLevel="0" collapsed="false">
      <c r="A420" s="28" t="s">
        <v>2911</v>
      </c>
      <c r="B420" s="29" t="s">
        <v>2912</v>
      </c>
      <c r="C420" s="29" t="s">
        <v>2913</v>
      </c>
      <c r="D420" s="30" t="s">
        <v>75</v>
      </c>
      <c r="E420" s="31"/>
      <c r="F420" s="32" t="n">
        <v>0</v>
      </c>
      <c r="G420" s="31"/>
      <c r="H420" s="31" t="n">
        <v>1</v>
      </c>
      <c r="I420" s="31" t="s">
        <v>99</v>
      </c>
      <c r="J420" s="29" t="s">
        <v>595</v>
      </c>
      <c r="K420" s="29" t="s">
        <v>596</v>
      </c>
      <c r="L420" s="32" t="n">
        <v>20</v>
      </c>
      <c r="M420" s="33" t="s">
        <v>597</v>
      </c>
      <c r="N420" s="34" t="n">
        <v>75015</v>
      </c>
      <c r="O420" s="35" t="s">
        <v>55</v>
      </c>
      <c r="P420" s="36" t="s">
        <v>2251</v>
      </c>
      <c r="Q420" s="36" t="n">
        <v>90</v>
      </c>
      <c r="R420" s="32" t="n">
        <v>400</v>
      </c>
      <c r="S420" s="32" t="n">
        <v>3</v>
      </c>
      <c r="T420" s="32"/>
      <c r="U420" s="32"/>
      <c r="V420" s="37"/>
      <c r="W420" s="32"/>
      <c r="X420" s="34"/>
      <c r="Y420" s="34"/>
      <c r="Z420" s="32"/>
      <c r="AA420" s="32" t="s">
        <v>2914</v>
      </c>
      <c r="AB420" s="32"/>
      <c r="AC420" s="38" t="str">
        <f aca="false">HYPERLINK("https://biocodex6--c.vf.force.com/0014L00000KGPIRQA5", "PILLA LORENZO")</f>
        <v>PILLA LORENZO</v>
      </c>
      <c r="AD420" s="38"/>
      <c r="AE420" s="39"/>
      <c r="AF420" s="40"/>
      <c r="AG420" s="41"/>
      <c r="AH420" s="32"/>
      <c r="AI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XEY420" s="27"/>
      <c r="XEZ420" s="27"/>
      <c r="XFA420" s="27"/>
      <c r="XFB420" s="27"/>
      <c r="XFC420" s="27"/>
      <c r="XFD420" s="27"/>
    </row>
    <row r="421" s="42" customFormat="true" ht="14.15" hidden="false" customHeight="true" outlineLevel="0" collapsed="false">
      <c r="A421" s="28" t="s">
        <v>2915</v>
      </c>
      <c r="B421" s="29" t="s">
        <v>958</v>
      </c>
      <c r="C421" s="29" t="s">
        <v>2916</v>
      </c>
      <c r="D421" s="30" t="s">
        <v>50</v>
      </c>
      <c r="E421" s="31"/>
      <c r="F421" s="32" t="n">
        <v>64</v>
      </c>
      <c r="G421" s="31" t="s">
        <v>98</v>
      </c>
      <c r="H421" s="31" t="n">
        <v>1</v>
      </c>
      <c r="I421" s="31" t="s">
        <v>99</v>
      </c>
      <c r="J421" s="29"/>
      <c r="K421" s="29" t="s">
        <v>2917</v>
      </c>
      <c r="L421" s="32" t="n">
        <v>108</v>
      </c>
      <c r="M421" s="33" t="s">
        <v>186</v>
      </c>
      <c r="N421" s="34" t="n">
        <v>75015</v>
      </c>
      <c r="O421" s="35" t="s">
        <v>55</v>
      </c>
      <c r="P421" s="36" t="s">
        <v>2918</v>
      </c>
      <c r="Q421" s="36" t="n">
        <v>1</v>
      </c>
      <c r="R421" s="32" t="n">
        <v>390</v>
      </c>
      <c r="S421" s="32" t="n">
        <v>3</v>
      </c>
      <c r="T421" s="32"/>
      <c r="U421" s="32"/>
      <c r="V421" s="37"/>
      <c r="W421" s="32"/>
      <c r="X421" s="34"/>
      <c r="Y421" s="34"/>
      <c r="Z421" s="32"/>
      <c r="AA421" s="32" t="s">
        <v>2919</v>
      </c>
      <c r="AB421" s="32" t="s">
        <v>2920</v>
      </c>
      <c r="AC421" s="38" t="str">
        <f aca="false">HYPERLINK("https://biocodex6--c.vf.force.com/0014L00000KFi3hQAD", "HAIMOVICI PATRICK")</f>
        <v>HAIMOVICI PATRICK</v>
      </c>
      <c r="AD421" s="38" t="str">
        <f aca="false">HYPERLINK("https://annuairesante.ameli.fr/professionnels-de-sante/recherche/fiche-detaillee-B7c1lDQzMzCz.html", "HAIMOVICI PATRICK")</f>
        <v>HAIMOVICI PATRICK</v>
      </c>
      <c r="AE421" s="39"/>
      <c r="AF421" s="40"/>
      <c r="AG421" s="41"/>
      <c r="AH421" s="32"/>
      <c r="AI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XEY421" s="27"/>
      <c r="XEZ421" s="27"/>
      <c r="XFA421" s="27"/>
      <c r="XFB421" s="27"/>
      <c r="XFC421" s="27"/>
      <c r="XFD421" s="27"/>
    </row>
    <row r="422" s="42" customFormat="true" ht="14.15" hidden="false" customHeight="true" outlineLevel="0" collapsed="false">
      <c r="A422" s="28" t="s">
        <v>1437</v>
      </c>
      <c r="B422" s="29" t="s">
        <v>2921</v>
      </c>
      <c r="C422" s="29" t="s">
        <v>2922</v>
      </c>
      <c r="D422" s="30" t="s">
        <v>50</v>
      </c>
      <c r="E422" s="30" t="s">
        <v>916</v>
      </c>
      <c r="F422" s="32" t="n">
        <v>62</v>
      </c>
      <c r="G422" s="31" t="s">
        <v>98</v>
      </c>
      <c r="H422" s="31" t="n">
        <v>1</v>
      </c>
      <c r="I422" s="31" t="s">
        <v>233</v>
      </c>
      <c r="J422" s="29"/>
      <c r="K422" s="29" t="s">
        <v>2923</v>
      </c>
      <c r="L422" s="32" t="n">
        <v>186</v>
      </c>
      <c r="M422" s="33" t="s">
        <v>1002</v>
      </c>
      <c r="N422" s="34" t="n">
        <v>75015</v>
      </c>
      <c r="O422" s="35" t="s">
        <v>55</v>
      </c>
      <c r="P422" s="36" t="s">
        <v>2924</v>
      </c>
      <c r="Q422" s="36" t="n">
        <v>2</v>
      </c>
      <c r="R422" s="32" t="n">
        <v>364</v>
      </c>
      <c r="S422" s="32" t="n">
        <v>3</v>
      </c>
      <c r="T422" s="32"/>
      <c r="U422" s="32"/>
      <c r="V422" s="37"/>
      <c r="W422" s="32"/>
      <c r="X422" s="34"/>
      <c r="Y422" s="34"/>
      <c r="Z422" s="32"/>
      <c r="AA422" s="32" t="s">
        <v>2925</v>
      </c>
      <c r="AB422" s="32" t="s">
        <v>2926</v>
      </c>
      <c r="AC422" s="38" t="str">
        <f aca="false">HYPERLINK("https://biocodex6--c.vf.force.com/0014L00000KFU11QAH", "BONET FRANCOIS XAVIER")</f>
        <v>BONET FRANCOIS XAVIER</v>
      </c>
      <c r="AD422" s="38" t="str">
        <f aca="false">HYPERLINK("https://annuairesante.ameli.fr/professionnels-de-sante/recherche/fiche-detaillee-B7c1lzo4MjW0.html", "BONET FRANCOIS XAVIER")</f>
        <v>BONET FRANCOIS XAVIER</v>
      </c>
      <c r="AE422" s="39"/>
      <c r="AF422" s="40"/>
      <c r="AG422" s="41"/>
      <c r="AH422" s="32"/>
      <c r="AI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XEY422" s="27"/>
      <c r="XEZ422" s="27"/>
      <c r="XFA422" s="27"/>
      <c r="XFB422" s="27"/>
      <c r="XFC422" s="27"/>
      <c r="XFD422" s="27"/>
    </row>
    <row r="423" s="42" customFormat="true" ht="14.15" hidden="false" customHeight="true" outlineLevel="0" collapsed="false">
      <c r="A423" s="28" t="s">
        <v>2927</v>
      </c>
      <c r="B423" s="29" t="s">
        <v>2928</v>
      </c>
      <c r="C423" s="29" t="s">
        <v>2929</v>
      </c>
      <c r="D423" s="30" t="s">
        <v>75</v>
      </c>
      <c r="E423" s="31"/>
      <c r="F423" s="32" t="n">
        <v>65</v>
      </c>
      <c r="G423" s="31"/>
      <c r="H423" s="31" t="n">
        <v>2</v>
      </c>
      <c r="I423" s="31" t="s">
        <v>99</v>
      </c>
      <c r="J423" s="29" t="s">
        <v>595</v>
      </c>
      <c r="K423" s="29" t="s">
        <v>596</v>
      </c>
      <c r="L423" s="32" t="n">
        <v>20</v>
      </c>
      <c r="M423" s="33" t="s">
        <v>597</v>
      </c>
      <c r="N423" s="34" t="n">
        <v>75015</v>
      </c>
      <c r="O423" s="35" t="s">
        <v>55</v>
      </c>
      <c r="P423" s="36" t="s">
        <v>2930</v>
      </c>
      <c r="Q423" s="36" t="n">
        <v>90</v>
      </c>
      <c r="R423" s="32" t="n">
        <v>360</v>
      </c>
      <c r="S423" s="32" t="n">
        <v>3</v>
      </c>
      <c r="T423" s="32"/>
      <c r="U423" s="32"/>
      <c r="V423" s="37"/>
      <c r="W423" s="32"/>
      <c r="X423" s="34"/>
      <c r="Y423" s="34"/>
      <c r="Z423" s="32"/>
      <c r="AA423" s="32" t="s">
        <v>2931</v>
      </c>
      <c r="AB423" s="32"/>
      <c r="AC423" s="38" t="str">
        <f aca="false">HYPERLINK("https://biocodex6--c.vf.force.com/0014L00000KFugzQAD", "PAROIS LIONEL")</f>
        <v>PAROIS LIONEL</v>
      </c>
      <c r="AD423" s="38"/>
      <c r="AE423" s="39"/>
      <c r="AF423" s="40"/>
      <c r="AG423" s="41"/>
      <c r="AH423" s="32"/>
      <c r="AI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XEY423" s="27"/>
      <c r="XEZ423" s="27"/>
      <c r="XFA423" s="27"/>
      <c r="XFB423" s="27"/>
      <c r="XFC423" s="27"/>
      <c r="XFD423" s="27"/>
    </row>
    <row r="424" s="42" customFormat="true" ht="14.15" hidden="false" customHeight="true" outlineLevel="0" collapsed="false">
      <c r="A424" s="28" t="s">
        <v>2932</v>
      </c>
      <c r="B424" s="29" t="s">
        <v>2933</v>
      </c>
      <c r="C424" s="29" t="s">
        <v>2934</v>
      </c>
      <c r="D424" s="30" t="s">
        <v>112</v>
      </c>
      <c r="E424" s="31"/>
      <c r="F424" s="32" t="n">
        <v>71</v>
      </c>
      <c r="G424" s="31" t="s">
        <v>98</v>
      </c>
      <c r="H424" s="31" t="n">
        <v>1</v>
      </c>
      <c r="I424" s="31" t="s">
        <v>572</v>
      </c>
      <c r="J424" s="29"/>
      <c r="K424" s="29" t="s">
        <v>2935</v>
      </c>
      <c r="L424" s="32" t="n">
        <v>20</v>
      </c>
      <c r="M424" s="33" t="s">
        <v>2936</v>
      </c>
      <c r="N424" s="34" t="n">
        <v>75008</v>
      </c>
      <c r="O424" s="35" t="s">
        <v>55</v>
      </c>
      <c r="P424" s="36" t="s">
        <v>2937</v>
      </c>
      <c r="Q424" s="36" t="n">
        <v>1</v>
      </c>
      <c r="R424" s="32" t="n">
        <v>330</v>
      </c>
      <c r="S424" s="32" t="n">
        <v>3</v>
      </c>
      <c r="T424" s="32"/>
      <c r="U424" s="32"/>
      <c r="V424" s="37"/>
      <c r="W424" s="32"/>
      <c r="X424" s="34"/>
      <c r="Y424" s="34"/>
      <c r="Z424" s="32"/>
      <c r="AA424" s="32" t="s">
        <v>2938</v>
      </c>
      <c r="AB424" s="32" t="s">
        <v>2939</v>
      </c>
      <c r="AC424" s="38" t="str">
        <f aca="false">HYPERLINK("https://biocodex6--c.vf.force.com/0014L00000KG5vCQAT", "VARILLE VENANCE")</f>
        <v>VARILLE VENANCE</v>
      </c>
      <c r="AD424" s="38" t="str">
        <f aca="false">HYPERLINK("https://annuairesante.ameli.fr/professionnels-de-sante/recherche/fiche-detaillee-B7c1lzY3MDKx.html", "VARILLE VENANCE")</f>
        <v>VARILLE VENANCE</v>
      </c>
      <c r="AE424" s="39"/>
      <c r="AF424" s="40"/>
      <c r="AG424" s="41"/>
      <c r="AH424" s="32"/>
      <c r="AI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XEY424" s="27"/>
      <c r="XEZ424" s="27"/>
      <c r="XFA424" s="27"/>
      <c r="XFB424" s="27"/>
      <c r="XFC424" s="27"/>
      <c r="XFD424" s="27"/>
    </row>
    <row r="425" s="42" customFormat="true" ht="14.15" hidden="false" customHeight="true" outlineLevel="0" collapsed="false">
      <c r="A425" s="28" t="s">
        <v>2940</v>
      </c>
      <c r="B425" s="29" t="s">
        <v>2941</v>
      </c>
      <c r="C425" s="29" t="s">
        <v>2942</v>
      </c>
      <c r="D425" s="30" t="s">
        <v>50</v>
      </c>
      <c r="E425" s="31"/>
      <c r="F425" s="32" t="n">
        <v>62</v>
      </c>
      <c r="G425" s="31"/>
      <c r="H425" s="31" t="n">
        <v>1</v>
      </c>
      <c r="I425" s="31" t="s">
        <v>387</v>
      </c>
      <c r="J425" s="29"/>
      <c r="K425" s="29" t="s">
        <v>2943</v>
      </c>
      <c r="L425" s="32" t="n">
        <v>2</v>
      </c>
      <c r="M425" s="33" t="s">
        <v>2944</v>
      </c>
      <c r="N425" s="34" t="n">
        <v>75016</v>
      </c>
      <c r="O425" s="35" t="s">
        <v>55</v>
      </c>
      <c r="P425" s="36" t="s">
        <v>2945</v>
      </c>
      <c r="Q425" s="36" t="n">
        <v>2</v>
      </c>
      <c r="R425" s="32" t="n">
        <v>317</v>
      </c>
      <c r="S425" s="32" t="n">
        <v>3</v>
      </c>
      <c r="T425" s="32"/>
      <c r="U425" s="32"/>
      <c r="V425" s="37"/>
      <c r="W425" s="32"/>
      <c r="X425" s="34"/>
      <c r="Y425" s="34"/>
      <c r="Z425" s="32"/>
      <c r="AA425" s="32" t="s">
        <v>2946</v>
      </c>
      <c r="AB425" s="32"/>
      <c r="AC425" s="38" t="str">
        <f aca="false">HYPERLINK("https://biocodex6--c.vf.force.com/0014L00000KG0hAQAT", "SAYAC SABINE")</f>
        <v>SAYAC SABINE</v>
      </c>
      <c r="AD425" s="38"/>
      <c r="AE425" s="39"/>
      <c r="AF425" s="40"/>
      <c r="AG425" s="41"/>
      <c r="AH425" s="32"/>
      <c r="AI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XEY425" s="27"/>
      <c r="XEZ425" s="27"/>
      <c r="XFA425" s="27"/>
      <c r="XFB425" s="27"/>
      <c r="XFC425" s="27"/>
      <c r="XFD425" s="27"/>
    </row>
    <row r="426" s="42" customFormat="true" ht="14.15" hidden="false" customHeight="true" outlineLevel="0" collapsed="false">
      <c r="A426" s="28" t="s">
        <v>2947</v>
      </c>
      <c r="B426" s="29" t="s">
        <v>399</v>
      </c>
      <c r="C426" s="29" t="s">
        <v>2948</v>
      </c>
      <c r="D426" s="30" t="s">
        <v>50</v>
      </c>
      <c r="E426" s="30" t="s">
        <v>344</v>
      </c>
      <c r="F426" s="32" t="n">
        <v>59</v>
      </c>
      <c r="G426" s="31" t="s">
        <v>345</v>
      </c>
      <c r="H426" s="31" t="n">
        <v>1</v>
      </c>
      <c r="I426" s="31" t="s">
        <v>173</v>
      </c>
      <c r="J426" s="29"/>
      <c r="K426" s="29" t="s">
        <v>2949</v>
      </c>
      <c r="L426" s="32" t="n">
        <v>106</v>
      </c>
      <c r="M426" s="33" t="s">
        <v>1637</v>
      </c>
      <c r="N426" s="34" t="n">
        <v>75016</v>
      </c>
      <c r="O426" s="35" t="s">
        <v>55</v>
      </c>
      <c r="P426" s="36" t="s">
        <v>2950</v>
      </c>
      <c r="Q426" s="36" t="n">
        <v>1</v>
      </c>
      <c r="R426" s="32" t="n">
        <v>316</v>
      </c>
      <c r="S426" s="32" t="n">
        <v>3</v>
      </c>
      <c r="T426" s="32"/>
      <c r="U426" s="32"/>
      <c r="V426" s="37"/>
      <c r="W426" s="32"/>
      <c r="X426" s="34"/>
      <c r="Y426" s="34"/>
      <c r="Z426" s="32"/>
      <c r="AA426" s="32" t="s">
        <v>2951</v>
      </c>
      <c r="AB426" s="32" t="s">
        <v>2952</v>
      </c>
      <c r="AC426" s="38" t="str">
        <f aca="false">HYPERLINK("https://biocodex6--c.vf.force.com/0014L00000KG267QAD", "SPITZ OLIVIER")</f>
        <v>SPITZ OLIVIER</v>
      </c>
      <c r="AD426" s="38" t="str">
        <f aca="false">HYPERLINK("https://annuairesante.ameli.fr/professionnels-de-sante/recherche/fiche-detaillee-B7c1kjMyNTe6.html", "SPITZ OLIVIER")</f>
        <v>SPITZ OLIVIER</v>
      </c>
      <c r="AE426" s="39"/>
      <c r="AF426" s="40"/>
      <c r="AG426" s="41"/>
      <c r="AH426" s="32"/>
      <c r="AI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XEY426" s="27"/>
      <c r="XEZ426" s="27"/>
      <c r="XFA426" s="27"/>
      <c r="XFB426" s="27"/>
      <c r="XFC426" s="27"/>
      <c r="XFD426" s="27"/>
    </row>
    <row r="427" s="42" customFormat="true" ht="14.15" hidden="false" customHeight="true" outlineLevel="0" collapsed="false">
      <c r="A427" s="28" t="s">
        <v>2953</v>
      </c>
      <c r="B427" s="29" t="s">
        <v>2954</v>
      </c>
      <c r="C427" s="29" t="s">
        <v>2955</v>
      </c>
      <c r="D427" s="30" t="s">
        <v>50</v>
      </c>
      <c r="E427" s="31"/>
      <c r="F427" s="32" t="n">
        <v>38</v>
      </c>
      <c r="G427" s="31"/>
      <c r="H427" s="31" t="n">
        <v>1</v>
      </c>
      <c r="I427" s="31" t="s">
        <v>572</v>
      </c>
      <c r="J427" s="29"/>
      <c r="K427" s="29" t="s">
        <v>2956</v>
      </c>
      <c r="L427" s="32" t="n">
        <v>35</v>
      </c>
      <c r="M427" s="33" t="s">
        <v>2957</v>
      </c>
      <c r="N427" s="34" t="n">
        <v>75008</v>
      </c>
      <c r="O427" s="35" t="s">
        <v>55</v>
      </c>
      <c r="P427" s="36" t="s">
        <v>2958</v>
      </c>
      <c r="Q427" s="36" t="n">
        <v>1</v>
      </c>
      <c r="R427" s="32" t="n">
        <v>312</v>
      </c>
      <c r="S427" s="32" t="n">
        <v>3</v>
      </c>
      <c r="T427" s="32"/>
      <c r="U427" s="32"/>
      <c r="V427" s="37"/>
      <c r="W427" s="32"/>
      <c r="X427" s="34"/>
      <c r="Y427" s="34"/>
      <c r="Z427" s="36"/>
      <c r="AA427" s="32" t="s">
        <v>2959</v>
      </c>
      <c r="AB427" s="32"/>
      <c r="AC427" s="38" t="str">
        <f aca="false">HYPERLINK("https://biocodex6--c.vf.force.com/0014L00000KG9eLQAT", "CALMON ANTONI")</f>
        <v>CALMON ANTONI</v>
      </c>
      <c r="AD427" s="38"/>
      <c r="AE427" s="39"/>
      <c r="AF427" s="40"/>
      <c r="AG427" s="41"/>
      <c r="AH427" s="32" t="s">
        <v>179</v>
      </c>
      <c r="AI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XEY427" s="27"/>
      <c r="XEZ427" s="27"/>
      <c r="XFA427" s="27"/>
      <c r="XFB427" s="27"/>
      <c r="XFC427" s="27"/>
      <c r="XFD427" s="27"/>
    </row>
    <row r="428" s="42" customFormat="true" ht="14.15" hidden="false" customHeight="true" outlineLevel="0" collapsed="false">
      <c r="A428" s="28" t="s">
        <v>2960</v>
      </c>
      <c r="B428" s="29" t="s">
        <v>578</v>
      </c>
      <c r="C428" s="29" t="s">
        <v>2961</v>
      </c>
      <c r="D428" s="30" t="s">
        <v>50</v>
      </c>
      <c r="E428" s="30" t="s">
        <v>112</v>
      </c>
      <c r="F428" s="32" t="n">
        <v>73</v>
      </c>
      <c r="G428" s="31" t="s">
        <v>215</v>
      </c>
      <c r="H428" s="31" t="n">
        <v>1</v>
      </c>
      <c r="I428" s="31" t="s">
        <v>435</v>
      </c>
      <c r="J428" s="29"/>
      <c r="K428" s="29" t="s">
        <v>2962</v>
      </c>
      <c r="L428" s="32" t="n">
        <v>86</v>
      </c>
      <c r="M428" s="33" t="s">
        <v>2883</v>
      </c>
      <c r="N428" s="34" t="n">
        <v>75016</v>
      </c>
      <c r="O428" s="35" t="s">
        <v>55</v>
      </c>
      <c r="P428" s="36" t="s">
        <v>2963</v>
      </c>
      <c r="Q428" s="36" t="n">
        <v>1</v>
      </c>
      <c r="R428" s="32" t="n">
        <v>309</v>
      </c>
      <c r="S428" s="32" t="n">
        <v>3</v>
      </c>
      <c r="T428" s="32"/>
      <c r="U428" s="32"/>
      <c r="V428" s="37"/>
      <c r="W428" s="32"/>
      <c r="X428" s="34" t="n">
        <v>1</v>
      </c>
      <c r="Y428" s="34"/>
      <c r="Z428" s="32"/>
      <c r="AA428" s="32" t="s">
        <v>2964</v>
      </c>
      <c r="AB428" s="32" t="s">
        <v>2965</v>
      </c>
      <c r="AC428" s="38" t="str">
        <f aca="false">HYPERLINK("https://biocodex6--c.vf.force.com/0014L00000KFTpyQAH", "BOISSIN HERVE")</f>
        <v>BOISSIN HERVE</v>
      </c>
      <c r="AD428" s="38" t="str">
        <f aca="false">HYPERLINK("https://annuairesante.ameli.fr/professionnels-de-sante/recherche/fiche-detaillee-B7c1kTYxOTS7.html", "BOISSIN HERVE")</f>
        <v>BOISSIN HERVE</v>
      </c>
      <c r="AE428" s="39" t="n">
        <v>45110.4791666667</v>
      </c>
      <c r="AF428" s="40"/>
      <c r="AG428" s="41"/>
      <c r="AH428" s="32"/>
      <c r="AI428" s="32" t="s">
        <v>71</v>
      </c>
      <c r="AL428" s="32"/>
      <c r="AM428" s="43" t="s">
        <v>534</v>
      </c>
      <c r="AN428" s="32"/>
      <c r="AO428" s="43" t="s">
        <v>534</v>
      </c>
      <c r="AP428" s="32"/>
      <c r="AQ428" s="43" t="s">
        <v>534</v>
      </c>
      <c r="AR428" s="32"/>
      <c r="AS428" s="43" t="s">
        <v>534</v>
      </c>
      <c r="AT428" s="32"/>
      <c r="AU428" s="43" t="s">
        <v>534</v>
      </c>
      <c r="XEY428" s="27"/>
      <c r="XEZ428" s="27"/>
      <c r="XFA428" s="27"/>
      <c r="XFB428" s="27"/>
      <c r="XFC428" s="27"/>
      <c r="XFD428" s="27"/>
    </row>
    <row r="429" s="42" customFormat="true" ht="14.15" hidden="false" customHeight="true" outlineLevel="0" collapsed="false">
      <c r="A429" s="28" t="s">
        <v>2966</v>
      </c>
      <c r="B429" s="29" t="s">
        <v>117</v>
      </c>
      <c r="C429" s="29" t="s">
        <v>2967</v>
      </c>
      <c r="D429" s="30" t="s">
        <v>50</v>
      </c>
      <c r="E429" s="31"/>
      <c r="F429" s="32" t="n">
        <v>60</v>
      </c>
      <c r="G429" s="31" t="s">
        <v>98</v>
      </c>
      <c r="H429" s="31" t="n">
        <v>1</v>
      </c>
      <c r="I429" s="31" t="s">
        <v>99</v>
      </c>
      <c r="J429" s="29"/>
      <c r="K429" s="29" t="s">
        <v>2968</v>
      </c>
      <c r="L429" s="32" t="n">
        <v>269</v>
      </c>
      <c r="M429" s="33" t="s">
        <v>236</v>
      </c>
      <c r="N429" s="34" t="n">
        <v>75015</v>
      </c>
      <c r="O429" s="35" t="s">
        <v>55</v>
      </c>
      <c r="P429" s="36" t="s">
        <v>2969</v>
      </c>
      <c r="Q429" s="36" t="n">
        <v>1</v>
      </c>
      <c r="R429" s="32" t="n">
        <v>307</v>
      </c>
      <c r="S429" s="32" t="n">
        <v>3</v>
      </c>
      <c r="T429" s="32"/>
      <c r="U429" s="32"/>
      <c r="V429" s="37"/>
      <c r="W429" s="32"/>
      <c r="X429" s="34"/>
      <c r="Y429" s="34"/>
      <c r="Z429" s="32"/>
      <c r="AA429" s="32" t="s">
        <v>2970</v>
      </c>
      <c r="AB429" s="32" t="s">
        <v>2971</v>
      </c>
      <c r="AC429" s="38" t="str">
        <f aca="false">HYPERLINK("https://biocodex6--c.vf.force.com/0014L00000KFYXAQA5", "DAMOUR DOMINIQUE")</f>
        <v>DAMOUR DOMINIQUE</v>
      </c>
      <c r="AD429" s="38" t="str">
        <f aca="false">HYPERLINK("https://annuairesante.ameli.fr/professionnels-de-sante/recherche/fiche-detaillee-B7c1lDMxMje2.html", "DAMOUR DOMINIQUE")</f>
        <v>DAMOUR DOMINIQUE</v>
      </c>
      <c r="AE429" s="39"/>
      <c r="AF429" s="40"/>
      <c r="AG429" s="41"/>
      <c r="AH429" s="32"/>
      <c r="AI429" s="32"/>
      <c r="AL429" s="43" t="s">
        <v>657</v>
      </c>
      <c r="AM429" s="43" t="s">
        <v>137</v>
      </c>
      <c r="AN429" s="43" t="s">
        <v>263</v>
      </c>
      <c r="AO429" s="43" t="s">
        <v>2972</v>
      </c>
      <c r="AP429" s="43" t="s">
        <v>657</v>
      </c>
      <c r="AQ429" s="43" t="s">
        <v>137</v>
      </c>
      <c r="AR429" s="43" t="s">
        <v>657</v>
      </c>
      <c r="AS429" s="43" t="s">
        <v>137</v>
      </c>
      <c r="AT429" s="43" t="s">
        <v>657</v>
      </c>
      <c r="AU429" s="43" t="s">
        <v>137</v>
      </c>
      <c r="XEY429" s="27"/>
      <c r="XEZ429" s="27"/>
      <c r="XFA429" s="27"/>
      <c r="XFB429" s="27"/>
      <c r="XFC429" s="27"/>
      <c r="XFD429" s="27"/>
    </row>
    <row r="430" s="42" customFormat="true" ht="14.15" hidden="false" customHeight="true" outlineLevel="0" collapsed="false">
      <c r="A430" s="28" t="s">
        <v>2973</v>
      </c>
      <c r="B430" s="29" t="s">
        <v>2974</v>
      </c>
      <c r="C430" s="29" t="s">
        <v>2975</v>
      </c>
      <c r="D430" s="30" t="s">
        <v>50</v>
      </c>
      <c r="E430" s="30" t="s">
        <v>796</v>
      </c>
      <c r="F430" s="32" t="n">
        <v>62</v>
      </c>
      <c r="G430" s="31"/>
      <c r="H430" s="31" t="n">
        <v>1</v>
      </c>
      <c r="I430" s="31" t="s">
        <v>119</v>
      </c>
      <c r="J430" s="29"/>
      <c r="K430" s="29" t="s">
        <v>2976</v>
      </c>
      <c r="L430" s="32" t="n">
        <v>160</v>
      </c>
      <c r="M430" s="33" t="s">
        <v>2977</v>
      </c>
      <c r="N430" s="34" t="n">
        <v>75007</v>
      </c>
      <c r="O430" s="35" t="s">
        <v>55</v>
      </c>
      <c r="P430" s="36"/>
      <c r="Q430" s="36" t="n">
        <v>1</v>
      </c>
      <c r="R430" s="32" t="n">
        <v>306</v>
      </c>
      <c r="S430" s="32" t="n">
        <v>3</v>
      </c>
      <c r="T430" s="32"/>
      <c r="U430" s="32"/>
      <c r="V430" s="37"/>
      <c r="W430" s="32"/>
      <c r="X430" s="34"/>
      <c r="Y430" s="34"/>
      <c r="Z430" s="36"/>
      <c r="AA430" s="32" t="s">
        <v>2978</v>
      </c>
      <c r="AB430" s="32"/>
      <c r="AC430" s="38" t="str">
        <f aca="false">HYPERLINK("https://biocodex6--c.vf.force.com/0014L00000KFiABQA1", "HANNOUN DJIANE SONIA")</f>
        <v>HANNOUN DJIANE SONIA</v>
      </c>
      <c r="AD430" s="38"/>
      <c r="AE430" s="39"/>
      <c r="AF430" s="40"/>
      <c r="AG430" s="41"/>
      <c r="AH430" s="32" t="s">
        <v>179</v>
      </c>
      <c r="AI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XEY430" s="27"/>
      <c r="XEZ430" s="27"/>
      <c r="XFA430" s="27"/>
      <c r="XFB430" s="27"/>
      <c r="XFC430" s="27"/>
      <c r="XFD430" s="27"/>
    </row>
    <row r="431" s="42" customFormat="true" ht="14.15" hidden="false" customHeight="true" outlineLevel="0" collapsed="false">
      <c r="A431" s="28" t="s">
        <v>2979</v>
      </c>
      <c r="B431" s="29" t="s">
        <v>151</v>
      </c>
      <c r="C431" s="29" t="s">
        <v>2980</v>
      </c>
      <c r="D431" s="30" t="s">
        <v>244</v>
      </c>
      <c r="E431" s="30" t="s">
        <v>1602</v>
      </c>
      <c r="F431" s="32" t="n">
        <v>47</v>
      </c>
      <c r="G431" s="31" t="s">
        <v>215</v>
      </c>
      <c r="H431" s="31" t="n">
        <v>3</v>
      </c>
      <c r="I431" s="31" t="s">
        <v>197</v>
      </c>
      <c r="J431" s="29"/>
      <c r="K431" s="29" t="s">
        <v>2981</v>
      </c>
      <c r="L431" s="32" t="n">
        <v>25</v>
      </c>
      <c r="M431" s="33" t="s">
        <v>2982</v>
      </c>
      <c r="N431" s="34" t="n">
        <v>75017</v>
      </c>
      <c r="O431" s="35" t="s">
        <v>55</v>
      </c>
      <c r="P431" s="36" t="s">
        <v>2983</v>
      </c>
      <c r="Q431" s="36" t="n">
        <v>1</v>
      </c>
      <c r="R431" s="32" t="n">
        <v>306</v>
      </c>
      <c r="S431" s="32" t="n">
        <v>3</v>
      </c>
      <c r="T431" s="32"/>
      <c r="U431" s="32"/>
      <c r="V431" s="37" t="n">
        <v>3</v>
      </c>
      <c r="W431" s="32"/>
      <c r="X431" s="34"/>
      <c r="Y431" s="34"/>
      <c r="Z431" s="32"/>
      <c r="AA431" s="32" t="s">
        <v>2984</v>
      </c>
      <c r="AB431" s="32" t="s">
        <v>2985</v>
      </c>
      <c r="AC431" s="38" t="str">
        <f aca="false">HYPERLINK("https://biocodex6--c.vf.force.com/0014L00000KFoJCQA1", "LAMAZOU FREDERIC")</f>
        <v>LAMAZOU FREDERIC</v>
      </c>
      <c r="AD431" s="38" t="str">
        <f aca="false">HYPERLINK("https://annuairesante.ameli.fr/professionnels-de-sante/recherche/fiche-detaillee-B7c1kjYwMTq1.html
LAMAZOU FREDERIC", "LAMAZOU FREDERIC")</f>
        <v>LAMAZOU FREDERIC</v>
      </c>
      <c r="AE431" s="39"/>
      <c r="AF431" s="40"/>
      <c r="AG431" s="41" t="s">
        <v>125</v>
      </c>
      <c r="AH431" s="32"/>
      <c r="AI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XEY431" s="27"/>
      <c r="XEZ431" s="27"/>
      <c r="XFA431" s="27"/>
      <c r="XFB431" s="27"/>
      <c r="XFC431" s="27"/>
      <c r="XFD431" s="27"/>
    </row>
    <row r="432" s="42" customFormat="true" ht="14.15" hidden="false" customHeight="true" outlineLevel="0" collapsed="false">
      <c r="A432" s="28" t="s">
        <v>2986</v>
      </c>
      <c r="B432" s="29" t="s">
        <v>2987</v>
      </c>
      <c r="C432" s="29" t="s">
        <v>2988</v>
      </c>
      <c r="D432" s="30" t="s">
        <v>50</v>
      </c>
      <c r="E432" s="31"/>
      <c r="F432" s="32" t="n">
        <v>65</v>
      </c>
      <c r="G432" s="31" t="s">
        <v>98</v>
      </c>
      <c r="H432" s="31" t="n">
        <v>1</v>
      </c>
      <c r="I432" s="31" t="s">
        <v>62</v>
      </c>
      <c r="J432" s="29"/>
      <c r="K432" s="29" t="s">
        <v>2989</v>
      </c>
      <c r="L432" s="32" t="n">
        <v>151</v>
      </c>
      <c r="M432" s="33" t="s">
        <v>646</v>
      </c>
      <c r="N432" s="34" t="n">
        <v>75017</v>
      </c>
      <c r="O432" s="35" t="s">
        <v>55</v>
      </c>
      <c r="P432" s="36" t="s">
        <v>2990</v>
      </c>
      <c r="Q432" s="36" t="n">
        <v>3</v>
      </c>
      <c r="R432" s="32" t="n">
        <v>305</v>
      </c>
      <c r="S432" s="32" t="n">
        <v>3</v>
      </c>
      <c r="T432" s="32"/>
      <c r="U432" s="32"/>
      <c r="V432" s="37"/>
      <c r="W432" s="32"/>
      <c r="X432" s="34"/>
      <c r="Y432" s="34"/>
      <c r="Z432" s="32"/>
      <c r="AA432" s="32" t="s">
        <v>2991</v>
      </c>
      <c r="AB432" s="32" t="s">
        <v>2992</v>
      </c>
      <c r="AC432" s="38" t="str">
        <f aca="false">HYPERLINK("https://biocodex6--c.vf.force.com/0014L00000KFlSwQAL", "LAFITE THIERRY")</f>
        <v>LAFITE THIERRY</v>
      </c>
      <c r="AD432" s="38" t="str">
        <f aca="false">HYPERLINK("https://annuairesante.ameli.fr/professionnels-de-sante/recherche/fiche-detaillee-B7c1lzA1NDe3.html", "LAFITE THIERRY")</f>
        <v>LAFITE THIERRY</v>
      </c>
      <c r="AE432" s="39"/>
      <c r="AF432" s="40"/>
      <c r="AG432" s="41"/>
      <c r="AH432" s="32"/>
      <c r="AI432" s="32"/>
      <c r="AL432" s="43" t="s">
        <v>822</v>
      </c>
      <c r="AM432" s="43" t="s">
        <v>126</v>
      </c>
      <c r="AN432" s="43" t="s">
        <v>822</v>
      </c>
      <c r="AO432" s="43" t="s">
        <v>126</v>
      </c>
      <c r="AP432" s="43" t="s">
        <v>1352</v>
      </c>
      <c r="AQ432" s="32"/>
      <c r="AR432" s="43" t="s">
        <v>822</v>
      </c>
      <c r="AS432" s="43" t="s">
        <v>126</v>
      </c>
      <c r="AT432" s="43" t="s">
        <v>822</v>
      </c>
      <c r="AU432" s="43" t="s">
        <v>126</v>
      </c>
      <c r="XEY432" s="27"/>
      <c r="XEZ432" s="27"/>
      <c r="XFA432" s="27"/>
      <c r="XFB432" s="27"/>
      <c r="XFC432" s="27"/>
      <c r="XFD432" s="27"/>
    </row>
    <row r="433" s="42" customFormat="true" ht="14.15" hidden="false" customHeight="true" outlineLevel="0" collapsed="false">
      <c r="A433" s="28" t="s">
        <v>2993</v>
      </c>
      <c r="B433" s="29" t="s">
        <v>2994</v>
      </c>
      <c r="C433" s="29" t="s">
        <v>2995</v>
      </c>
      <c r="D433" s="30" t="s">
        <v>268</v>
      </c>
      <c r="E433" s="31"/>
      <c r="F433" s="32" t="n">
        <v>0</v>
      </c>
      <c r="G433" s="31" t="s">
        <v>98</v>
      </c>
      <c r="H433" s="31" t="n">
        <v>1</v>
      </c>
      <c r="I433" s="31" t="s">
        <v>99</v>
      </c>
      <c r="J433" s="29"/>
      <c r="K433" s="29" t="s">
        <v>2996</v>
      </c>
      <c r="L433" s="32" t="n">
        <v>4</v>
      </c>
      <c r="M433" s="33" t="s">
        <v>2997</v>
      </c>
      <c r="N433" s="34" t="n">
        <v>75015</v>
      </c>
      <c r="O433" s="35" t="s">
        <v>55</v>
      </c>
      <c r="P433" s="36" t="s">
        <v>2998</v>
      </c>
      <c r="Q433" s="36" t="n">
        <v>1</v>
      </c>
      <c r="R433" s="32" t="n">
        <v>298</v>
      </c>
      <c r="S433" s="32" t="n">
        <v>3</v>
      </c>
      <c r="T433" s="32"/>
      <c r="U433" s="32"/>
      <c r="V433" s="37"/>
      <c r="W433" s="32"/>
      <c r="X433" s="34"/>
      <c r="Y433" s="34"/>
      <c r="Z433" s="36"/>
      <c r="AA433" s="32" t="s">
        <v>2999</v>
      </c>
      <c r="AB433" s="32" t="s">
        <v>3000</v>
      </c>
      <c r="AC433" s="38" t="str">
        <f aca="false">HYPERLINK("https://biocodex6--c.vf.force.com/0014L00000KFhwhQAD", "COELHO BRAGA MARIA CLARA")</f>
        <v>COELHO BRAGA MARIA CLARA</v>
      </c>
      <c r="AD433" s="38" t="str">
        <f aca="false">HYPERLINK("https://annuairesante.ameli.fr/professionnels-de-sante/recherche/fiche-detaillee-B7c1kjQzNDa7.html", "COELHO BRAGA MARIA CLARA")</f>
        <v>COELHO BRAGA MARIA CLARA</v>
      </c>
      <c r="AE433" s="39"/>
      <c r="AF433" s="40"/>
      <c r="AG433" s="41"/>
      <c r="AH433" s="32" t="s">
        <v>179</v>
      </c>
      <c r="AI433" s="32"/>
      <c r="AL433" s="43" t="s">
        <v>639</v>
      </c>
      <c r="AM433" s="43" t="s">
        <v>518</v>
      </c>
      <c r="AN433" s="43" t="s">
        <v>639</v>
      </c>
      <c r="AO433" s="43" t="s">
        <v>518</v>
      </c>
      <c r="AP433" s="43" t="s">
        <v>639</v>
      </c>
      <c r="AQ433" s="43" t="s">
        <v>518</v>
      </c>
      <c r="AR433" s="43" t="s">
        <v>639</v>
      </c>
      <c r="AS433" s="43" t="s">
        <v>518</v>
      </c>
      <c r="AT433" s="43" t="s">
        <v>639</v>
      </c>
      <c r="AU433" s="43" t="s">
        <v>518</v>
      </c>
      <c r="XEY433" s="27"/>
      <c r="XEZ433" s="27"/>
      <c r="XFA433" s="27"/>
      <c r="XFB433" s="27"/>
      <c r="XFC433" s="27"/>
      <c r="XFD433" s="27"/>
    </row>
    <row r="434" s="42" customFormat="true" ht="14.15" hidden="false" customHeight="true" outlineLevel="0" collapsed="false">
      <c r="A434" s="28" t="s">
        <v>3001</v>
      </c>
      <c r="B434" s="29" t="s">
        <v>643</v>
      </c>
      <c r="C434" s="29" t="s">
        <v>3002</v>
      </c>
      <c r="D434" s="30" t="s">
        <v>50</v>
      </c>
      <c r="E434" s="30" t="s">
        <v>2281</v>
      </c>
      <c r="F434" s="32" t="n">
        <v>64</v>
      </c>
      <c r="G434" s="31"/>
      <c r="H434" s="31" t="n">
        <v>2</v>
      </c>
      <c r="I434" s="31" t="s">
        <v>51</v>
      </c>
      <c r="J434" s="29" t="s">
        <v>52</v>
      </c>
      <c r="K434" s="29" t="s">
        <v>53</v>
      </c>
      <c r="L434" s="32" t="n">
        <v>149</v>
      </c>
      <c r="M434" s="33" t="s">
        <v>54</v>
      </c>
      <c r="N434" s="34" t="n">
        <v>75015</v>
      </c>
      <c r="O434" s="35" t="s">
        <v>55</v>
      </c>
      <c r="P434" s="36" t="s">
        <v>1710</v>
      </c>
      <c r="Q434" s="36" t="n">
        <v>236</v>
      </c>
      <c r="R434" s="32" t="n">
        <v>296</v>
      </c>
      <c r="S434" s="32" t="n">
        <v>3</v>
      </c>
      <c r="T434" s="32"/>
      <c r="U434" s="32"/>
      <c r="V434" s="37"/>
      <c r="W434" s="32"/>
      <c r="X434" s="34"/>
      <c r="Y434" s="34"/>
      <c r="Z434" s="32"/>
      <c r="AA434" s="32" t="s">
        <v>3003</v>
      </c>
      <c r="AB434" s="32"/>
      <c r="AC434" s="38" t="str">
        <f aca="false">HYPERLINK("https://biocodex6--c.vf.force.com/0014L00000KFs2aQAD", "MIRAT PIERRE")</f>
        <v>MIRAT PIERRE</v>
      </c>
      <c r="AD434" s="38"/>
      <c r="AE434" s="39"/>
      <c r="AF434" s="40"/>
      <c r="AG434" s="41"/>
      <c r="AH434" s="32"/>
      <c r="AI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XEY434" s="27"/>
      <c r="XEZ434" s="27"/>
      <c r="XFA434" s="27"/>
      <c r="XFB434" s="27"/>
      <c r="XFC434" s="27"/>
      <c r="XFD434" s="27"/>
    </row>
    <row r="435" s="42" customFormat="true" ht="14.15" hidden="false" customHeight="true" outlineLevel="0" collapsed="false">
      <c r="A435" s="28" t="s">
        <v>3004</v>
      </c>
      <c r="B435" s="29" t="s">
        <v>73</v>
      </c>
      <c r="C435" s="29" t="s">
        <v>3005</v>
      </c>
      <c r="D435" s="30" t="s">
        <v>50</v>
      </c>
      <c r="E435" s="31"/>
      <c r="F435" s="32" t="n">
        <v>63</v>
      </c>
      <c r="G435" s="31" t="s">
        <v>61</v>
      </c>
      <c r="H435" s="31" t="n">
        <v>2</v>
      </c>
      <c r="I435" s="31" t="s">
        <v>295</v>
      </c>
      <c r="J435" s="29"/>
      <c r="K435" s="29" t="s">
        <v>3006</v>
      </c>
      <c r="L435" s="32" t="n">
        <v>90</v>
      </c>
      <c r="M435" s="33" t="s">
        <v>722</v>
      </c>
      <c r="N435" s="34" t="n">
        <v>92300</v>
      </c>
      <c r="O435" s="35" t="s">
        <v>298</v>
      </c>
      <c r="P435" s="36" t="s">
        <v>3007</v>
      </c>
      <c r="Q435" s="36" t="n">
        <v>1</v>
      </c>
      <c r="R435" s="32" t="n">
        <v>292</v>
      </c>
      <c r="S435" s="32" t="n">
        <v>3</v>
      </c>
      <c r="T435" s="32"/>
      <c r="U435" s="32"/>
      <c r="V435" s="37"/>
      <c r="W435" s="32"/>
      <c r="X435" s="34"/>
      <c r="Y435" s="34"/>
      <c r="Z435" s="32"/>
      <c r="AA435" s="32" t="s">
        <v>3008</v>
      </c>
      <c r="AB435" s="32" t="s">
        <v>3009</v>
      </c>
      <c r="AC435" s="38" t="str">
        <f aca="false">HYPERLINK("https://biocodex6--c.vf.force.com/0014L00000KFvHuQAL", "PEREZ XAVIER")</f>
        <v>PEREZ XAVIER</v>
      </c>
      <c r="AD435" s="38" t="str">
        <f aca="false">HYPERLINK("https://annuairesante.ameli.fr/professionnels-de-sante/recherche/fiche-detaillee-CbA1kzU2ODq1.html", "PEREZ XAVIER")</f>
        <v>PEREZ XAVIER</v>
      </c>
      <c r="AE435" s="39"/>
      <c r="AF435" s="40"/>
      <c r="AG435" s="41"/>
      <c r="AH435" s="32"/>
      <c r="AI435" s="32"/>
      <c r="AL435" s="43" t="s">
        <v>822</v>
      </c>
      <c r="AM435" s="43" t="s">
        <v>661</v>
      </c>
      <c r="AN435" s="43" t="s">
        <v>822</v>
      </c>
      <c r="AO435" s="43" t="s">
        <v>661</v>
      </c>
      <c r="AP435" s="43" t="s">
        <v>822</v>
      </c>
      <c r="AQ435" s="43" t="s">
        <v>661</v>
      </c>
      <c r="AR435" s="43" t="s">
        <v>822</v>
      </c>
      <c r="AS435" s="43" t="s">
        <v>661</v>
      </c>
      <c r="AT435" s="43" t="s">
        <v>822</v>
      </c>
      <c r="AU435" s="43" t="s">
        <v>661</v>
      </c>
      <c r="XEY435" s="27"/>
      <c r="XEZ435" s="27"/>
      <c r="XFA435" s="27"/>
      <c r="XFB435" s="27"/>
      <c r="XFC435" s="27"/>
      <c r="XFD435" s="27"/>
    </row>
    <row r="436" s="42" customFormat="true" ht="14.15" hidden="false" customHeight="true" outlineLevel="0" collapsed="false">
      <c r="A436" s="28" t="s">
        <v>3010</v>
      </c>
      <c r="B436" s="29" t="s">
        <v>3011</v>
      </c>
      <c r="C436" s="29" t="s">
        <v>3012</v>
      </c>
      <c r="D436" s="30" t="s">
        <v>244</v>
      </c>
      <c r="E436" s="30" t="s">
        <v>245</v>
      </c>
      <c r="F436" s="32" t="n">
        <v>67</v>
      </c>
      <c r="G436" s="31"/>
      <c r="H436" s="31" t="n">
        <v>1</v>
      </c>
      <c r="I436" s="31" t="s">
        <v>51</v>
      </c>
      <c r="J436" s="29" t="s">
        <v>850</v>
      </c>
      <c r="K436" s="29" t="s">
        <v>851</v>
      </c>
      <c r="L436" s="32" t="n">
        <v>178</v>
      </c>
      <c r="M436" s="33" t="s">
        <v>852</v>
      </c>
      <c r="N436" s="34" t="n">
        <v>75015</v>
      </c>
      <c r="O436" s="35" t="s">
        <v>55</v>
      </c>
      <c r="P436" s="36" t="s">
        <v>853</v>
      </c>
      <c r="Q436" s="36" t="n">
        <v>24</v>
      </c>
      <c r="R436" s="32" t="n">
        <v>289</v>
      </c>
      <c r="S436" s="32" t="n">
        <v>3</v>
      </c>
      <c r="T436" s="32"/>
      <c r="U436" s="32" t="n">
        <v>3</v>
      </c>
      <c r="V436" s="37" t="n">
        <v>3</v>
      </c>
      <c r="W436" s="32" t="n">
        <v>3</v>
      </c>
      <c r="X436" s="34" t="n">
        <v>1</v>
      </c>
      <c r="Y436" s="34"/>
      <c r="Z436" s="32" t="s">
        <v>3013</v>
      </c>
      <c r="AA436" s="32" t="s">
        <v>3014</v>
      </c>
      <c r="AB436" s="32"/>
      <c r="AC436" s="38" t="str">
        <f aca="false">HYPERLINK("https://biocodex6--c.vf.force.com/0014L00000KFtScQAL", "JOLLY NERVIL NADINE")</f>
        <v>JOLLY NERVIL NADINE</v>
      </c>
      <c r="AD436" s="38"/>
      <c r="AE436" s="39" t="n">
        <v>45425.4583333333</v>
      </c>
      <c r="AF436" s="40" t="s">
        <v>3015</v>
      </c>
      <c r="AG436" s="41" t="s">
        <v>69</v>
      </c>
      <c r="AH436" s="32" t="s">
        <v>70</v>
      </c>
      <c r="AI436" s="32"/>
      <c r="AL436" s="32"/>
      <c r="AM436" s="32"/>
      <c r="AN436" s="32"/>
      <c r="AO436" s="32"/>
      <c r="AP436" s="32"/>
      <c r="AQ436" s="32"/>
      <c r="AR436" s="43" t="s">
        <v>3016</v>
      </c>
      <c r="AS436" s="43" t="s">
        <v>3017</v>
      </c>
      <c r="AT436" s="43" t="s">
        <v>3016</v>
      </c>
      <c r="AU436" s="43" t="s">
        <v>3017</v>
      </c>
      <c r="XEY436" s="27"/>
      <c r="XEZ436" s="27"/>
      <c r="XFA436" s="27"/>
      <c r="XFB436" s="27"/>
      <c r="XFC436" s="27"/>
      <c r="XFD436" s="27"/>
    </row>
    <row r="437" s="42" customFormat="true" ht="14.15" hidden="false" customHeight="true" outlineLevel="0" collapsed="false">
      <c r="A437" s="28" t="s">
        <v>3018</v>
      </c>
      <c r="B437" s="29" t="s">
        <v>3019</v>
      </c>
      <c r="C437" s="29" t="s">
        <v>3020</v>
      </c>
      <c r="D437" s="30" t="s">
        <v>50</v>
      </c>
      <c r="E437" s="30" t="s">
        <v>112</v>
      </c>
      <c r="F437" s="32" t="n">
        <v>44</v>
      </c>
      <c r="G437" s="31"/>
      <c r="H437" s="31" t="n">
        <v>1</v>
      </c>
      <c r="I437" s="31" t="s">
        <v>387</v>
      </c>
      <c r="J437" s="29" t="s">
        <v>2175</v>
      </c>
      <c r="K437" s="29" t="s">
        <v>1786</v>
      </c>
      <c r="L437" s="32" t="n">
        <v>4</v>
      </c>
      <c r="M437" s="33" t="s">
        <v>1787</v>
      </c>
      <c r="N437" s="34" t="n">
        <v>75016</v>
      </c>
      <c r="O437" s="35" t="s">
        <v>55</v>
      </c>
      <c r="P437" s="36" t="s">
        <v>3021</v>
      </c>
      <c r="Q437" s="36" t="n">
        <v>1</v>
      </c>
      <c r="R437" s="32" t="n">
        <v>289</v>
      </c>
      <c r="S437" s="32" t="n">
        <v>3</v>
      </c>
      <c r="T437" s="32"/>
      <c r="U437" s="32"/>
      <c r="V437" s="37"/>
      <c r="W437" s="32"/>
      <c r="X437" s="34"/>
      <c r="Y437" s="34"/>
      <c r="Z437" s="32"/>
      <c r="AA437" s="32" t="s">
        <v>3022</v>
      </c>
      <c r="AB437" s="32"/>
      <c r="AC437" s="38" t="str">
        <f aca="false">HYPERLINK("https://biocodex6--c.vf.force.com/0014L00000KFcIgQAL", "GUEVEL DELARUE KRISTELL")</f>
        <v>GUEVEL DELARUE KRISTELL</v>
      </c>
      <c r="AD437" s="38"/>
      <c r="AE437" s="39"/>
      <c r="AF437" s="40"/>
      <c r="AG437" s="41"/>
      <c r="AH437" s="32"/>
      <c r="AI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XEY437" s="27"/>
      <c r="XEZ437" s="27"/>
      <c r="XFA437" s="27"/>
      <c r="XFB437" s="27"/>
      <c r="XFC437" s="27"/>
      <c r="XFD437" s="27"/>
    </row>
    <row r="438" s="42" customFormat="true" ht="14.15" hidden="false" customHeight="true" outlineLevel="0" collapsed="false">
      <c r="A438" s="28" t="s">
        <v>3023</v>
      </c>
      <c r="B438" s="29" t="s">
        <v>1355</v>
      </c>
      <c r="C438" s="29" t="s">
        <v>3024</v>
      </c>
      <c r="D438" s="30" t="s">
        <v>50</v>
      </c>
      <c r="E438" s="31"/>
      <c r="F438" s="32" t="n">
        <v>64</v>
      </c>
      <c r="G438" s="31" t="s">
        <v>98</v>
      </c>
      <c r="H438" s="31" t="n">
        <v>1</v>
      </c>
      <c r="I438" s="31" t="s">
        <v>233</v>
      </c>
      <c r="J438" s="29"/>
      <c r="K438" s="29" t="s">
        <v>3025</v>
      </c>
      <c r="L438" s="32" t="n">
        <v>35</v>
      </c>
      <c r="M438" s="33" t="s">
        <v>3026</v>
      </c>
      <c r="N438" s="34" t="n">
        <v>75015</v>
      </c>
      <c r="O438" s="35" t="s">
        <v>55</v>
      </c>
      <c r="P438" s="36" t="s">
        <v>3027</v>
      </c>
      <c r="Q438" s="36" t="n">
        <v>1</v>
      </c>
      <c r="R438" s="32" t="n">
        <v>286</v>
      </c>
      <c r="S438" s="32" t="n">
        <v>3</v>
      </c>
      <c r="T438" s="32"/>
      <c r="U438" s="32"/>
      <c r="V438" s="37"/>
      <c r="W438" s="32"/>
      <c r="X438" s="34"/>
      <c r="Y438" s="34"/>
      <c r="Z438" s="32"/>
      <c r="AA438" s="32" t="s">
        <v>3028</v>
      </c>
      <c r="AB438" s="32" t="s">
        <v>3029</v>
      </c>
      <c r="AC438" s="38" t="str">
        <f aca="false">HYPERLINK("https://biocodex6--c.vf.force.com/0014L00000KFZUWQA5", "DECQ MICHELE")</f>
        <v>DECQ MICHELE</v>
      </c>
      <c r="AD438" s="38" t="str">
        <f aca="false">HYPERLINK("https://annuairesante.ameli.fr/professionnels-de-sante/recherche/fiche-detaillee-B7c1lzM0MTO3.html", "DECQ MICHELE")</f>
        <v>DECQ MICHELE</v>
      </c>
      <c r="AE438" s="39"/>
      <c r="AF438" s="40"/>
      <c r="AG438" s="41"/>
      <c r="AH438" s="32"/>
      <c r="AI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XEY438" s="27"/>
      <c r="XEZ438" s="27"/>
      <c r="XFA438" s="27"/>
      <c r="XFB438" s="27"/>
      <c r="XFC438" s="27"/>
      <c r="XFD438" s="27"/>
    </row>
    <row r="439" s="42" customFormat="true" ht="14.15" hidden="false" customHeight="true" outlineLevel="0" collapsed="false">
      <c r="A439" s="28" t="s">
        <v>3030</v>
      </c>
      <c r="B439" s="29" t="s">
        <v>690</v>
      </c>
      <c r="C439" s="29" t="s">
        <v>3031</v>
      </c>
      <c r="D439" s="30" t="s">
        <v>50</v>
      </c>
      <c r="E439" s="30" t="s">
        <v>112</v>
      </c>
      <c r="F439" s="32" t="n">
        <v>61</v>
      </c>
      <c r="G439" s="31" t="s">
        <v>98</v>
      </c>
      <c r="H439" s="31" t="n">
        <v>1</v>
      </c>
      <c r="I439" s="31" t="s">
        <v>435</v>
      </c>
      <c r="J439" s="29"/>
      <c r="K439" s="29" t="s">
        <v>3032</v>
      </c>
      <c r="L439" s="32" t="n">
        <v>74</v>
      </c>
      <c r="M439" s="33" t="s">
        <v>1041</v>
      </c>
      <c r="N439" s="34" t="n">
        <v>75016</v>
      </c>
      <c r="O439" s="35" t="s">
        <v>55</v>
      </c>
      <c r="P439" s="36" t="s">
        <v>3033</v>
      </c>
      <c r="Q439" s="36" t="n">
        <v>1</v>
      </c>
      <c r="R439" s="32" t="n">
        <v>284</v>
      </c>
      <c r="S439" s="32" t="n">
        <v>3</v>
      </c>
      <c r="T439" s="32"/>
      <c r="U439" s="32"/>
      <c r="V439" s="37"/>
      <c r="W439" s="32"/>
      <c r="X439" s="34"/>
      <c r="Y439" s="34"/>
      <c r="Z439" s="32"/>
      <c r="AA439" s="32" t="s">
        <v>3034</v>
      </c>
      <c r="AB439" s="32" t="s">
        <v>3035</v>
      </c>
      <c r="AC439" s="38" t="str">
        <f aca="false">HYPERLINK("https://biocodex6--c.vf.force.com/0014L00000KFQVtQAP", "ANJOU ERIC")</f>
        <v>ANJOU ERIC</v>
      </c>
      <c r="AD439" s="38" t="str">
        <f aca="false">HYPERLINK("https://annuairesante.ameli.fr/professionnels-de-sante/recherche/fiche-detaillee-B7c1lzYwODK0.html", "ANJOU ERIC")</f>
        <v>ANJOU ERIC</v>
      </c>
      <c r="AE439" s="39"/>
      <c r="AF439" s="40"/>
      <c r="AG439" s="41"/>
      <c r="AH439" s="32"/>
      <c r="AI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XEY439" s="27"/>
      <c r="XEZ439" s="27"/>
      <c r="XFA439" s="27"/>
      <c r="XFB439" s="27"/>
      <c r="XFC439" s="27"/>
      <c r="XFD439" s="27"/>
    </row>
    <row r="440" s="42" customFormat="true" ht="14.15" hidden="false" customHeight="true" outlineLevel="0" collapsed="false">
      <c r="A440" s="28" t="s">
        <v>3036</v>
      </c>
      <c r="B440" s="29" t="s">
        <v>1226</v>
      </c>
      <c r="C440" s="29" t="s">
        <v>3037</v>
      </c>
      <c r="D440" s="30" t="s">
        <v>244</v>
      </c>
      <c r="E440" s="30" t="s">
        <v>245</v>
      </c>
      <c r="F440" s="32" t="n">
        <v>77</v>
      </c>
      <c r="G440" s="31"/>
      <c r="H440" s="31" t="n">
        <v>1</v>
      </c>
      <c r="I440" s="31" t="s">
        <v>173</v>
      </c>
      <c r="J440" s="29"/>
      <c r="K440" s="29" t="s">
        <v>3038</v>
      </c>
      <c r="L440" s="32" t="n">
        <v>15</v>
      </c>
      <c r="M440" s="33" t="s">
        <v>3039</v>
      </c>
      <c r="N440" s="34" t="n">
        <v>75016</v>
      </c>
      <c r="O440" s="35" t="s">
        <v>55</v>
      </c>
      <c r="P440" s="36"/>
      <c r="Q440" s="36" t="n">
        <v>1</v>
      </c>
      <c r="R440" s="32" t="n">
        <v>277</v>
      </c>
      <c r="S440" s="32" t="n">
        <v>3</v>
      </c>
      <c r="T440" s="32"/>
      <c r="U440" s="32"/>
      <c r="V440" s="37"/>
      <c r="W440" s="32"/>
      <c r="X440" s="34"/>
      <c r="Y440" s="34"/>
      <c r="Z440" s="32"/>
      <c r="AA440" s="32" t="s">
        <v>3040</v>
      </c>
      <c r="AB440" s="32"/>
      <c r="AC440" s="38" t="str">
        <f aca="false">HYPERLINK("https://biocodex6--c.vf.force.com/0014L00000KFvmUQAT", "PEZ JEAN PIERRE")</f>
        <v>PEZ JEAN PIERRE</v>
      </c>
      <c r="AD440" s="38"/>
      <c r="AE440" s="39"/>
      <c r="AF440" s="40"/>
      <c r="AG440" s="41"/>
      <c r="AH440" s="32"/>
      <c r="AI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XEY440" s="27"/>
      <c r="XEZ440" s="27"/>
      <c r="XFA440" s="27"/>
      <c r="XFB440" s="27"/>
      <c r="XFC440" s="27"/>
      <c r="XFD440" s="27"/>
    </row>
    <row r="441" s="42" customFormat="true" ht="14.15" hidden="false" customHeight="true" outlineLevel="0" collapsed="false">
      <c r="A441" s="28" t="s">
        <v>3041</v>
      </c>
      <c r="B441" s="29" t="s">
        <v>332</v>
      </c>
      <c r="C441" s="29" t="s">
        <v>3042</v>
      </c>
      <c r="D441" s="30" t="s">
        <v>244</v>
      </c>
      <c r="E441" s="30" t="s">
        <v>2740</v>
      </c>
      <c r="F441" s="32" t="n">
        <v>69</v>
      </c>
      <c r="G441" s="31" t="s">
        <v>215</v>
      </c>
      <c r="H441" s="31" t="n">
        <v>1</v>
      </c>
      <c r="I441" s="31" t="s">
        <v>197</v>
      </c>
      <c r="J441" s="29"/>
      <c r="K441" s="29" t="s">
        <v>3043</v>
      </c>
      <c r="L441" s="32" t="n">
        <v>28</v>
      </c>
      <c r="M441" s="33" t="s">
        <v>3044</v>
      </c>
      <c r="N441" s="34" t="n">
        <v>75017</v>
      </c>
      <c r="O441" s="35" t="s">
        <v>55</v>
      </c>
      <c r="P441" s="36" t="s">
        <v>3045</v>
      </c>
      <c r="Q441" s="36" t="n">
        <v>3</v>
      </c>
      <c r="R441" s="32" t="n">
        <v>268</v>
      </c>
      <c r="S441" s="32" t="n">
        <v>3</v>
      </c>
      <c r="T441" s="32"/>
      <c r="U441" s="32" t="n">
        <v>3</v>
      </c>
      <c r="V441" s="37" t="n">
        <v>3</v>
      </c>
      <c r="W441" s="32" t="n">
        <v>3</v>
      </c>
      <c r="X441" s="34"/>
      <c r="Y441" s="34" t="n">
        <v>2</v>
      </c>
      <c r="Z441" s="32" t="s">
        <v>3046</v>
      </c>
      <c r="AA441" s="32" t="s">
        <v>3047</v>
      </c>
      <c r="AB441" s="32" t="s">
        <v>3048</v>
      </c>
      <c r="AC441" s="38" t="str">
        <f aca="false">HYPERLINK("https://biocodex6--c.vf.force.com/0014L00000KFdIzQAL", "FAURIE CATHERINE")</f>
        <v>FAURIE CATHERINE</v>
      </c>
      <c r="AD441" s="38" t="str">
        <f aca="false">HYPERLINK("https://annuairesante.ameli.fr/professionnels-de-sante/recherche/fiche-detaillee-B7c1ljc5OTKw.html", "FAURIE CATHERINE")</f>
        <v>FAURIE CATHERINE</v>
      </c>
      <c r="AE441" s="39"/>
      <c r="AF441" s="40"/>
      <c r="AG441" s="41"/>
      <c r="AH441" s="32"/>
      <c r="AI441" s="32"/>
      <c r="AL441" s="43" t="s">
        <v>640</v>
      </c>
      <c r="AM441" s="43" t="s">
        <v>137</v>
      </c>
      <c r="AN441" s="43" t="s">
        <v>640</v>
      </c>
      <c r="AO441" s="43" t="s">
        <v>534</v>
      </c>
      <c r="AP441" s="32"/>
      <c r="AQ441" s="32"/>
      <c r="AR441" s="32"/>
      <c r="AS441" s="43" t="s">
        <v>137</v>
      </c>
      <c r="AT441" s="43" t="s">
        <v>641</v>
      </c>
      <c r="AU441" s="32"/>
      <c r="XEY441" s="27"/>
      <c r="XEZ441" s="27"/>
      <c r="XFA441" s="27"/>
      <c r="XFB441" s="27"/>
      <c r="XFC441" s="27"/>
      <c r="XFD441" s="27"/>
    </row>
    <row r="442" s="42" customFormat="true" ht="14.15" hidden="false" customHeight="true" outlineLevel="0" collapsed="false">
      <c r="A442" s="28" t="s">
        <v>3049</v>
      </c>
      <c r="B442" s="29" t="s">
        <v>182</v>
      </c>
      <c r="C442" s="29" t="s">
        <v>3050</v>
      </c>
      <c r="D442" s="30" t="s">
        <v>244</v>
      </c>
      <c r="E442" s="30" t="s">
        <v>245</v>
      </c>
      <c r="F442" s="32" t="n">
        <v>73</v>
      </c>
      <c r="G442" s="31" t="s">
        <v>215</v>
      </c>
      <c r="H442" s="31" t="n">
        <v>1</v>
      </c>
      <c r="I442" s="31" t="s">
        <v>435</v>
      </c>
      <c r="J442" s="29"/>
      <c r="K442" s="29" t="s">
        <v>3051</v>
      </c>
      <c r="L442" s="32" t="n">
        <v>60</v>
      </c>
      <c r="M442" s="33" t="s">
        <v>2100</v>
      </c>
      <c r="N442" s="34" t="n">
        <v>75016</v>
      </c>
      <c r="O442" s="35" t="s">
        <v>55</v>
      </c>
      <c r="P442" s="36"/>
      <c r="Q442" s="36" t="n">
        <v>2</v>
      </c>
      <c r="R442" s="32" t="n">
        <v>265</v>
      </c>
      <c r="S442" s="32" t="n">
        <v>3</v>
      </c>
      <c r="T442" s="32"/>
      <c r="U442" s="32"/>
      <c r="V442" s="37"/>
      <c r="W442" s="32"/>
      <c r="X442" s="34"/>
      <c r="Y442" s="34"/>
      <c r="Z442" s="32"/>
      <c r="AA442" s="32" t="s">
        <v>3052</v>
      </c>
      <c r="AB442" s="32" t="s">
        <v>3053</v>
      </c>
      <c r="AC442" s="38" t="str">
        <f aca="false">HYPERLINK("https://biocodex6--c.vf.force.com/0014L00000KG2qiQAD", "TESQUIER LAURENT")</f>
        <v>TESQUIER LAURENT</v>
      </c>
      <c r="AD442" s="38" t="str">
        <f aca="false">HYPERLINK("https://annuairesante.ameli.fr/professionnels-de-sante/recherche/fiche-detaillee-B7c1lTI4OTe1.html", "TESQUIER LAURENT")</f>
        <v>TESQUIER LAURENT</v>
      </c>
      <c r="AE442" s="39"/>
      <c r="AF442" s="40"/>
      <c r="AG442" s="41"/>
      <c r="AH442" s="32"/>
      <c r="AI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XEY442" s="27"/>
      <c r="XEZ442" s="27"/>
      <c r="XFA442" s="27"/>
      <c r="XFB442" s="27"/>
      <c r="XFC442" s="27"/>
      <c r="XFD442" s="27"/>
    </row>
    <row r="443" s="42" customFormat="true" ht="14.15" hidden="false" customHeight="true" outlineLevel="0" collapsed="false">
      <c r="A443" s="28" t="s">
        <v>3054</v>
      </c>
      <c r="B443" s="29" t="s">
        <v>3055</v>
      </c>
      <c r="C443" s="29" t="s">
        <v>3056</v>
      </c>
      <c r="D443" s="30" t="s">
        <v>50</v>
      </c>
      <c r="E443" s="30" t="s">
        <v>1228</v>
      </c>
      <c r="F443" s="32" t="n">
        <v>75</v>
      </c>
      <c r="G443" s="31" t="s">
        <v>215</v>
      </c>
      <c r="H443" s="31" t="n">
        <v>1</v>
      </c>
      <c r="I443" s="31" t="s">
        <v>435</v>
      </c>
      <c r="J443" s="29"/>
      <c r="K443" s="29" t="s">
        <v>3057</v>
      </c>
      <c r="L443" s="32" t="n">
        <v>15</v>
      </c>
      <c r="M443" s="33" t="s">
        <v>3058</v>
      </c>
      <c r="N443" s="34" t="n">
        <v>75016</v>
      </c>
      <c r="O443" s="35" t="s">
        <v>55</v>
      </c>
      <c r="P443" s="36" t="s">
        <v>3059</v>
      </c>
      <c r="Q443" s="36" t="n">
        <v>1</v>
      </c>
      <c r="R443" s="32" t="n">
        <v>262</v>
      </c>
      <c r="S443" s="32" t="n">
        <v>3</v>
      </c>
      <c r="T443" s="32"/>
      <c r="U443" s="32"/>
      <c r="V443" s="37"/>
      <c r="W443" s="32"/>
      <c r="X443" s="34"/>
      <c r="Y443" s="34"/>
      <c r="Z443" s="32"/>
      <c r="AA443" s="32" t="s">
        <v>3060</v>
      </c>
      <c r="AB443" s="32" t="s">
        <v>3061</v>
      </c>
      <c r="AC443" s="38" t="str">
        <f aca="false">HYPERLINK("https://biocodex6--c.vf.force.com/0014L00000YvMVeQAN", "LUGASSY SIMON DANIEL")</f>
        <v>LUGASSY SIMON DANIEL</v>
      </c>
      <c r="AD443" s="38" t="str">
        <f aca="false">HYPERLINK("https://annuairesante.ameli.fr/professionnels-de-sante/recherche/fiche-detaillee-B7c1kTMzOTG3.html", "LUGASSY SIMON DANIEL")</f>
        <v>LUGASSY SIMON DANIEL</v>
      </c>
      <c r="AE443" s="39"/>
      <c r="AF443" s="40"/>
      <c r="AG443" s="41"/>
      <c r="AH443" s="32"/>
      <c r="AI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XEY443" s="27"/>
      <c r="XEZ443" s="27"/>
      <c r="XFA443" s="27"/>
      <c r="XFB443" s="27"/>
      <c r="XFC443" s="27"/>
      <c r="XFD443" s="27"/>
    </row>
    <row r="444" s="42" customFormat="true" ht="14.15" hidden="false" customHeight="true" outlineLevel="0" collapsed="false">
      <c r="A444" s="28" t="s">
        <v>3062</v>
      </c>
      <c r="B444" s="29" t="s">
        <v>3063</v>
      </c>
      <c r="C444" s="29" t="s">
        <v>3064</v>
      </c>
      <c r="D444" s="30" t="s">
        <v>75</v>
      </c>
      <c r="E444" s="31"/>
      <c r="F444" s="32" t="n">
        <v>60</v>
      </c>
      <c r="G444" s="31" t="s">
        <v>215</v>
      </c>
      <c r="H444" s="31" t="n">
        <v>3</v>
      </c>
      <c r="I444" s="31" t="s">
        <v>77</v>
      </c>
      <c r="J444" s="29" t="s">
        <v>580</v>
      </c>
      <c r="K444" s="29" t="s">
        <v>581</v>
      </c>
      <c r="L444" s="32" t="n">
        <v>63</v>
      </c>
      <c r="M444" s="33" t="s">
        <v>80</v>
      </c>
      <c r="N444" s="34" t="n">
        <v>92200</v>
      </c>
      <c r="O444" s="35" t="s">
        <v>81</v>
      </c>
      <c r="P444" s="36" t="s">
        <v>3065</v>
      </c>
      <c r="Q444" s="36" t="n">
        <v>39</v>
      </c>
      <c r="R444" s="32" t="n">
        <v>260</v>
      </c>
      <c r="S444" s="32" t="n">
        <v>3</v>
      </c>
      <c r="T444" s="32"/>
      <c r="U444" s="32"/>
      <c r="V444" s="37"/>
      <c r="W444" s="32"/>
      <c r="X444" s="34"/>
      <c r="Y444" s="34"/>
      <c r="Z444" s="32"/>
      <c r="AA444" s="32" t="s">
        <v>3066</v>
      </c>
      <c r="AB444" s="32" t="s">
        <v>3067</v>
      </c>
      <c r="AC444" s="38" t="str">
        <f aca="false">HYPERLINK("https://biocodex6--c.vf.force.com/0014L00000KFkZEQA1", "KARSENTY LUC")</f>
        <v>KARSENTY LUC</v>
      </c>
      <c r="AD444" s="38" t="str">
        <f aca="false">HYPERLINK("https://annuairesante.ameli.fr/professionnels-de-sante/recherche/fiche-detaillee-B7c1mzY2MzG2.html", "KARSENTY LUC")</f>
        <v>KARSENTY LUC</v>
      </c>
      <c r="AE444" s="39" t="n">
        <v>45232.6666666667</v>
      </c>
      <c r="AF444" s="40"/>
      <c r="AG444" s="41"/>
      <c r="AH444" s="32"/>
      <c r="AI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XEY444" s="27"/>
      <c r="XEZ444" s="27"/>
      <c r="XFA444" s="27"/>
      <c r="XFB444" s="27"/>
      <c r="XFC444" s="27"/>
      <c r="XFD444" s="27"/>
    </row>
    <row r="445" s="42" customFormat="true" ht="14.15" hidden="false" customHeight="true" outlineLevel="0" collapsed="false">
      <c r="A445" s="28" t="s">
        <v>3068</v>
      </c>
      <c r="B445" s="29" t="s">
        <v>1174</v>
      </c>
      <c r="C445" s="29" t="s">
        <v>3069</v>
      </c>
      <c r="D445" s="30" t="s">
        <v>112</v>
      </c>
      <c r="E445" s="30" t="s">
        <v>245</v>
      </c>
      <c r="F445" s="32" t="n">
        <v>77</v>
      </c>
      <c r="G445" s="31"/>
      <c r="H445" s="31" t="n">
        <v>1</v>
      </c>
      <c r="I445" s="31" t="s">
        <v>51</v>
      </c>
      <c r="J445" s="29" t="s">
        <v>2010</v>
      </c>
      <c r="K445" s="29" t="s">
        <v>2011</v>
      </c>
      <c r="L445" s="32" t="n">
        <v>37</v>
      </c>
      <c r="M445" s="33" t="s">
        <v>2012</v>
      </c>
      <c r="N445" s="34" t="n">
        <v>75015</v>
      </c>
      <c r="O445" s="35" t="s">
        <v>55</v>
      </c>
      <c r="P445" s="36" t="s">
        <v>2013</v>
      </c>
      <c r="Q445" s="36" t="n">
        <v>19</v>
      </c>
      <c r="R445" s="32" t="n">
        <v>258</v>
      </c>
      <c r="S445" s="32" t="n">
        <v>3</v>
      </c>
      <c r="T445" s="32"/>
      <c r="U445" s="32"/>
      <c r="V445" s="37"/>
      <c r="W445" s="32" t="n">
        <v>3</v>
      </c>
      <c r="X445" s="34"/>
      <c r="Y445" s="34" t="n">
        <v>1</v>
      </c>
      <c r="Z445" s="32"/>
      <c r="AA445" s="32" t="s">
        <v>3070</v>
      </c>
      <c r="AB445" s="32"/>
      <c r="AC445" s="38" t="str">
        <f aca="false">HYPERLINK("https://biocodex6--c.vf.force.com/0014L00000KFnI2QAL", "LE CONTE MARTINE")</f>
        <v>LE CONTE MARTINE</v>
      </c>
      <c r="AD445" s="38"/>
      <c r="AE445" s="39" t="n">
        <v>45243.4375</v>
      </c>
      <c r="AF445" s="40"/>
      <c r="AG445" s="41"/>
      <c r="AH445" s="32"/>
      <c r="AI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XEY445" s="27"/>
      <c r="XEZ445" s="27"/>
      <c r="XFA445" s="27"/>
      <c r="XFB445" s="27"/>
      <c r="XFC445" s="27"/>
      <c r="XFD445" s="27"/>
    </row>
    <row r="446" s="42" customFormat="true" ht="14.15" hidden="false" customHeight="true" outlineLevel="0" collapsed="false">
      <c r="A446" s="28" t="s">
        <v>3071</v>
      </c>
      <c r="B446" s="29" t="s">
        <v>3072</v>
      </c>
      <c r="C446" s="29" t="s">
        <v>3073</v>
      </c>
      <c r="D446" s="30" t="s">
        <v>50</v>
      </c>
      <c r="E446" s="30" t="s">
        <v>796</v>
      </c>
      <c r="F446" s="32" t="n">
        <v>67</v>
      </c>
      <c r="G446" s="31" t="s">
        <v>61</v>
      </c>
      <c r="H446" s="31" t="n">
        <v>1</v>
      </c>
      <c r="I446" s="31" t="s">
        <v>197</v>
      </c>
      <c r="J446" s="29"/>
      <c r="K446" s="29" t="s">
        <v>3074</v>
      </c>
      <c r="L446" s="32" t="n">
        <v>9</v>
      </c>
      <c r="M446" s="33" t="s">
        <v>605</v>
      </c>
      <c r="N446" s="34" t="n">
        <v>75017</v>
      </c>
      <c r="O446" s="35" t="s">
        <v>55</v>
      </c>
      <c r="P446" s="36" t="s">
        <v>3075</v>
      </c>
      <c r="Q446" s="36" t="n">
        <v>1</v>
      </c>
      <c r="R446" s="32" t="n">
        <v>258</v>
      </c>
      <c r="S446" s="32" t="n">
        <v>3</v>
      </c>
      <c r="T446" s="32"/>
      <c r="U446" s="32"/>
      <c r="V446" s="37"/>
      <c r="W446" s="32"/>
      <c r="X446" s="34"/>
      <c r="Y446" s="34"/>
      <c r="Z446" s="32"/>
      <c r="AA446" s="32" t="s">
        <v>3076</v>
      </c>
      <c r="AB446" s="32" t="s">
        <v>3077</v>
      </c>
      <c r="AC446" s="38" t="str">
        <f aca="false">HYPERLINK("https://biocodex6--c.vf.force.com/0014L00000KFmKdQAL", "LAUGA PIERRE EDOUARD")</f>
        <v>LAUGA PIERRE EDOUARD</v>
      </c>
      <c r="AD446" s="38" t="str">
        <f aca="false">HYPERLINK("https://annuairesante.ameli.fr/professionnels-de-sante/recherche/fiche-detaillee-B7c1ljEzMzu2.html", "LAUGA PIERRE EDOUARD")</f>
        <v>LAUGA PIERRE EDOUARD</v>
      </c>
      <c r="AE446" s="39"/>
      <c r="AF446" s="40"/>
      <c r="AG446" s="41"/>
      <c r="AH446" s="32"/>
      <c r="AI446" s="32"/>
      <c r="AL446" s="43" t="s">
        <v>640</v>
      </c>
      <c r="AM446" s="43" t="s">
        <v>126</v>
      </c>
      <c r="AN446" s="43" t="s">
        <v>640</v>
      </c>
      <c r="AO446" s="43" t="s">
        <v>126</v>
      </c>
      <c r="AP446" s="43" t="s">
        <v>640</v>
      </c>
      <c r="AQ446" s="43" t="s">
        <v>126</v>
      </c>
      <c r="AR446" s="43" t="s">
        <v>640</v>
      </c>
      <c r="AS446" s="43" t="s">
        <v>126</v>
      </c>
      <c r="AT446" s="43" t="s">
        <v>640</v>
      </c>
      <c r="AU446" s="43" t="s">
        <v>126</v>
      </c>
      <c r="XEY446" s="27"/>
      <c r="XEZ446" s="27"/>
      <c r="XFA446" s="27"/>
      <c r="XFB446" s="27"/>
      <c r="XFC446" s="27"/>
      <c r="XFD446" s="27"/>
    </row>
    <row r="447" s="42" customFormat="true" ht="14.15" hidden="false" customHeight="true" outlineLevel="0" collapsed="false">
      <c r="A447" s="28" t="s">
        <v>3078</v>
      </c>
      <c r="B447" s="29" t="s">
        <v>3079</v>
      </c>
      <c r="C447" s="29" t="s">
        <v>3080</v>
      </c>
      <c r="D447" s="30" t="s">
        <v>244</v>
      </c>
      <c r="E447" s="30" t="s">
        <v>245</v>
      </c>
      <c r="F447" s="32" t="n">
        <v>73</v>
      </c>
      <c r="G447" s="31" t="s">
        <v>215</v>
      </c>
      <c r="H447" s="31" t="n">
        <v>3</v>
      </c>
      <c r="I447" s="31" t="s">
        <v>435</v>
      </c>
      <c r="J447" s="29"/>
      <c r="K447" s="29" t="s">
        <v>3081</v>
      </c>
      <c r="L447" s="32" t="n">
        <v>77</v>
      </c>
      <c r="M447" s="33" t="s">
        <v>2100</v>
      </c>
      <c r="N447" s="34" t="n">
        <v>75016</v>
      </c>
      <c r="O447" s="35" t="s">
        <v>55</v>
      </c>
      <c r="P447" s="50" t="s">
        <v>3082</v>
      </c>
      <c r="Q447" s="36" t="n">
        <v>4</v>
      </c>
      <c r="R447" s="32" t="n">
        <v>257</v>
      </c>
      <c r="S447" s="32" t="n">
        <v>3</v>
      </c>
      <c r="T447" s="32"/>
      <c r="U447" s="32"/>
      <c r="V447" s="37"/>
      <c r="W447" s="32"/>
      <c r="X447" s="34"/>
      <c r="Y447" s="34"/>
      <c r="Z447" s="32"/>
      <c r="AA447" s="32" t="s">
        <v>3083</v>
      </c>
      <c r="AB447" s="32" t="s">
        <v>3084</v>
      </c>
      <c r="AC447" s="38" t="str">
        <f aca="false">HYPERLINK("https://biocodex6--c.vf.force.com/0014L00000KFWjzQAH", "CHOURAQUI ALBERT")</f>
        <v>CHOURAQUI ALBERT</v>
      </c>
      <c r="AD447" s="38" t="str">
        <f aca="false">HYPERLINK("https://annuairesante.ameli.fr/professionnels-de-sante/recherche/fiche-detaillee-B7c1mjI2MTS3.html", "CHOURAQUI ALBERT")</f>
        <v>CHOURAQUI ALBERT</v>
      </c>
      <c r="AE447" s="39"/>
      <c r="AF447" s="40"/>
      <c r="AG447" s="41"/>
      <c r="AH447" s="32"/>
      <c r="AI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XEY447" s="27"/>
      <c r="XEZ447" s="27"/>
      <c r="XFA447" s="27"/>
      <c r="XFB447" s="27"/>
      <c r="XFC447" s="27"/>
      <c r="XFD447" s="27"/>
    </row>
    <row r="448" s="42" customFormat="true" ht="14.15" hidden="false" customHeight="true" outlineLevel="0" collapsed="false">
      <c r="A448" s="28" t="s">
        <v>3085</v>
      </c>
      <c r="B448" s="29" t="s">
        <v>2640</v>
      </c>
      <c r="C448" s="29" t="s">
        <v>3086</v>
      </c>
      <c r="D448" s="30" t="s">
        <v>75</v>
      </c>
      <c r="E448" s="31"/>
      <c r="F448" s="32" t="n">
        <v>68</v>
      </c>
      <c r="G448" s="31" t="s">
        <v>215</v>
      </c>
      <c r="H448" s="31" t="n">
        <v>1</v>
      </c>
      <c r="I448" s="31" t="s">
        <v>119</v>
      </c>
      <c r="J448" s="29" t="s">
        <v>3087</v>
      </c>
      <c r="K448" s="29" t="s">
        <v>3088</v>
      </c>
      <c r="L448" s="32" t="n">
        <v>166</v>
      </c>
      <c r="M448" s="33" t="s">
        <v>2977</v>
      </c>
      <c r="N448" s="34" t="n">
        <v>75007</v>
      </c>
      <c r="O448" s="35" t="s">
        <v>55</v>
      </c>
      <c r="P448" s="36" t="s">
        <v>3089</v>
      </c>
      <c r="Q448" s="36" t="n">
        <v>3</v>
      </c>
      <c r="R448" s="32" t="n">
        <v>256</v>
      </c>
      <c r="S448" s="32" t="n">
        <v>3</v>
      </c>
      <c r="T448" s="32"/>
      <c r="U448" s="32"/>
      <c r="V448" s="37"/>
      <c r="W448" s="32"/>
      <c r="X448" s="34"/>
      <c r="Y448" s="34"/>
      <c r="Z448" s="32"/>
      <c r="AA448" s="32" t="s">
        <v>3090</v>
      </c>
      <c r="AB448" s="32" t="s">
        <v>3091</v>
      </c>
      <c r="AC448" s="38" t="str">
        <f aca="false">HYPERLINK("https://biocodex6--c.vf.force.com/0014L00000KFnORQA1", "LEFEBVRE JEAN FRANCOIS")</f>
        <v>LEFEBVRE JEAN FRANCOIS</v>
      </c>
      <c r="AD448" s="38" t="str">
        <f aca="false">HYPERLINK("https://annuairesante.ameli.fr/professionnels-de-sante/recherche/fiche-detaillee-B7c1lzIxMDuz.html", "LEFEBVRE JEAN FRANCOIS")</f>
        <v>LEFEBVRE JEAN FRANCOIS</v>
      </c>
      <c r="AE448" s="39"/>
      <c r="AF448" s="40"/>
      <c r="AG448" s="41"/>
      <c r="AH448" s="32"/>
      <c r="AI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XEY448" s="27"/>
      <c r="XEZ448" s="27"/>
      <c r="XFA448" s="27"/>
      <c r="XFB448" s="27"/>
      <c r="XFC448" s="27"/>
      <c r="XFD448" s="27"/>
    </row>
    <row r="449" s="42" customFormat="true" ht="14.15" hidden="false" customHeight="true" outlineLevel="0" collapsed="false">
      <c r="A449" s="28" t="s">
        <v>3092</v>
      </c>
      <c r="B449" s="29" t="s">
        <v>1534</v>
      </c>
      <c r="C449" s="29" t="s">
        <v>3093</v>
      </c>
      <c r="D449" s="30" t="s">
        <v>50</v>
      </c>
      <c r="E449" s="31"/>
      <c r="F449" s="32" t="n">
        <v>70</v>
      </c>
      <c r="G449" s="31" t="s">
        <v>61</v>
      </c>
      <c r="H449" s="31" t="n">
        <v>1</v>
      </c>
      <c r="I449" s="31" t="s">
        <v>62</v>
      </c>
      <c r="J449" s="29"/>
      <c r="K449" s="29" t="s">
        <v>3094</v>
      </c>
      <c r="L449" s="32" t="n">
        <v>4</v>
      </c>
      <c r="M449" s="33" t="s">
        <v>3095</v>
      </c>
      <c r="N449" s="34" t="n">
        <v>75017</v>
      </c>
      <c r="O449" s="35" t="s">
        <v>55</v>
      </c>
      <c r="P449" s="36" t="s">
        <v>3096</v>
      </c>
      <c r="Q449" s="36" t="n">
        <v>3</v>
      </c>
      <c r="R449" s="32" t="n">
        <v>254</v>
      </c>
      <c r="S449" s="32" t="n">
        <v>3</v>
      </c>
      <c r="T449" s="32"/>
      <c r="U449" s="32"/>
      <c r="V449" s="37"/>
      <c r="W449" s="32"/>
      <c r="X449" s="34"/>
      <c r="Y449" s="34"/>
      <c r="Z449" s="32"/>
      <c r="AA449" s="32" t="s">
        <v>3097</v>
      </c>
      <c r="AB449" s="32" t="s">
        <v>3098</v>
      </c>
      <c r="AC449" s="38" t="str">
        <f aca="false">HYPERLINK("https://biocodex6--c.vf.force.com/0014L00000KFf6JQAT", "GARCON GERARD")</f>
        <v>GARCON GERARD</v>
      </c>
      <c r="AD449" s="38" t="str">
        <f aca="false">HYPERLINK("https://annuairesante.ameli.fr/professionnels-de-sante/recherche/fiche-detaillee-B7c1lTYyOTu6.html", "GARCON GERARD")</f>
        <v>GARCON GERARD</v>
      </c>
      <c r="AE449" s="39"/>
      <c r="AF449" s="40"/>
      <c r="AG449" s="41"/>
      <c r="AH449" s="32"/>
      <c r="AI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XEY449" s="27"/>
      <c r="XEZ449" s="27"/>
      <c r="XFA449" s="27"/>
      <c r="XFB449" s="27"/>
      <c r="XFC449" s="27"/>
      <c r="XFD449" s="27"/>
    </row>
    <row r="450" s="42" customFormat="true" ht="14.15" hidden="false" customHeight="true" outlineLevel="0" collapsed="false">
      <c r="A450" s="28" t="s">
        <v>3099</v>
      </c>
      <c r="B450" s="29" t="s">
        <v>128</v>
      </c>
      <c r="C450" s="29" t="s">
        <v>3100</v>
      </c>
      <c r="D450" s="30" t="s">
        <v>112</v>
      </c>
      <c r="E450" s="31"/>
      <c r="F450" s="32" t="n">
        <v>76</v>
      </c>
      <c r="G450" s="31"/>
      <c r="H450" s="31" t="n">
        <v>1</v>
      </c>
      <c r="I450" s="31" t="s">
        <v>51</v>
      </c>
      <c r="J450" s="29"/>
      <c r="K450" s="29" t="s">
        <v>1786</v>
      </c>
      <c r="L450" s="32" t="n">
        <v>4</v>
      </c>
      <c r="M450" s="33" t="s">
        <v>1787</v>
      </c>
      <c r="N450" s="34" t="n">
        <v>75015</v>
      </c>
      <c r="O450" s="35" t="s">
        <v>55</v>
      </c>
      <c r="P450" s="36"/>
      <c r="Q450" s="36" t="n">
        <v>4</v>
      </c>
      <c r="R450" s="32" t="n">
        <v>252</v>
      </c>
      <c r="S450" s="32" t="n">
        <v>3</v>
      </c>
      <c r="T450" s="32"/>
      <c r="U450" s="32"/>
      <c r="V450" s="37"/>
      <c r="W450" s="32"/>
      <c r="X450" s="34"/>
      <c r="Y450" s="34"/>
      <c r="Z450" s="32"/>
      <c r="AA450" s="32" t="s">
        <v>3101</v>
      </c>
      <c r="AB450" s="32"/>
      <c r="AC450" s="38" t="str">
        <f aca="false">HYPERLINK("https://biocodex6--c.vf.force.com/0014L00000KFSjhQAH", "ARNAL BERAUD FRANCOISE")</f>
        <v>ARNAL BERAUD FRANCOISE</v>
      </c>
      <c r="AD450" s="38"/>
      <c r="AE450" s="39"/>
      <c r="AF450" s="40"/>
      <c r="AG450" s="41"/>
      <c r="AH450" s="32"/>
      <c r="AI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XEY450" s="27"/>
      <c r="XEZ450" s="27"/>
      <c r="XFA450" s="27"/>
      <c r="XFB450" s="27"/>
      <c r="XFC450" s="27"/>
      <c r="XFD450" s="27"/>
    </row>
    <row r="451" s="42" customFormat="true" ht="14.15" hidden="false" customHeight="true" outlineLevel="0" collapsed="false">
      <c r="A451" s="28" t="s">
        <v>3102</v>
      </c>
      <c r="B451" s="29" t="s">
        <v>1403</v>
      </c>
      <c r="C451" s="29" t="s">
        <v>3103</v>
      </c>
      <c r="D451" s="30" t="s">
        <v>244</v>
      </c>
      <c r="E451" s="30" t="s">
        <v>2740</v>
      </c>
      <c r="F451" s="32" t="n">
        <v>67</v>
      </c>
      <c r="G451" s="31" t="s">
        <v>215</v>
      </c>
      <c r="H451" s="31" t="n">
        <v>1</v>
      </c>
      <c r="I451" s="31" t="s">
        <v>173</v>
      </c>
      <c r="J451" s="29"/>
      <c r="K451" s="29" t="s">
        <v>3104</v>
      </c>
      <c r="L451" s="32" t="n">
        <v>3</v>
      </c>
      <c r="M451" s="33" t="s">
        <v>3105</v>
      </c>
      <c r="N451" s="34" t="n">
        <v>75016</v>
      </c>
      <c r="O451" s="35" t="s">
        <v>55</v>
      </c>
      <c r="P451" s="36" t="s">
        <v>3106</v>
      </c>
      <c r="Q451" s="36" t="n">
        <v>3</v>
      </c>
      <c r="R451" s="32" t="n">
        <v>250</v>
      </c>
      <c r="S451" s="32" t="n">
        <v>3</v>
      </c>
      <c r="T451" s="32"/>
      <c r="U451" s="32" t="n">
        <v>3</v>
      </c>
      <c r="V451" s="37" t="n">
        <v>3</v>
      </c>
      <c r="W451" s="32" t="n">
        <v>3</v>
      </c>
      <c r="X451" s="34"/>
      <c r="Y451" s="34" t="n">
        <v>2</v>
      </c>
      <c r="Z451" s="32" t="s">
        <v>3107</v>
      </c>
      <c r="AA451" s="32" t="s">
        <v>3108</v>
      </c>
      <c r="AB451" s="32" t="s">
        <v>3109</v>
      </c>
      <c r="AC451" s="38" t="str">
        <f aca="false">HYPERLINK("https://biocodex6--c.vf.force.com/0014L00000KG0CGQA1", "SALAMA BRIGITTE")</f>
        <v>SALAMA BRIGITTE</v>
      </c>
      <c r="AD451" s="38" t="str">
        <f aca="false">HYPERLINK("https://annuairesante.ameli.fr/professionnels-de-sante/recherche/fiche-detaillee-B7c1ljE4MTO6.html", "SALAMA BRIGITTE")</f>
        <v>SALAMA BRIGITTE</v>
      </c>
      <c r="AE451" s="39" t="n">
        <v>45373.6458333333</v>
      </c>
      <c r="AF451" s="40"/>
      <c r="AG451" s="41"/>
      <c r="AH451" s="32"/>
      <c r="AI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XEY451" s="27"/>
      <c r="XEZ451" s="27"/>
      <c r="XFA451" s="27"/>
      <c r="XFB451" s="27"/>
      <c r="XFC451" s="27"/>
      <c r="XFD451" s="27"/>
    </row>
    <row r="452" s="42" customFormat="true" ht="14.15" hidden="false" customHeight="true" outlineLevel="0" collapsed="false">
      <c r="A452" s="28" t="s">
        <v>3110</v>
      </c>
      <c r="B452" s="29" t="s">
        <v>652</v>
      </c>
      <c r="C452" s="29" t="s">
        <v>3111</v>
      </c>
      <c r="D452" s="30" t="s">
        <v>50</v>
      </c>
      <c r="E452" s="31"/>
      <c r="F452" s="32" t="n">
        <v>37</v>
      </c>
      <c r="G452" s="31" t="s">
        <v>98</v>
      </c>
      <c r="H452" s="31" t="n">
        <v>1</v>
      </c>
      <c r="I452" s="31" t="s">
        <v>233</v>
      </c>
      <c r="J452" s="29" t="s">
        <v>234</v>
      </c>
      <c r="K452" s="29" t="s">
        <v>235</v>
      </c>
      <c r="L452" s="32" t="n">
        <v>223</v>
      </c>
      <c r="M452" s="33" t="s">
        <v>236</v>
      </c>
      <c r="N452" s="34" t="n">
        <v>75015</v>
      </c>
      <c r="O452" s="35" t="s">
        <v>55</v>
      </c>
      <c r="P452" s="36" t="s">
        <v>3112</v>
      </c>
      <c r="Q452" s="36" t="n">
        <v>7</v>
      </c>
      <c r="R452" s="32" t="n">
        <v>248</v>
      </c>
      <c r="S452" s="32" t="n">
        <v>3</v>
      </c>
      <c r="T452" s="32"/>
      <c r="U452" s="32"/>
      <c r="V452" s="37"/>
      <c r="W452" s="32"/>
      <c r="X452" s="34"/>
      <c r="Y452" s="34"/>
      <c r="Z452" s="32"/>
      <c r="AA452" s="32" t="s">
        <v>3113</v>
      </c>
      <c r="AB452" s="32" t="s">
        <v>3114</v>
      </c>
      <c r="AC452" s="38" t="str">
        <f aca="false">HYPERLINK("https://biocodex6--c.vf.force.com/0014L00000KFPWxQAP", "TAWIL SOPHIE")</f>
        <v>TAWIL SOPHIE</v>
      </c>
      <c r="AD452" s="38" t="str">
        <f aca="false">HYPERLINK("https://annuairesante.ameli.fr/professionnels-de-sante/recherche/fiche-detaillee-B7c1kjY5MjS3.html", "TAWIL SOPHIE")</f>
        <v>TAWIL SOPHIE</v>
      </c>
      <c r="AE452" s="39" t="n">
        <v>45247.5416666667</v>
      </c>
      <c r="AF452" s="40"/>
      <c r="AG452" s="41"/>
      <c r="AH452" s="32"/>
      <c r="AI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XEY452" s="27"/>
      <c r="XEZ452" s="27"/>
      <c r="XFA452" s="27"/>
      <c r="XFB452" s="27"/>
      <c r="XFC452" s="27"/>
      <c r="XFD452" s="27"/>
    </row>
    <row r="453" s="42" customFormat="true" ht="14.15" hidden="false" customHeight="true" outlineLevel="0" collapsed="false">
      <c r="A453" s="28" t="s">
        <v>3115</v>
      </c>
      <c r="B453" s="29" t="s">
        <v>353</v>
      </c>
      <c r="C453" s="29" t="s">
        <v>3116</v>
      </c>
      <c r="D453" s="30" t="s">
        <v>244</v>
      </c>
      <c r="E453" s="30" t="s">
        <v>245</v>
      </c>
      <c r="F453" s="32" t="n">
        <v>68</v>
      </c>
      <c r="G453" s="31" t="s">
        <v>215</v>
      </c>
      <c r="H453" s="31" t="n">
        <v>2</v>
      </c>
      <c r="I453" s="31" t="s">
        <v>435</v>
      </c>
      <c r="J453" s="29" t="s">
        <v>3117</v>
      </c>
      <c r="K453" s="29" t="s">
        <v>3118</v>
      </c>
      <c r="L453" s="32" t="n">
        <v>46</v>
      </c>
      <c r="M453" s="33" t="s">
        <v>1450</v>
      </c>
      <c r="N453" s="34" t="n">
        <v>75016</v>
      </c>
      <c r="O453" s="35" t="s">
        <v>55</v>
      </c>
      <c r="P453" s="36" t="s">
        <v>3119</v>
      </c>
      <c r="Q453" s="36" t="n">
        <v>14</v>
      </c>
      <c r="R453" s="32" t="n">
        <v>240</v>
      </c>
      <c r="S453" s="32" t="n">
        <v>3</v>
      </c>
      <c r="T453" s="32"/>
      <c r="U453" s="32"/>
      <c r="V453" s="37"/>
      <c r="W453" s="32"/>
      <c r="X453" s="34"/>
      <c r="Y453" s="34"/>
      <c r="Z453" s="36"/>
      <c r="AA453" s="32" t="s">
        <v>3120</v>
      </c>
      <c r="AB453" s="32" t="s">
        <v>3121</v>
      </c>
      <c r="AC453" s="38" t="str">
        <f aca="false">HYPERLINK("https://biocodex6--c.vf.force.com/0014L00000KFp3kQAD", "LUMBROSO ALAIN")</f>
        <v>LUMBROSO ALAIN</v>
      </c>
      <c r="AD453" s="38" t="str">
        <f aca="false">HYPERLINK("https://annuairesante.ameli.fr/professionnels-de-sante/recherche/fiche-detaillee-B7c1lTA5Mzq1.html", "LUMBROSO ALAIN")</f>
        <v>LUMBROSO ALAIN</v>
      </c>
      <c r="AE453" s="39"/>
      <c r="AF453" s="40"/>
      <c r="AG453" s="41"/>
      <c r="AH453" s="32" t="s">
        <v>179</v>
      </c>
      <c r="AI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XEY453" s="27"/>
      <c r="XEZ453" s="27"/>
      <c r="XFA453" s="27"/>
      <c r="XFB453" s="27"/>
      <c r="XFC453" s="27"/>
      <c r="XFD453" s="27"/>
    </row>
    <row r="454" s="42" customFormat="true" ht="14.15" hidden="false" customHeight="true" outlineLevel="0" collapsed="false">
      <c r="A454" s="28" t="s">
        <v>3122</v>
      </c>
      <c r="B454" s="29" t="s">
        <v>2153</v>
      </c>
      <c r="C454" s="29" t="s">
        <v>3123</v>
      </c>
      <c r="D454" s="30" t="s">
        <v>50</v>
      </c>
      <c r="E454" s="31"/>
      <c r="F454" s="32" t="n">
        <v>39</v>
      </c>
      <c r="G454" s="31" t="s">
        <v>98</v>
      </c>
      <c r="H454" s="31" t="n">
        <v>1</v>
      </c>
      <c r="I454" s="31" t="s">
        <v>233</v>
      </c>
      <c r="J454" s="29"/>
      <c r="K454" s="29" t="s">
        <v>1995</v>
      </c>
      <c r="L454" s="32" t="n">
        <v>1</v>
      </c>
      <c r="M454" s="33" t="s">
        <v>1996</v>
      </c>
      <c r="N454" s="34" t="n">
        <v>75015</v>
      </c>
      <c r="O454" s="35" t="s">
        <v>55</v>
      </c>
      <c r="P454" s="36" t="s">
        <v>3124</v>
      </c>
      <c r="Q454" s="36" t="n">
        <v>3</v>
      </c>
      <c r="R454" s="32" t="n">
        <v>239</v>
      </c>
      <c r="S454" s="32" t="n">
        <v>3</v>
      </c>
      <c r="T454" s="32"/>
      <c r="U454" s="32"/>
      <c r="V454" s="37"/>
      <c r="W454" s="32"/>
      <c r="X454" s="34"/>
      <c r="Y454" s="34"/>
      <c r="Z454" s="32" t="s">
        <v>3125</v>
      </c>
      <c r="AA454" s="32" t="s">
        <v>3126</v>
      </c>
      <c r="AB454" s="32" t="s">
        <v>3127</v>
      </c>
      <c r="AC454" s="38" t="str">
        <f aca="false">HYPERLINK("https://biocodex6--c.vf.force.com/0014L00000KFKS6QAP", "FLEURET BELLANGER VICTOIRE")</f>
        <v>FLEURET BELLANGER VICTOIRE</v>
      </c>
      <c r="AD454" s="38" t="str">
        <f aca="false">HYPERLINK("https://annuairesante.ameli.fr/professionnels-de-sante/recherche/fiche-detaillee-B7c1kjM0OTG2.html", "FLEURET BELLANGER VICTOIRE")</f>
        <v>FLEURET BELLANGER VICTOIRE</v>
      </c>
      <c r="AE454" s="39"/>
      <c r="AF454" s="40"/>
      <c r="AG454" s="41"/>
      <c r="AH454" s="32"/>
      <c r="AI454" s="32"/>
      <c r="AL454" s="43" t="s">
        <v>657</v>
      </c>
      <c r="AM454" s="43" t="s">
        <v>137</v>
      </c>
      <c r="AN454" s="43" t="s">
        <v>657</v>
      </c>
      <c r="AO454" s="43" t="s">
        <v>137</v>
      </c>
      <c r="AP454" s="43" t="s">
        <v>657</v>
      </c>
      <c r="AQ454" s="43" t="s">
        <v>137</v>
      </c>
      <c r="AR454" s="43" t="s">
        <v>657</v>
      </c>
      <c r="AS454" s="43" t="s">
        <v>137</v>
      </c>
      <c r="AT454" s="43" t="s">
        <v>657</v>
      </c>
      <c r="AU454" s="43" t="s">
        <v>137</v>
      </c>
      <c r="XEY454" s="27"/>
      <c r="XEZ454" s="27"/>
      <c r="XFA454" s="27"/>
      <c r="XFB454" s="27"/>
      <c r="XFC454" s="27"/>
      <c r="XFD454" s="27"/>
    </row>
    <row r="455" s="42" customFormat="true" ht="14.15" hidden="false" customHeight="true" outlineLevel="0" collapsed="false">
      <c r="A455" s="28" t="s">
        <v>3128</v>
      </c>
      <c r="B455" s="29" t="s">
        <v>2481</v>
      </c>
      <c r="C455" s="29" t="s">
        <v>3129</v>
      </c>
      <c r="D455" s="30" t="s">
        <v>112</v>
      </c>
      <c r="E455" s="31"/>
      <c r="F455" s="32" t="n">
        <v>44</v>
      </c>
      <c r="G455" s="31" t="s">
        <v>98</v>
      </c>
      <c r="H455" s="31" t="n">
        <v>1</v>
      </c>
      <c r="I455" s="31" t="s">
        <v>233</v>
      </c>
      <c r="J455" s="29" t="s">
        <v>234</v>
      </c>
      <c r="K455" s="29" t="s">
        <v>235</v>
      </c>
      <c r="L455" s="32" t="n">
        <v>223</v>
      </c>
      <c r="M455" s="33" t="s">
        <v>236</v>
      </c>
      <c r="N455" s="34" t="n">
        <v>75015</v>
      </c>
      <c r="O455" s="35" t="s">
        <v>55</v>
      </c>
      <c r="P455" s="36" t="s">
        <v>2779</v>
      </c>
      <c r="Q455" s="36" t="n">
        <v>7</v>
      </c>
      <c r="R455" s="32" t="n">
        <v>235</v>
      </c>
      <c r="S455" s="32" t="n">
        <v>3</v>
      </c>
      <c r="T455" s="32"/>
      <c r="U455" s="32"/>
      <c r="V455" s="37"/>
      <c r="W455" s="32"/>
      <c r="X455" s="34"/>
      <c r="Y455" s="34"/>
      <c r="Z455" s="32"/>
      <c r="AA455" s="32" t="s">
        <v>3130</v>
      </c>
      <c r="AB455" s="32" t="s">
        <v>3131</v>
      </c>
      <c r="AC455" s="38" t="str">
        <f aca="false">HYPERLINK("https://biocodex6--c.vf.force.com/0014L00000KG5A2QAL", "BICLET ANNE SOPHIE")</f>
        <v>BICLET ANNE SOPHIE</v>
      </c>
      <c r="AD455" s="38" t="str">
        <f aca="false">HYPERLINK("https://annuairesante.ameli.fr/professionnels-de-sante/recherche/fiche-detaillee-B7c1mzsxNTO0.html", "BICLET ANNE SOPHIE")</f>
        <v>BICLET ANNE SOPHIE</v>
      </c>
      <c r="AE455" s="39" t="n">
        <v>45247.625</v>
      </c>
      <c r="AF455" s="40" t="s">
        <v>3132</v>
      </c>
      <c r="AG455" s="41"/>
      <c r="AH455" s="32"/>
      <c r="AI455" s="32"/>
      <c r="AL455" s="43" t="s">
        <v>640</v>
      </c>
      <c r="AM455" s="43" t="s">
        <v>3133</v>
      </c>
      <c r="AN455" s="43" t="s">
        <v>85</v>
      </c>
      <c r="AO455" s="43" t="s">
        <v>126</v>
      </c>
      <c r="AP455" s="43" t="s">
        <v>3134</v>
      </c>
      <c r="AQ455" s="43" t="s">
        <v>3135</v>
      </c>
      <c r="AR455" s="43" t="s">
        <v>639</v>
      </c>
      <c r="AS455" s="43" t="s">
        <v>1670</v>
      </c>
      <c r="AT455" s="43" t="s">
        <v>657</v>
      </c>
      <c r="AU455" s="43" t="s">
        <v>534</v>
      </c>
      <c r="XEY455" s="27"/>
      <c r="XEZ455" s="27"/>
      <c r="XFA455" s="27"/>
      <c r="XFB455" s="27"/>
      <c r="XFC455" s="27"/>
      <c r="XFD455" s="27"/>
    </row>
    <row r="456" s="42" customFormat="true" ht="14.15" hidden="false" customHeight="true" outlineLevel="0" collapsed="false">
      <c r="A456" s="28" t="s">
        <v>3136</v>
      </c>
      <c r="B456" s="29" t="s">
        <v>128</v>
      </c>
      <c r="C456" s="29" t="s">
        <v>3137</v>
      </c>
      <c r="D456" s="30" t="s">
        <v>50</v>
      </c>
      <c r="E456" s="30" t="s">
        <v>255</v>
      </c>
      <c r="F456" s="32" t="n">
        <v>54</v>
      </c>
      <c r="G456" s="31"/>
      <c r="H456" s="31" t="n">
        <v>1</v>
      </c>
      <c r="I456" s="31" t="s">
        <v>387</v>
      </c>
      <c r="J456" s="29" t="s">
        <v>777</v>
      </c>
      <c r="K456" s="29" t="s">
        <v>3138</v>
      </c>
      <c r="L456" s="32" t="n">
        <v>95</v>
      </c>
      <c r="M456" s="33" t="s">
        <v>2778</v>
      </c>
      <c r="N456" s="34" t="n">
        <v>75016</v>
      </c>
      <c r="O456" s="35" t="s">
        <v>55</v>
      </c>
      <c r="P456" s="36"/>
      <c r="Q456" s="36" t="n">
        <v>7</v>
      </c>
      <c r="R456" s="32" t="n">
        <v>233</v>
      </c>
      <c r="S456" s="32" t="n">
        <v>3</v>
      </c>
      <c r="T456" s="32"/>
      <c r="U456" s="32"/>
      <c r="V456" s="37"/>
      <c r="W456" s="32"/>
      <c r="X456" s="34"/>
      <c r="Y456" s="34"/>
      <c r="Z456" s="32"/>
      <c r="AA456" s="32" t="s">
        <v>3139</v>
      </c>
      <c r="AB456" s="32"/>
      <c r="AC456" s="38" t="str">
        <f aca="false">HYPERLINK("https://biocodex6--c.vf.force.com/0014L00000KFQS4QAP", "ESCOUROLLE PELTIER FRANCOISE")</f>
        <v>ESCOUROLLE PELTIER FRANCOISE</v>
      </c>
      <c r="AD456" s="38"/>
      <c r="AE456" s="39"/>
      <c r="AF456" s="40"/>
      <c r="AG456" s="41"/>
      <c r="AH456" s="32"/>
      <c r="AI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XEY456" s="27"/>
      <c r="XEZ456" s="27"/>
      <c r="XFA456" s="27"/>
      <c r="XFB456" s="27"/>
      <c r="XFC456" s="27"/>
      <c r="XFD456" s="27"/>
    </row>
    <row r="457" s="42" customFormat="true" ht="14.15" hidden="false" customHeight="true" outlineLevel="0" collapsed="false">
      <c r="A457" s="28" t="s">
        <v>3140</v>
      </c>
      <c r="B457" s="29" t="s">
        <v>1218</v>
      </c>
      <c r="C457" s="29" t="s">
        <v>3141</v>
      </c>
      <c r="D457" s="30" t="s">
        <v>244</v>
      </c>
      <c r="E457" s="30" t="s">
        <v>741</v>
      </c>
      <c r="F457" s="32" t="n">
        <v>67</v>
      </c>
      <c r="G457" s="31" t="s">
        <v>215</v>
      </c>
      <c r="H457" s="31" t="n">
        <v>3</v>
      </c>
      <c r="I457" s="31" t="s">
        <v>197</v>
      </c>
      <c r="J457" s="29"/>
      <c r="K457" s="29" t="s">
        <v>3142</v>
      </c>
      <c r="L457" s="32" t="n">
        <v>5</v>
      </c>
      <c r="M457" s="33" t="s">
        <v>3143</v>
      </c>
      <c r="N457" s="34" t="n">
        <v>75017</v>
      </c>
      <c r="O457" s="35" t="s">
        <v>55</v>
      </c>
      <c r="P457" s="36" t="s">
        <v>3144</v>
      </c>
      <c r="Q457" s="36" t="n">
        <v>2</v>
      </c>
      <c r="R457" s="32" t="n">
        <v>232</v>
      </c>
      <c r="S457" s="32" t="n">
        <v>3</v>
      </c>
      <c r="T457" s="32"/>
      <c r="U457" s="32"/>
      <c r="V457" s="37" t="n">
        <v>3</v>
      </c>
      <c r="W457" s="32"/>
      <c r="X457" s="34"/>
      <c r="Y457" s="34"/>
      <c r="Z457" s="32" t="s">
        <v>3145</v>
      </c>
      <c r="AA457" s="32" t="s">
        <v>3146</v>
      </c>
      <c r="AB457" s="32" t="s">
        <v>3147</v>
      </c>
      <c r="AC457" s="38" t="str">
        <f aca="false">HYPERLINK("https://biocodex6--c.vf.force.com/0014L00000KFbhOQAT", "DUFETRE CLAUDE")</f>
        <v>DUFETRE CLAUDE</v>
      </c>
      <c r="AD457" s="38" t="str">
        <f aca="false">HYPERLINK("https://annuairesante.ameli.fr/professionnels-de-sante/recherche/fiche-detaillee-B7c1mzE1ODKx.html", "DUFETRE CLAUDE")</f>
        <v>DUFETRE CLAUDE</v>
      </c>
      <c r="AE457" s="39"/>
      <c r="AF457" s="40"/>
      <c r="AG457" s="41"/>
      <c r="AH457" s="32"/>
      <c r="AI457" s="32"/>
      <c r="AL457" s="43" t="s">
        <v>657</v>
      </c>
      <c r="AM457" s="43" t="s">
        <v>518</v>
      </c>
      <c r="AN457" s="32"/>
      <c r="AO457" s="43" t="s">
        <v>534</v>
      </c>
      <c r="AP457" s="43" t="s">
        <v>657</v>
      </c>
      <c r="AQ457" s="43" t="s">
        <v>534</v>
      </c>
      <c r="AR457" s="32"/>
      <c r="AS457" s="32"/>
      <c r="AT457" s="43" t="s">
        <v>263</v>
      </c>
      <c r="AU457" s="43" t="s">
        <v>534</v>
      </c>
      <c r="XEY457" s="27"/>
      <c r="XEZ457" s="27"/>
      <c r="XFA457" s="27"/>
      <c r="XFB457" s="27"/>
      <c r="XFC457" s="27"/>
      <c r="XFD457" s="27"/>
    </row>
    <row r="458" s="42" customFormat="true" ht="14.15" hidden="false" customHeight="true" outlineLevel="0" collapsed="false">
      <c r="A458" s="28" t="s">
        <v>3148</v>
      </c>
      <c r="B458" s="29" t="s">
        <v>3149</v>
      </c>
      <c r="C458" s="29" t="s">
        <v>3150</v>
      </c>
      <c r="D458" s="30" t="s">
        <v>50</v>
      </c>
      <c r="E458" s="31"/>
      <c r="F458" s="32" t="n">
        <v>36</v>
      </c>
      <c r="G458" s="31" t="s">
        <v>98</v>
      </c>
      <c r="H458" s="31" t="n">
        <v>1</v>
      </c>
      <c r="I458" s="31" t="s">
        <v>233</v>
      </c>
      <c r="J458" s="29"/>
      <c r="K458" s="29" t="s">
        <v>1995</v>
      </c>
      <c r="L458" s="32" t="n">
        <v>1</v>
      </c>
      <c r="M458" s="33" t="s">
        <v>1996</v>
      </c>
      <c r="N458" s="34" t="n">
        <v>75015</v>
      </c>
      <c r="O458" s="35" t="s">
        <v>55</v>
      </c>
      <c r="P458" s="36"/>
      <c r="Q458" s="36" t="n">
        <v>3</v>
      </c>
      <c r="R458" s="32" t="n">
        <v>232</v>
      </c>
      <c r="S458" s="32" t="n">
        <v>3</v>
      </c>
      <c r="T458" s="32"/>
      <c r="U458" s="32"/>
      <c r="V458" s="37"/>
      <c r="W458" s="32"/>
      <c r="X458" s="34"/>
      <c r="Y458" s="34"/>
      <c r="Z458" s="32"/>
      <c r="AA458" s="32" t="s">
        <v>3151</v>
      </c>
      <c r="AB458" s="32" t="s">
        <v>3152</v>
      </c>
      <c r="AC458" s="38" t="str">
        <f aca="false">HYPERLINK("https://biocodex6--c.vf.force.com/0014L00000KFPYYQA5", "HOEFLER LEONIE")</f>
        <v>HOEFLER LEONIE</v>
      </c>
      <c r="AD458" s="38" t="str">
        <f aca="false">HYPERLINK("https://annuairesante.ameli.fr/professionnels-de-sante/recherche/fiche-detaillee-B7c1kjQyNjOz.html", "HOEFLER LEONIE")</f>
        <v>HOEFLER LEONIE</v>
      </c>
      <c r="AE458" s="39"/>
      <c r="AF458" s="40"/>
      <c r="AG458" s="41"/>
      <c r="AH458" s="32"/>
      <c r="AI458" s="32"/>
      <c r="AL458" s="43" t="s">
        <v>3153</v>
      </c>
      <c r="AM458" s="43" t="s">
        <v>137</v>
      </c>
      <c r="AN458" s="43" t="s">
        <v>3153</v>
      </c>
      <c r="AO458" s="43" t="s">
        <v>137</v>
      </c>
      <c r="AP458" s="43" t="s">
        <v>3153</v>
      </c>
      <c r="AQ458" s="43" t="s">
        <v>137</v>
      </c>
      <c r="AR458" s="43" t="s">
        <v>3153</v>
      </c>
      <c r="AS458" s="43" t="s">
        <v>137</v>
      </c>
      <c r="AT458" s="43" t="s">
        <v>3153</v>
      </c>
      <c r="AU458" s="43" t="s">
        <v>137</v>
      </c>
      <c r="XEY458" s="27"/>
      <c r="XEZ458" s="27"/>
      <c r="XFA458" s="27"/>
      <c r="XFB458" s="27"/>
      <c r="XFC458" s="27"/>
      <c r="XFD458" s="27"/>
    </row>
    <row r="459" s="42" customFormat="true" ht="14.15" hidden="false" customHeight="true" outlineLevel="0" collapsed="false">
      <c r="A459" s="28" t="s">
        <v>3154</v>
      </c>
      <c r="B459" s="29" t="s">
        <v>811</v>
      </c>
      <c r="C459" s="29" t="s">
        <v>3155</v>
      </c>
      <c r="D459" s="30" t="s">
        <v>50</v>
      </c>
      <c r="E459" s="30" t="s">
        <v>796</v>
      </c>
      <c r="F459" s="32" t="n">
        <v>62</v>
      </c>
      <c r="G459" s="31" t="s">
        <v>98</v>
      </c>
      <c r="H459" s="31" t="n">
        <v>1</v>
      </c>
      <c r="I459" s="31" t="s">
        <v>51</v>
      </c>
      <c r="J459" s="29"/>
      <c r="K459" s="29" t="s">
        <v>3156</v>
      </c>
      <c r="L459" s="32" t="n">
        <v>208</v>
      </c>
      <c r="M459" s="33" t="s">
        <v>852</v>
      </c>
      <c r="N459" s="34" t="n">
        <v>75015</v>
      </c>
      <c r="O459" s="35" t="s">
        <v>55</v>
      </c>
      <c r="P459" s="36" t="s">
        <v>3157</v>
      </c>
      <c r="Q459" s="36" t="n">
        <v>1</v>
      </c>
      <c r="R459" s="32" t="n">
        <v>224</v>
      </c>
      <c r="S459" s="32" t="n">
        <v>3</v>
      </c>
      <c r="T459" s="32"/>
      <c r="U459" s="32"/>
      <c r="V459" s="37"/>
      <c r="W459" s="32"/>
      <c r="X459" s="34"/>
      <c r="Y459" s="34"/>
      <c r="Z459" s="32"/>
      <c r="AA459" s="32" t="s">
        <v>3158</v>
      </c>
      <c r="AB459" s="32" t="s">
        <v>3159</v>
      </c>
      <c r="AC459" s="38" t="str">
        <f aca="false">HYPERLINK("https://biocodex6--c.vf.force.com/0014L00000KFQoWQAX", "HASTERT VERONIQUE")</f>
        <v>HASTERT VERONIQUE</v>
      </c>
      <c r="AD459" s="38" t="str">
        <f aca="false">HYPERLINK("https://annuairesante.ameli.fr/professionnels-de-sante/recherche/fiche-detaillee-B7c1lDY5MjG7.html", "HASTERT VERONIQUE")</f>
        <v>HASTERT VERONIQUE</v>
      </c>
      <c r="AE459" s="39"/>
      <c r="AF459" s="40"/>
      <c r="AG459" s="41"/>
      <c r="AH459" s="32"/>
      <c r="AI459" s="32"/>
      <c r="AL459" s="43" t="s">
        <v>85</v>
      </c>
      <c r="AM459" s="43" t="s">
        <v>137</v>
      </c>
      <c r="AN459" s="43" t="s">
        <v>85</v>
      </c>
      <c r="AO459" s="43" t="s">
        <v>137</v>
      </c>
      <c r="AP459" s="43" t="s">
        <v>85</v>
      </c>
      <c r="AQ459" s="43" t="s">
        <v>137</v>
      </c>
      <c r="AR459" s="43" t="s">
        <v>822</v>
      </c>
      <c r="AS459" s="43" t="s">
        <v>262</v>
      </c>
      <c r="AT459" s="43" t="s">
        <v>822</v>
      </c>
      <c r="AU459" s="43" t="s">
        <v>262</v>
      </c>
      <c r="XEY459" s="27"/>
      <c r="XEZ459" s="27"/>
      <c r="XFA459" s="27"/>
      <c r="XFB459" s="27"/>
      <c r="XFC459" s="27"/>
      <c r="XFD459" s="27"/>
    </row>
    <row r="460" s="42" customFormat="true" ht="14.15" hidden="false" customHeight="true" outlineLevel="0" collapsed="false">
      <c r="A460" s="28" t="s">
        <v>3160</v>
      </c>
      <c r="B460" s="29" t="s">
        <v>3161</v>
      </c>
      <c r="C460" s="29" t="s">
        <v>3162</v>
      </c>
      <c r="D460" s="30" t="s">
        <v>244</v>
      </c>
      <c r="E460" s="30" t="s">
        <v>741</v>
      </c>
      <c r="F460" s="32" t="n">
        <v>75</v>
      </c>
      <c r="G460" s="31" t="s">
        <v>215</v>
      </c>
      <c r="H460" s="31" t="n">
        <v>1</v>
      </c>
      <c r="I460" s="31" t="s">
        <v>435</v>
      </c>
      <c r="J460" s="29"/>
      <c r="K460" s="29" t="s">
        <v>3163</v>
      </c>
      <c r="L460" s="32" t="n">
        <v>23</v>
      </c>
      <c r="M460" s="33" t="s">
        <v>3164</v>
      </c>
      <c r="N460" s="34" t="n">
        <v>75016</v>
      </c>
      <c r="O460" s="35" t="s">
        <v>55</v>
      </c>
      <c r="P460" s="36" t="s">
        <v>3165</v>
      </c>
      <c r="Q460" s="36" t="n">
        <v>2</v>
      </c>
      <c r="R460" s="32" t="n">
        <v>218</v>
      </c>
      <c r="S460" s="32" t="n">
        <v>3</v>
      </c>
      <c r="T460" s="32"/>
      <c r="U460" s="32"/>
      <c r="V460" s="37"/>
      <c r="W460" s="32"/>
      <c r="X460" s="34"/>
      <c r="Y460" s="34"/>
      <c r="Z460" s="32"/>
      <c r="AA460" s="32" t="s">
        <v>3166</v>
      </c>
      <c r="AB460" s="32" t="s">
        <v>3167</v>
      </c>
      <c r="AC460" s="38" t="str">
        <f aca="false">HYPERLINK("https://biocodex6--c.vf.force.com/0014L00000KFrshQAD", "MIKO KEPES MARISE")</f>
        <v>MIKO KEPES MARISE</v>
      </c>
      <c r="AD460" s="38" t="str">
        <f aca="false">HYPERLINK("https://annuairesante.ameli.fr/professionnels-de-sante/recherche/fiche-detaillee-B7c1ljszNju3.html", "MIKO KEPES MARISE")</f>
        <v>MIKO KEPES MARISE</v>
      </c>
      <c r="AE460" s="39"/>
      <c r="AF460" s="40"/>
      <c r="AG460" s="41"/>
      <c r="AH460" s="32"/>
      <c r="AI460" s="32"/>
      <c r="AL460" s="32"/>
      <c r="AM460" s="43" t="s">
        <v>923</v>
      </c>
      <c r="AN460" s="32"/>
      <c r="AO460" s="43" t="s">
        <v>3168</v>
      </c>
      <c r="AP460" s="43" t="s">
        <v>3169</v>
      </c>
      <c r="AQ460" s="32"/>
      <c r="AR460" s="32"/>
      <c r="AS460" s="43" t="s">
        <v>3168</v>
      </c>
      <c r="AT460" s="43" t="s">
        <v>3170</v>
      </c>
      <c r="AU460" s="43" t="s">
        <v>534</v>
      </c>
      <c r="XEY460" s="27"/>
      <c r="XEZ460" s="27"/>
      <c r="XFA460" s="27"/>
      <c r="XFB460" s="27"/>
      <c r="XFC460" s="27"/>
      <c r="XFD460" s="27"/>
    </row>
    <row r="461" s="42" customFormat="true" ht="14.15" hidden="false" customHeight="true" outlineLevel="0" collapsed="false">
      <c r="A461" s="28" t="s">
        <v>3171</v>
      </c>
      <c r="B461" s="29" t="s">
        <v>3172</v>
      </c>
      <c r="C461" s="29" t="s">
        <v>3173</v>
      </c>
      <c r="D461" s="30" t="s">
        <v>50</v>
      </c>
      <c r="E461" s="30" t="s">
        <v>916</v>
      </c>
      <c r="F461" s="32" t="n">
        <v>86</v>
      </c>
      <c r="G461" s="31" t="s">
        <v>215</v>
      </c>
      <c r="H461" s="31" t="n">
        <v>1</v>
      </c>
      <c r="I461" s="31" t="s">
        <v>173</v>
      </c>
      <c r="J461" s="29"/>
      <c r="K461" s="29" t="s">
        <v>3174</v>
      </c>
      <c r="L461" s="32" t="n">
        <v>45</v>
      </c>
      <c r="M461" s="33" t="s">
        <v>175</v>
      </c>
      <c r="N461" s="34" t="n">
        <v>75016</v>
      </c>
      <c r="O461" s="35" t="s">
        <v>55</v>
      </c>
      <c r="P461" s="36" t="s">
        <v>3175</v>
      </c>
      <c r="Q461" s="36" t="n">
        <v>2</v>
      </c>
      <c r="R461" s="32" t="n">
        <v>217</v>
      </c>
      <c r="S461" s="32" t="n">
        <v>3</v>
      </c>
      <c r="T461" s="32"/>
      <c r="U461" s="32"/>
      <c r="V461" s="37"/>
      <c r="W461" s="32"/>
      <c r="X461" s="34"/>
      <c r="Y461" s="34"/>
      <c r="Z461" s="32"/>
      <c r="AA461" s="32" t="s">
        <v>3176</v>
      </c>
      <c r="AB461" s="32" t="s">
        <v>3177</v>
      </c>
      <c r="AC461" s="38" t="str">
        <f aca="false">HYPERLINK("https://biocodex6--c.vf.force.com/0014L00000KFShcQAH", "BENSABAT SOLY")</f>
        <v>BENSABAT SOLY</v>
      </c>
      <c r="AD461" s="38" t="str">
        <f aca="false">HYPERLINK("https://annuairesante.ameli.fr/professionnels-de-sante/recherche/fiche-detaillee-B7c1kTQ3NzS0.html", "BENSABAT SOLY")</f>
        <v>BENSABAT SOLY</v>
      </c>
      <c r="AE461" s="39"/>
      <c r="AF461" s="40"/>
      <c r="AG461" s="41"/>
      <c r="AH461" s="32"/>
      <c r="AI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XEY461" s="27"/>
      <c r="XEZ461" s="27"/>
      <c r="XFA461" s="27"/>
      <c r="XFB461" s="27"/>
      <c r="XFC461" s="27"/>
      <c r="XFD461" s="27"/>
    </row>
    <row r="462" s="42" customFormat="true" ht="14.15" hidden="false" customHeight="true" outlineLevel="0" collapsed="false">
      <c r="A462" s="28" t="s">
        <v>3178</v>
      </c>
      <c r="B462" s="29" t="s">
        <v>3179</v>
      </c>
      <c r="C462" s="29" t="s">
        <v>3180</v>
      </c>
      <c r="D462" s="30" t="s">
        <v>75</v>
      </c>
      <c r="E462" s="30" t="s">
        <v>3181</v>
      </c>
      <c r="F462" s="32" t="n">
        <v>55</v>
      </c>
      <c r="G462" s="31"/>
      <c r="H462" s="31" t="n">
        <v>2</v>
      </c>
      <c r="I462" s="31" t="s">
        <v>173</v>
      </c>
      <c r="J462" s="29"/>
      <c r="K462" s="29" t="s">
        <v>3182</v>
      </c>
      <c r="L462" s="32" t="n">
        <v>34</v>
      </c>
      <c r="M462" s="33" t="s">
        <v>3039</v>
      </c>
      <c r="N462" s="34" t="n">
        <v>75016</v>
      </c>
      <c r="O462" s="35" t="s">
        <v>55</v>
      </c>
      <c r="P462" s="36" t="s">
        <v>3183</v>
      </c>
      <c r="Q462" s="36" t="n">
        <v>2</v>
      </c>
      <c r="R462" s="32" t="n">
        <v>210</v>
      </c>
      <c r="S462" s="32" t="n">
        <v>3</v>
      </c>
      <c r="T462" s="32"/>
      <c r="U462" s="32"/>
      <c r="V462" s="37"/>
      <c r="W462" s="32"/>
      <c r="X462" s="34"/>
      <c r="Y462" s="34"/>
      <c r="Z462" s="32"/>
      <c r="AA462" s="32" t="s">
        <v>3184</v>
      </c>
      <c r="AB462" s="32"/>
      <c r="AC462" s="38" t="str">
        <f aca="false">HYPERLINK("https://biocodex6--c.vf.force.com/0014L00000KFRhKQAX", "AMARIS DIAZ JUAN ARTURO")</f>
        <v>AMARIS DIAZ JUAN ARTURO</v>
      </c>
      <c r="AD462" s="38"/>
      <c r="AE462" s="39"/>
      <c r="AF462" s="40"/>
      <c r="AG462" s="41"/>
      <c r="AH462" s="32"/>
      <c r="AI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XEY462" s="27"/>
      <c r="XEZ462" s="27"/>
      <c r="XFA462" s="27"/>
      <c r="XFB462" s="27"/>
      <c r="XFC462" s="27"/>
      <c r="XFD462" s="27"/>
    </row>
    <row r="463" s="42" customFormat="true" ht="14.15" hidden="false" customHeight="true" outlineLevel="0" collapsed="false">
      <c r="A463" s="28" t="s">
        <v>3185</v>
      </c>
      <c r="B463" s="29" t="s">
        <v>2794</v>
      </c>
      <c r="C463" s="29" t="s">
        <v>3186</v>
      </c>
      <c r="D463" s="30" t="s">
        <v>50</v>
      </c>
      <c r="E463" s="31"/>
      <c r="F463" s="32" t="n">
        <v>37</v>
      </c>
      <c r="G463" s="31" t="s">
        <v>98</v>
      </c>
      <c r="H463" s="31" t="n">
        <v>1</v>
      </c>
      <c r="I463" s="31" t="s">
        <v>77</v>
      </c>
      <c r="J463" s="29"/>
      <c r="K463" s="29" t="s">
        <v>3187</v>
      </c>
      <c r="L463" s="32" t="n">
        <v>11</v>
      </c>
      <c r="M463" s="33" t="s">
        <v>3188</v>
      </c>
      <c r="N463" s="34" t="n">
        <v>92200</v>
      </c>
      <c r="O463" s="35" t="s">
        <v>81</v>
      </c>
      <c r="P463" s="36" t="s">
        <v>3189</v>
      </c>
      <c r="Q463" s="36" t="n">
        <v>2</v>
      </c>
      <c r="R463" s="32" t="n">
        <v>210</v>
      </c>
      <c r="S463" s="32" t="n">
        <v>3</v>
      </c>
      <c r="T463" s="32"/>
      <c r="U463" s="32"/>
      <c r="V463" s="37"/>
      <c r="W463" s="32"/>
      <c r="X463" s="34"/>
      <c r="Y463" s="34"/>
      <c r="Z463" s="36"/>
      <c r="AA463" s="32" t="s">
        <v>3190</v>
      </c>
      <c r="AB463" s="32" t="s">
        <v>3191</v>
      </c>
      <c r="AC463" s="38" t="str">
        <f aca="false">HYPERLINK("https://biocodex6--c.vf.force.com/0014L00000KFPskQAH", "LESENECHAL CLAIRE")</f>
        <v>LESENECHAL CLAIRE</v>
      </c>
      <c r="AD463" s="38" t="str">
        <f aca="false">HYPERLINK("https://annuairesante.ameli.fr/professionnels-de-sante/recherche/fiche-detaillee-CbA1kjE4OTa1.html", "LESENECHAL CLAIRE")</f>
        <v>LESENECHAL CLAIRE</v>
      </c>
      <c r="AE463" s="39"/>
      <c r="AF463" s="40"/>
      <c r="AG463" s="41"/>
      <c r="AH463" s="32" t="s">
        <v>179</v>
      </c>
      <c r="AI463" s="32"/>
      <c r="AL463" s="43" t="s">
        <v>639</v>
      </c>
      <c r="AM463" s="43" t="s">
        <v>534</v>
      </c>
      <c r="AN463" s="43" t="s">
        <v>639</v>
      </c>
      <c r="AO463" s="43" t="s">
        <v>534</v>
      </c>
      <c r="AP463" s="43" t="s">
        <v>639</v>
      </c>
      <c r="AQ463" s="43" t="s">
        <v>534</v>
      </c>
      <c r="AR463" s="43" t="s">
        <v>639</v>
      </c>
      <c r="AS463" s="43" t="s">
        <v>534</v>
      </c>
      <c r="AT463" s="43" t="s">
        <v>639</v>
      </c>
      <c r="AU463" s="43" t="s">
        <v>534</v>
      </c>
      <c r="XEY463" s="27"/>
      <c r="XEZ463" s="27"/>
      <c r="XFA463" s="27"/>
      <c r="XFB463" s="27"/>
      <c r="XFC463" s="27"/>
      <c r="XFD463" s="27"/>
    </row>
    <row r="464" s="42" customFormat="true" ht="14.15" hidden="false" customHeight="true" outlineLevel="0" collapsed="false">
      <c r="A464" s="28" t="s">
        <v>3192</v>
      </c>
      <c r="B464" s="29" t="s">
        <v>1438</v>
      </c>
      <c r="C464" s="29" t="s">
        <v>3193</v>
      </c>
      <c r="D464" s="30" t="s">
        <v>50</v>
      </c>
      <c r="E464" s="31"/>
      <c r="F464" s="32" t="n">
        <v>35</v>
      </c>
      <c r="G464" s="31" t="s">
        <v>98</v>
      </c>
      <c r="H464" s="31" t="n">
        <v>1</v>
      </c>
      <c r="I464" s="31" t="s">
        <v>233</v>
      </c>
      <c r="J464" s="29"/>
      <c r="K464" s="29" t="s">
        <v>3194</v>
      </c>
      <c r="L464" s="32" t="n">
        <v>12</v>
      </c>
      <c r="M464" s="33" t="s">
        <v>3195</v>
      </c>
      <c r="N464" s="34" t="n">
        <v>75015</v>
      </c>
      <c r="O464" s="35" t="s">
        <v>55</v>
      </c>
      <c r="P464" s="36" t="s">
        <v>3196</v>
      </c>
      <c r="Q464" s="36" t="n">
        <v>3</v>
      </c>
      <c r="R464" s="32" t="n">
        <v>208</v>
      </c>
      <c r="S464" s="32" t="n">
        <v>3</v>
      </c>
      <c r="T464" s="32"/>
      <c r="U464" s="32"/>
      <c r="V464" s="37"/>
      <c r="W464" s="32"/>
      <c r="X464" s="34"/>
      <c r="Y464" s="34"/>
      <c r="Z464" s="32"/>
      <c r="AA464" s="32" t="s">
        <v>3197</v>
      </c>
      <c r="AB464" s="32" t="s">
        <v>3198</v>
      </c>
      <c r="AC464" s="38" t="str">
        <f aca="false">HYPERLINK("https://biocodex6--c.vf.force.com/0014L00000KFUNgQAP", "BILLAUD JULIE")</f>
        <v>BILLAUD JULIE</v>
      </c>
      <c r="AD464" s="38" t="str">
        <f aca="false">HYPERLINK("https://annuairesante.ameli.fr/professionnels-de-sante/recherche/fiche-detaillee-B7c1kjM3NDSy.html", "BILLAUD JULIE")</f>
        <v>BILLAUD JULIE</v>
      </c>
      <c r="AE464" s="39"/>
      <c r="AF464" s="40"/>
      <c r="AG464" s="41"/>
      <c r="AH464" s="32"/>
      <c r="AI464" s="32"/>
      <c r="AL464" s="43" t="s">
        <v>107</v>
      </c>
      <c r="AM464" s="43" t="s">
        <v>262</v>
      </c>
      <c r="AN464" s="43" t="s">
        <v>107</v>
      </c>
      <c r="AO464" s="43" t="s">
        <v>262</v>
      </c>
      <c r="AP464" s="43" t="s">
        <v>107</v>
      </c>
      <c r="AQ464" s="43" t="s">
        <v>262</v>
      </c>
      <c r="AR464" s="43" t="s">
        <v>107</v>
      </c>
      <c r="AS464" s="43" t="s">
        <v>262</v>
      </c>
      <c r="AT464" s="43" t="s">
        <v>107</v>
      </c>
      <c r="AU464" s="43" t="s">
        <v>262</v>
      </c>
      <c r="XEY464" s="27"/>
      <c r="XEZ464" s="27"/>
      <c r="XFA464" s="27"/>
      <c r="XFB464" s="27"/>
      <c r="XFC464" s="27"/>
      <c r="XFD464" s="27"/>
    </row>
    <row r="465" s="42" customFormat="true" ht="14.15" hidden="false" customHeight="true" outlineLevel="0" collapsed="false">
      <c r="A465" s="28" t="s">
        <v>3199</v>
      </c>
      <c r="B465" s="29" t="s">
        <v>3200</v>
      </c>
      <c r="C465" s="29" t="s">
        <v>3201</v>
      </c>
      <c r="D465" s="30" t="s">
        <v>268</v>
      </c>
      <c r="E465" s="30" t="s">
        <v>3202</v>
      </c>
      <c r="F465" s="32" t="n">
        <v>76</v>
      </c>
      <c r="G465" s="31"/>
      <c r="H465" s="31" t="n">
        <v>1</v>
      </c>
      <c r="I465" s="31" t="s">
        <v>572</v>
      </c>
      <c r="J465" s="29"/>
      <c r="K465" s="29" t="s">
        <v>3203</v>
      </c>
      <c r="L465" s="32" t="n">
        <v>58</v>
      </c>
      <c r="M465" s="33" t="s">
        <v>3204</v>
      </c>
      <c r="N465" s="34" t="n">
        <v>75008</v>
      </c>
      <c r="O465" s="35" t="s">
        <v>55</v>
      </c>
      <c r="P465" s="36" t="s">
        <v>3205</v>
      </c>
      <c r="Q465" s="36" t="n">
        <v>2</v>
      </c>
      <c r="R465" s="32" t="n">
        <v>206</v>
      </c>
      <c r="S465" s="32" t="n">
        <v>3</v>
      </c>
      <c r="T465" s="32"/>
      <c r="U465" s="32"/>
      <c r="V465" s="37"/>
      <c r="W465" s="32"/>
      <c r="X465" s="34"/>
      <c r="Y465" s="34"/>
      <c r="Z465" s="36"/>
      <c r="AA465" s="32" t="s">
        <v>3206</v>
      </c>
      <c r="AB465" s="32"/>
      <c r="AC465" s="38" t="str">
        <f aca="false">HYPERLINK("https://biocodex6--c.vf.force.com/0014L00000KG3WRQA1", "TOUBOUL PIERRE JEAN")</f>
        <v>TOUBOUL PIERRE JEAN</v>
      </c>
      <c r="AD465" s="38"/>
      <c r="AE465" s="39"/>
      <c r="AF465" s="40"/>
      <c r="AG465" s="41"/>
      <c r="AH465" s="32" t="s">
        <v>179</v>
      </c>
      <c r="AI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XEY465" s="27"/>
      <c r="XEZ465" s="27"/>
      <c r="XFA465" s="27"/>
      <c r="XFB465" s="27"/>
      <c r="XFC465" s="27"/>
      <c r="XFD465" s="27"/>
    </row>
    <row r="466" s="42" customFormat="true" ht="14.15" hidden="false" customHeight="true" outlineLevel="0" collapsed="false">
      <c r="A466" s="28" t="s">
        <v>3207</v>
      </c>
      <c r="B466" s="29" t="s">
        <v>3208</v>
      </c>
      <c r="C466" s="29" t="s">
        <v>3209</v>
      </c>
      <c r="D466" s="30" t="s">
        <v>244</v>
      </c>
      <c r="E466" s="30" t="s">
        <v>3210</v>
      </c>
      <c r="F466" s="32" t="n">
        <v>71</v>
      </c>
      <c r="G466" s="31" t="s">
        <v>61</v>
      </c>
      <c r="H466" s="31" t="n">
        <v>1</v>
      </c>
      <c r="I466" s="31" t="s">
        <v>572</v>
      </c>
      <c r="J466" s="29"/>
      <c r="K466" s="29" t="s">
        <v>3211</v>
      </c>
      <c r="L466" s="32" t="n">
        <v>6</v>
      </c>
      <c r="M466" s="33" t="s">
        <v>1426</v>
      </c>
      <c r="N466" s="34" t="n">
        <v>75008</v>
      </c>
      <c r="O466" s="35" t="s">
        <v>55</v>
      </c>
      <c r="P466" s="36" t="s">
        <v>3212</v>
      </c>
      <c r="Q466" s="36" t="n">
        <v>1</v>
      </c>
      <c r="R466" s="32" t="n">
        <v>205</v>
      </c>
      <c r="S466" s="32" t="n">
        <v>3</v>
      </c>
      <c r="T466" s="32"/>
      <c r="U466" s="32"/>
      <c r="V466" s="37"/>
      <c r="W466" s="32"/>
      <c r="X466" s="34"/>
      <c r="Y466" s="34"/>
      <c r="Z466" s="36" t="s">
        <v>3213</v>
      </c>
      <c r="AA466" s="32" t="s">
        <v>3214</v>
      </c>
      <c r="AB466" s="32" t="s">
        <v>3215</v>
      </c>
      <c r="AC466" s="38" t="str">
        <f aca="false">HYPERLINK("https://biocodex6--c.vf.force.com/0014L00000KFhrkQAD", "GUTHMANN YVETTE")</f>
        <v>GUTHMANN YVETTE</v>
      </c>
      <c r="AD466" s="38" t="str">
        <f aca="false">HYPERLINK("https://annuairesante.ameli.fr/professionnels-de-sante/recherche/fiche-detaillee-B7c1kTU3OTSx.html", "GUTHMANN YVETTE")</f>
        <v>GUTHMANN YVETTE</v>
      </c>
      <c r="AE466" s="39"/>
      <c r="AF466" s="40"/>
      <c r="AG466" s="41"/>
      <c r="AH466" s="32" t="s">
        <v>179</v>
      </c>
      <c r="AI466" s="32"/>
      <c r="AL466" s="43" t="s">
        <v>657</v>
      </c>
      <c r="AM466" s="43" t="s">
        <v>518</v>
      </c>
      <c r="AN466" s="32"/>
      <c r="AO466" s="43" t="s">
        <v>262</v>
      </c>
      <c r="AP466" s="43" t="s">
        <v>657</v>
      </c>
      <c r="AQ466" s="32"/>
      <c r="AR466" s="43" t="s">
        <v>2148</v>
      </c>
      <c r="AS466" s="43" t="s">
        <v>137</v>
      </c>
      <c r="AT466" s="32"/>
      <c r="AU466" s="32"/>
      <c r="XEY466" s="27"/>
      <c r="XEZ466" s="27"/>
      <c r="XFA466" s="27"/>
      <c r="XFB466" s="27"/>
      <c r="XFC466" s="27"/>
      <c r="XFD466" s="27"/>
    </row>
    <row r="467" s="42" customFormat="true" ht="14.15" hidden="false" customHeight="true" outlineLevel="0" collapsed="false">
      <c r="A467" s="28" t="s">
        <v>3216</v>
      </c>
      <c r="B467" s="29" t="s">
        <v>3217</v>
      </c>
      <c r="C467" s="29" t="s">
        <v>3218</v>
      </c>
      <c r="D467" s="30" t="s">
        <v>244</v>
      </c>
      <c r="E467" s="30" t="s">
        <v>245</v>
      </c>
      <c r="F467" s="32" t="n">
        <v>67</v>
      </c>
      <c r="G467" s="31" t="s">
        <v>98</v>
      </c>
      <c r="H467" s="31" t="n">
        <v>1</v>
      </c>
      <c r="I467" s="31" t="s">
        <v>295</v>
      </c>
      <c r="J467" s="29"/>
      <c r="K467" s="29" t="s">
        <v>3219</v>
      </c>
      <c r="L467" s="32" t="n">
        <v>5</v>
      </c>
      <c r="M467" s="33" t="s">
        <v>3220</v>
      </c>
      <c r="N467" s="34" t="n">
        <v>92300</v>
      </c>
      <c r="O467" s="35" t="s">
        <v>298</v>
      </c>
      <c r="P467" s="36" t="s">
        <v>3221</v>
      </c>
      <c r="Q467" s="36" t="n">
        <v>1</v>
      </c>
      <c r="R467" s="32" t="n">
        <v>203</v>
      </c>
      <c r="S467" s="32" t="n">
        <v>3</v>
      </c>
      <c r="T467" s="32"/>
      <c r="U467" s="32"/>
      <c r="V467" s="37" t="n">
        <v>3</v>
      </c>
      <c r="W467" s="32"/>
      <c r="X467" s="34"/>
      <c r="Y467" s="34"/>
      <c r="Z467" s="32"/>
      <c r="AA467" s="32" t="s">
        <v>3222</v>
      </c>
      <c r="AB467" s="32" t="s">
        <v>3223</v>
      </c>
      <c r="AC467" s="38" t="str">
        <f aca="false">HYPERLINK("https://biocodex6--c.vf.force.com/0014L00000KG2AlQAL", "STEFANESCU GABRIELA")</f>
        <v>STEFANESCU GABRIELA</v>
      </c>
      <c r="AD467" s="38" t="str">
        <f aca="false">HYPERLINK("https://annuairesante.ameli.fr/professionnels-de-sante/recherche/fiche-detaillee-CbA1kzA4Njqy.html", "STEFANESCU GABRIELA")</f>
        <v>STEFANESCU GABRIELA</v>
      </c>
      <c r="AE467" s="39"/>
      <c r="AF467" s="40"/>
      <c r="AG467" s="41"/>
      <c r="AH467" s="32"/>
      <c r="AI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XEY467" s="27"/>
      <c r="XEZ467" s="27"/>
      <c r="XFA467" s="27"/>
      <c r="XFB467" s="27"/>
      <c r="XFC467" s="27"/>
      <c r="XFD467" s="27"/>
    </row>
    <row r="468" s="42" customFormat="true" ht="14.15" hidden="false" customHeight="true" outlineLevel="0" collapsed="false">
      <c r="A468" s="28" t="s">
        <v>3224</v>
      </c>
      <c r="B468" s="29" t="s">
        <v>3225</v>
      </c>
      <c r="C468" s="29" t="s">
        <v>3226</v>
      </c>
      <c r="D468" s="30" t="s">
        <v>50</v>
      </c>
      <c r="E468" s="31"/>
      <c r="F468" s="32" t="n">
        <v>55</v>
      </c>
      <c r="G468" s="31"/>
      <c r="H468" s="31" t="n">
        <v>1</v>
      </c>
      <c r="I468" s="31" t="s">
        <v>51</v>
      </c>
      <c r="J468" s="29" t="s">
        <v>52</v>
      </c>
      <c r="K468" s="29" t="s">
        <v>53</v>
      </c>
      <c r="L468" s="32" t="n">
        <v>149</v>
      </c>
      <c r="M468" s="33" t="s">
        <v>54</v>
      </c>
      <c r="N468" s="34" t="n">
        <v>75015</v>
      </c>
      <c r="O468" s="35" t="s">
        <v>55</v>
      </c>
      <c r="P468" s="36" t="s">
        <v>1710</v>
      </c>
      <c r="Q468" s="36" t="n">
        <v>236</v>
      </c>
      <c r="R468" s="32" t="n">
        <v>195</v>
      </c>
      <c r="S468" s="32" t="n">
        <v>3</v>
      </c>
      <c r="T468" s="32"/>
      <c r="U468" s="32"/>
      <c r="V468" s="37"/>
      <c r="W468" s="32"/>
      <c r="X468" s="34"/>
      <c r="Y468" s="34"/>
      <c r="Z468" s="32"/>
      <c r="AA468" s="32" t="s">
        <v>3227</v>
      </c>
      <c r="AB468" s="32"/>
      <c r="AC468" s="38" t="str">
        <f aca="false">HYPERLINK("https://biocodex6--c.vf.force.com/0014L00000KFr0jQAD", "MARX JEAN SEBASTIEN")</f>
        <v>MARX JEAN SEBASTIEN</v>
      </c>
      <c r="AD468" s="38"/>
      <c r="AE468" s="39"/>
      <c r="AF468" s="40"/>
      <c r="AG468" s="41"/>
      <c r="AH468" s="32"/>
      <c r="AI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XEY468" s="27"/>
      <c r="XEZ468" s="27"/>
      <c r="XFA468" s="27"/>
      <c r="XFB468" s="27"/>
      <c r="XFC468" s="27"/>
      <c r="XFD468" s="27"/>
    </row>
    <row r="469" s="42" customFormat="true" ht="14.15" hidden="false" customHeight="true" outlineLevel="0" collapsed="false">
      <c r="A469" s="28" t="s">
        <v>3228</v>
      </c>
      <c r="B469" s="29" t="s">
        <v>170</v>
      </c>
      <c r="C469" s="29" t="s">
        <v>3229</v>
      </c>
      <c r="D469" s="30" t="s">
        <v>112</v>
      </c>
      <c r="E469" s="31"/>
      <c r="F469" s="32" t="n">
        <v>44</v>
      </c>
      <c r="G469" s="31" t="s">
        <v>215</v>
      </c>
      <c r="H469" s="31" t="n">
        <v>3</v>
      </c>
      <c r="I469" s="31" t="s">
        <v>435</v>
      </c>
      <c r="J469" s="29"/>
      <c r="K469" s="29" t="s">
        <v>3230</v>
      </c>
      <c r="L469" s="32" t="n">
        <v>46</v>
      </c>
      <c r="M469" s="33" t="s">
        <v>3231</v>
      </c>
      <c r="N469" s="34" t="n">
        <v>75016</v>
      </c>
      <c r="O469" s="35" t="s">
        <v>55</v>
      </c>
      <c r="P469" s="36" t="s">
        <v>3232</v>
      </c>
      <c r="Q469" s="36" t="n">
        <v>2</v>
      </c>
      <c r="R469" s="32" t="n">
        <v>195</v>
      </c>
      <c r="S469" s="32" t="n">
        <v>3</v>
      </c>
      <c r="T469" s="32"/>
      <c r="U469" s="32"/>
      <c r="V469" s="37"/>
      <c r="W469" s="32"/>
      <c r="X469" s="34"/>
      <c r="Y469" s="34"/>
      <c r="Z469" s="32"/>
      <c r="AA469" s="32" t="s">
        <v>3233</v>
      </c>
      <c r="AB469" s="32" t="s">
        <v>3234</v>
      </c>
      <c r="AC469" s="38" t="str">
        <f aca="false">HYPERLINK("https://biocodex6--c.vf.force.com/0014L00000KFX8aQAH", "DESMOULINS CAROLE")</f>
        <v>DESMOULINS CAROLE</v>
      </c>
      <c r="AD469" s="38" t="str">
        <f aca="false">HYPERLINK("https://annuairesante.ameli.fr/professionnels-de-sante/recherche/fiche-detaillee-B7c1mzo5MDCx.html", "DESMOULINS CAROLE")</f>
        <v>DESMOULINS CAROLE</v>
      </c>
      <c r="AE469" s="39"/>
      <c r="AF469" s="40"/>
      <c r="AG469" s="41"/>
      <c r="AH469" s="32"/>
      <c r="AI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XEY469" s="27"/>
      <c r="XEZ469" s="27"/>
      <c r="XFA469" s="27"/>
      <c r="XFB469" s="27"/>
      <c r="XFC469" s="27"/>
      <c r="XFD469" s="27"/>
    </row>
    <row r="470" s="42" customFormat="true" ht="14.15" hidden="false" customHeight="true" outlineLevel="0" collapsed="false">
      <c r="A470" s="28" t="s">
        <v>3235</v>
      </c>
      <c r="B470" s="29" t="s">
        <v>773</v>
      </c>
      <c r="C470" s="29" t="s">
        <v>3236</v>
      </c>
      <c r="D470" s="30" t="s">
        <v>50</v>
      </c>
      <c r="E470" s="31"/>
      <c r="F470" s="32"/>
      <c r="G470" s="31"/>
      <c r="H470" s="31" t="n">
        <v>1</v>
      </c>
      <c r="I470" s="31" t="s">
        <v>173</v>
      </c>
      <c r="J470" s="29"/>
      <c r="K470" s="29" t="s">
        <v>3237</v>
      </c>
      <c r="L470" s="32" t="n">
        <v>57</v>
      </c>
      <c r="M470" s="33" t="s">
        <v>1888</v>
      </c>
      <c r="N470" s="34" t="n">
        <v>75016</v>
      </c>
      <c r="O470" s="35" t="s">
        <v>55</v>
      </c>
      <c r="P470" s="36" t="s">
        <v>3238</v>
      </c>
      <c r="Q470" s="36" t="n">
        <v>3</v>
      </c>
      <c r="R470" s="32" t="n">
        <v>192</v>
      </c>
      <c r="S470" s="32" t="n">
        <v>3</v>
      </c>
      <c r="T470" s="32"/>
      <c r="U470" s="32"/>
      <c r="V470" s="37"/>
      <c r="W470" s="32"/>
      <c r="X470" s="34"/>
      <c r="Y470" s="34"/>
      <c r="Z470" s="32"/>
      <c r="AA470" s="32" t="s">
        <v>3239</v>
      </c>
      <c r="AB470" s="32"/>
      <c r="AC470" s="38" t="str">
        <f aca="false">HYPERLINK("https://biocodex6--c.vf.force.com/0014L00000KFy55QAD", "POUGET THOMAS")</f>
        <v>POUGET THOMAS</v>
      </c>
      <c r="AD470" s="38"/>
      <c r="AE470" s="39"/>
      <c r="AF470" s="40"/>
      <c r="AG470" s="41"/>
      <c r="AH470" s="32"/>
      <c r="AI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XEY470" s="27"/>
      <c r="XEZ470" s="27"/>
      <c r="XFA470" s="27"/>
      <c r="XFB470" s="27"/>
      <c r="XFC470" s="27"/>
      <c r="XFD470" s="27"/>
    </row>
    <row r="471" s="42" customFormat="true" ht="14.15" hidden="false" customHeight="true" outlineLevel="0" collapsed="false">
      <c r="A471" s="28" t="s">
        <v>3240</v>
      </c>
      <c r="B471" s="29" t="s">
        <v>1365</v>
      </c>
      <c r="C471" s="29" t="s">
        <v>3241</v>
      </c>
      <c r="D471" s="30" t="s">
        <v>268</v>
      </c>
      <c r="E471" s="31"/>
      <c r="F471" s="32" t="n">
        <v>38</v>
      </c>
      <c r="G471" s="31"/>
      <c r="H471" s="31" t="n">
        <v>1</v>
      </c>
      <c r="I471" s="31" t="s">
        <v>387</v>
      </c>
      <c r="J471" s="29" t="s">
        <v>3242</v>
      </c>
      <c r="K471" s="29" t="s">
        <v>3243</v>
      </c>
      <c r="L471" s="32" t="n">
        <v>11</v>
      </c>
      <c r="M471" s="33" t="s">
        <v>3244</v>
      </c>
      <c r="N471" s="34" t="n">
        <v>75016</v>
      </c>
      <c r="O471" s="35" t="s">
        <v>55</v>
      </c>
      <c r="P471" s="36" t="s">
        <v>3245</v>
      </c>
      <c r="Q471" s="36" t="n">
        <v>15</v>
      </c>
      <c r="R471" s="32" t="n">
        <v>190</v>
      </c>
      <c r="S471" s="32" t="n">
        <v>3</v>
      </c>
      <c r="T471" s="32"/>
      <c r="U471" s="32"/>
      <c r="V471" s="37"/>
      <c r="W471" s="32"/>
      <c r="X471" s="34"/>
      <c r="Y471" s="34"/>
      <c r="Z471" s="36"/>
      <c r="AA471" s="32" t="s">
        <v>3246</v>
      </c>
      <c r="AB471" s="32"/>
      <c r="AC471" s="38" t="str">
        <f aca="false">HYPERLINK("https://biocodex6--c.vf.force.com/0014L00000KFLYwQAP", "DIARD DETOEUF CAPUCINE")</f>
        <v>DIARD DETOEUF CAPUCINE</v>
      </c>
      <c r="AD471" s="38"/>
      <c r="AE471" s="39"/>
      <c r="AF471" s="40"/>
      <c r="AG471" s="41"/>
      <c r="AH471" s="32" t="s">
        <v>179</v>
      </c>
      <c r="AI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XEY471" s="27"/>
      <c r="XEZ471" s="27"/>
      <c r="XFA471" s="27"/>
      <c r="XFB471" s="27"/>
      <c r="XFC471" s="27"/>
      <c r="XFD471" s="27"/>
    </row>
    <row r="472" s="42" customFormat="true" ht="14.15" hidden="false" customHeight="true" outlineLevel="0" collapsed="false">
      <c r="A472" s="28" t="s">
        <v>3247</v>
      </c>
      <c r="B472" s="29" t="s">
        <v>3248</v>
      </c>
      <c r="C472" s="29" t="s">
        <v>3249</v>
      </c>
      <c r="D472" s="30" t="s">
        <v>112</v>
      </c>
      <c r="E472" s="31"/>
      <c r="F472" s="32" t="n">
        <v>60</v>
      </c>
      <c r="G472" s="31"/>
      <c r="H472" s="31" t="n">
        <v>1</v>
      </c>
      <c r="I472" s="31" t="s">
        <v>197</v>
      </c>
      <c r="J472" s="29"/>
      <c r="K472" s="29" t="s">
        <v>2796</v>
      </c>
      <c r="L472" s="32" t="n">
        <v>19</v>
      </c>
      <c r="M472" s="33" t="s">
        <v>2797</v>
      </c>
      <c r="N472" s="34" t="n">
        <v>75017</v>
      </c>
      <c r="O472" s="35" t="s">
        <v>55</v>
      </c>
      <c r="P472" s="36" t="s">
        <v>2798</v>
      </c>
      <c r="Q472" s="36" t="n">
        <v>2</v>
      </c>
      <c r="R472" s="32" t="n">
        <v>179</v>
      </c>
      <c r="S472" s="32" t="n">
        <v>3</v>
      </c>
      <c r="T472" s="32"/>
      <c r="U472" s="32" t="n">
        <v>3</v>
      </c>
      <c r="V472" s="37"/>
      <c r="W472" s="32" t="n">
        <v>3</v>
      </c>
      <c r="X472" s="34"/>
      <c r="Y472" s="34" t="n">
        <v>2</v>
      </c>
      <c r="Z472" s="32"/>
      <c r="AA472" s="32" t="s">
        <v>3250</v>
      </c>
      <c r="AB472" s="32"/>
      <c r="AC472" s="38" t="str">
        <f aca="false">HYPERLINK("https://biocodex6--c.vf.force.com/0014L00000KG1G0QAL", "JABY SERGENT MARIE PIERRE")</f>
        <v>JABY SERGENT MARIE PIERRE</v>
      </c>
      <c r="AD472" s="38"/>
      <c r="AE472" s="39"/>
      <c r="AF472" s="40"/>
      <c r="AG472" s="41"/>
      <c r="AH472" s="32"/>
      <c r="AI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XEY472" s="27"/>
      <c r="XEZ472" s="27"/>
      <c r="XFA472" s="27"/>
      <c r="XFB472" s="27"/>
      <c r="XFC472" s="27"/>
      <c r="XFD472" s="27"/>
    </row>
    <row r="473" s="42" customFormat="true" ht="14.15" hidden="false" customHeight="true" outlineLevel="0" collapsed="false">
      <c r="A473" s="28" t="s">
        <v>3251</v>
      </c>
      <c r="B473" s="29" t="s">
        <v>2941</v>
      </c>
      <c r="C473" s="29" t="s">
        <v>3252</v>
      </c>
      <c r="D473" s="30" t="s">
        <v>112</v>
      </c>
      <c r="E473" s="31"/>
      <c r="F473" s="32" t="n">
        <v>52</v>
      </c>
      <c r="G473" s="31"/>
      <c r="H473" s="31" t="n">
        <v>1</v>
      </c>
      <c r="I473" s="31" t="s">
        <v>435</v>
      </c>
      <c r="J473" s="29"/>
      <c r="K473" s="29" t="s">
        <v>3230</v>
      </c>
      <c r="L473" s="32" t="n">
        <v>46</v>
      </c>
      <c r="M473" s="33" t="s">
        <v>3231</v>
      </c>
      <c r="N473" s="34" t="n">
        <v>75016</v>
      </c>
      <c r="O473" s="35" t="s">
        <v>55</v>
      </c>
      <c r="P473" s="36" t="s">
        <v>3253</v>
      </c>
      <c r="Q473" s="36" t="n">
        <v>2</v>
      </c>
      <c r="R473" s="32" t="n">
        <v>173</v>
      </c>
      <c r="S473" s="32" t="n">
        <v>3</v>
      </c>
      <c r="T473" s="32"/>
      <c r="U473" s="32"/>
      <c r="V473" s="37"/>
      <c r="W473" s="32"/>
      <c r="X473" s="34"/>
      <c r="Y473" s="34"/>
      <c r="Z473" s="32"/>
      <c r="AA473" s="32" t="s">
        <v>3254</v>
      </c>
      <c r="AB473" s="32"/>
      <c r="AC473" s="38" t="str">
        <f aca="false">HYPERLINK("https://biocodex6--c.vf.force.com/0014L00000KFgSaQAL", "FAESCH GERARD SABINE")</f>
        <v>FAESCH GERARD SABINE</v>
      </c>
      <c r="AD473" s="38"/>
      <c r="AE473" s="39"/>
      <c r="AF473" s="40"/>
      <c r="AG473" s="41"/>
      <c r="AH473" s="32"/>
      <c r="AI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XEY473" s="27"/>
      <c r="XEZ473" s="27"/>
      <c r="XFA473" s="27"/>
      <c r="XFB473" s="27"/>
      <c r="XFC473" s="27"/>
      <c r="XFD473" s="27"/>
    </row>
    <row r="474" s="42" customFormat="true" ht="14.15" hidden="false" customHeight="true" outlineLevel="0" collapsed="false">
      <c r="A474" s="28" t="s">
        <v>3255</v>
      </c>
      <c r="B474" s="29" t="s">
        <v>3256</v>
      </c>
      <c r="C474" s="29" t="s">
        <v>3257</v>
      </c>
      <c r="D474" s="30" t="s">
        <v>50</v>
      </c>
      <c r="E474" s="31"/>
      <c r="F474" s="32" t="n">
        <v>37</v>
      </c>
      <c r="G474" s="31" t="s">
        <v>215</v>
      </c>
      <c r="H474" s="31" t="n">
        <v>1</v>
      </c>
      <c r="I474" s="31" t="s">
        <v>51</v>
      </c>
      <c r="J474" s="29"/>
      <c r="K474" s="29" t="s">
        <v>3258</v>
      </c>
      <c r="L474" s="32" t="n">
        <v>4</v>
      </c>
      <c r="M474" s="33" t="s">
        <v>3259</v>
      </c>
      <c r="N474" s="34" t="n">
        <v>75015</v>
      </c>
      <c r="O474" s="35" t="s">
        <v>55</v>
      </c>
      <c r="P474" s="36"/>
      <c r="Q474" s="36" t="n">
        <v>3</v>
      </c>
      <c r="R474" s="32" t="n">
        <v>168</v>
      </c>
      <c r="S474" s="32" t="n">
        <v>3</v>
      </c>
      <c r="T474" s="32"/>
      <c r="U474" s="32"/>
      <c r="V474" s="37"/>
      <c r="W474" s="32"/>
      <c r="X474" s="34"/>
      <c r="Y474" s="34"/>
      <c r="Z474" s="36"/>
      <c r="AA474" s="32" t="s">
        <v>3260</v>
      </c>
      <c r="AB474" s="32" t="s">
        <v>3261</v>
      </c>
      <c r="AC474" s="38" t="str">
        <f aca="false">HYPERLINK("https://biocodex6--c.vf.force.com/0014L00000KFPBWQA5", "DENIS ROXANE")</f>
        <v>DENIS ROXANE</v>
      </c>
      <c r="AD474" s="38" t="str">
        <f aca="false">HYPERLINK("https://annuairesante.ameli.fr/professionnels-de-sante/recherche/fiche-detaillee-B7c1lTYzMjO2.html", "DENIS ROXANE")</f>
        <v>DENIS ROXANE</v>
      </c>
      <c r="AE474" s="39"/>
      <c r="AF474" s="40"/>
      <c r="AG474" s="41"/>
      <c r="AH474" s="32" t="s">
        <v>179</v>
      </c>
      <c r="AI474" s="32"/>
      <c r="AL474" s="43" t="s">
        <v>909</v>
      </c>
      <c r="AM474" s="43" t="s">
        <v>1292</v>
      </c>
      <c r="AN474" s="43" t="s">
        <v>909</v>
      </c>
      <c r="AO474" s="43" t="s">
        <v>1292</v>
      </c>
      <c r="AP474" s="43" t="s">
        <v>909</v>
      </c>
      <c r="AQ474" s="43" t="s">
        <v>1292</v>
      </c>
      <c r="AR474" s="43" t="s">
        <v>909</v>
      </c>
      <c r="AS474" s="43" t="s">
        <v>1292</v>
      </c>
      <c r="AT474" s="32"/>
      <c r="AU474" s="32"/>
      <c r="XEY474" s="27"/>
      <c r="XEZ474" s="27"/>
      <c r="XFA474" s="27"/>
      <c r="XFB474" s="27"/>
      <c r="XFC474" s="27"/>
      <c r="XFD474" s="27"/>
    </row>
    <row r="475" s="42" customFormat="true" ht="14.15" hidden="false" customHeight="true" outlineLevel="0" collapsed="false">
      <c r="A475" s="28" t="s">
        <v>3262</v>
      </c>
      <c r="B475" s="29" t="s">
        <v>3263</v>
      </c>
      <c r="C475" s="29" t="s">
        <v>3264</v>
      </c>
      <c r="D475" s="30" t="s">
        <v>50</v>
      </c>
      <c r="E475" s="31"/>
      <c r="F475" s="32" t="n">
        <v>34</v>
      </c>
      <c r="G475" s="31"/>
      <c r="H475" s="31" t="n">
        <v>1</v>
      </c>
      <c r="I475" s="31" t="s">
        <v>99</v>
      </c>
      <c r="J475" s="29" t="s">
        <v>595</v>
      </c>
      <c r="K475" s="29" t="s">
        <v>596</v>
      </c>
      <c r="L475" s="32" t="n">
        <v>20</v>
      </c>
      <c r="M475" s="33" t="s">
        <v>597</v>
      </c>
      <c r="N475" s="34" t="n">
        <v>75015</v>
      </c>
      <c r="O475" s="35" t="s">
        <v>55</v>
      </c>
      <c r="P475" s="36" t="s">
        <v>2574</v>
      </c>
      <c r="Q475" s="36" t="n">
        <v>90</v>
      </c>
      <c r="R475" s="32" t="n">
        <v>163</v>
      </c>
      <c r="S475" s="32" t="n">
        <v>3</v>
      </c>
      <c r="T475" s="32"/>
      <c r="U475" s="32"/>
      <c r="V475" s="37"/>
      <c r="W475" s="32"/>
      <c r="X475" s="34"/>
      <c r="Y475" s="34"/>
      <c r="Z475" s="32"/>
      <c r="AA475" s="32" t="s">
        <v>3265</v>
      </c>
      <c r="AB475" s="32"/>
      <c r="AC475" s="38" t="str">
        <f aca="false">HYPERLINK("https://biocodex6--c.vf.force.com/0014L00000KGEM3QAP", "DETRICHE GREGOIRE")</f>
        <v>DETRICHE GREGOIRE</v>
      </c>
      <c r="AD475" s="38"/>
      <c r="AE475" s="39"/>
      <c r="AF475" s="40"/>
      <c r="AG475" s="41"/>
      <c r="AH475" s="32"/>
      <c r="AI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XEY475" s="27"/>
      <c r="XEZ475" s="27"/>
      <c r="XFA475" s="27"/>
      <c r="XFB475" s="27"/>
      <c r="XFC475" s="27"/>
      <c r="XFD475" s="27"/>
    </row>
    <row r="476" s="42" customFormat="true" ht="14.15" hidden="false" customHeight="true" outlineLevel="0" collapsed="false">
      <c r="A476" s="28" t="s">
        <v>3266</v>
      </c>
      <c r="B476" s="29" t="s">
        <v>1438</v>
      </c>
      <c r="C476" s="29" t="s">
        <v>3267</v>
      </c>
      <c r="D476" s="30" t="s">
        <v>50</v>
      </c>
      <c r="E476" s="31"/>
      <c r="F476" s="32" t="n">
        <v>46</v>
      </c>
      <c r="G476" s="31"/>
      <c r="H476" s="31" t="n">
        <v>1</v>
      </c>
      <c r="I476" s="31" t="s">
        <v>295</v>
      </c>
      <c r="J476" s="29" t="s">
        <v>489</v>
      </c>
      <c r="K476" s="29" t="s">
        <v>1183</v>
      </c>
      <c r="L476" s="32" t="n">
        <v>4</v>
      </c>
      <c r="M476" s="33" t="s">
        <v>297</v>
      </c>
      <c r="N476" s="34" t="n">
        <v>92300</v>
      </c>
      <c r="O476" s="35" t="s">
        <v>298</v>
      </c>
      <c r="P476" s="36" t="s">
        <v>1184</v>
      </c>
      <c r="Q476" s="36" t="n">
        <v>27</v>
      </c>
      <c r="R476" s="32" t="n">
        <v>161</v>
      </c>
      <c r="S476" s="32" t="n">
        <v>3</v>
      </c>
      <c r="T476" s="32"/>
      <c r="U476" s="32"/>
      <c r="V476" s="37"/>
      <c r="W476" s="32"/>
      <c r="X476" s="34"/>
      <c r="Y476" s="34"/>
      <c r="Z476" s="32"/>
      <c r="AA476" s="32" t="s">
        <v>3268</v>
      </c>
      <c r="AB476" s="32"/>
      <c r="AC476" s="38" t="str">
        <f aca="false">HYPERLINK("https://biocodex6--c.vf.force.com/0014L00000KG0v8QAD", "CELERIER JULIE")</f>
        <v>CELERIER JULIE</v>
      </c>
      <c r="AD476" s="38"/>
      <c r="AE476" s="39"/>
      <c r="AF476" s="40"/>
      <c r="AG476" s="41"/>
      <c r="AH476" s="32"/>
      <c r="AI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XEY476" s="27"/>
      <c r="XEZ476" s="27"/>
      <c r="XFA476" s="27"/>
      <c r="XFB476" s="27"/>
      <c r="XFC476" s="27"/>
      <c r="XFD476" s="27"/>
    </row>
    <row r="477" s="42" customFormat="true" ht="14.15" hidden="false" customHeight="true" outlineLevel="0" collapsed="false">
      <c r="A477" s="28" t="s">
        <v>3269</v>
      </c>
      <c r="B477" s="29" t="s">
        <v>3270</v>
      </c>
      <c r="C477" s="29" t="s">
        <v>3271</v>
      </c>
      <c r="D477" s="30" t="s">
        <v>244</v>
      </c>
      <c r="E477" s="30" t="s">
        <v>245</v>
      </c>
      <c r="F477" s="32" t="n">
        <v>68</v>
      </c>
      <c r="G477" s="31" t="s">
        <v>215</v>
      </c>
      <c r="H477" s="31" t="n">
        <v>1</v>
      </c>
      <c r="I477" s="31" t="s">
        <v>435</v>
      </c>
      <c r="J477" s="29"/>
      <c r="K477" s="29" t="s">
        <v>3118</v>
      </c>
      <c r="L477" s="32" t="n">
        <v>46</v>
      </c>
      <c r="M477" s="33" t="s">
        <v>1450</v>
      </c>
      <c r="N477" s="34" t="n">
        <v>75016</v>
      </c>
      <c r="O477" s="35" t="s">
        <v>55</v>
      </c>
      <c r="P477" s="36" t="s">
        <v>3272</v>
      </c>
      <c r="Q477" s="36" t="n">
        <v>14</v>
      </c>
      <c r="R477" s="32" t="n">
        <v>159</v>
      </c>
      <c r="S477" s="32" t="n">
        <v>3</v>
      </c>
      <c r="T477" s="32"/>
      <c r="U477" s="32"/>
      <c r="V477" s="37" t="n">
        <v>3</v>
      </c>
      <c r="W477" s="32"/>
      <c r="X477" s="34"/>
      <c r="Y477" s="34"/>
      <c r="Z477" s="36" t="s">
        <v>3273</v>
      </c>
      <c r="AA477" s="32" t="s">
        <v>3274</v>
      </c>
      <c r="AB477" s="32" t="s">
        <v>3275</v>
      </c>
      <c r="AC477" s="38" t="str">
        <f aca="false">HYPERLINK("https://biocodex6--c.vf.force.com/0014L00000KFWV4QAP", "CHEVRANT BRETON ANDRE")</f>
        <v>CHEVRANT BRETON ANDRE</v>
      </c>
      <c r="AD477" s="38" t="str">
        <f aca="false">HYPERLINK("https://annuairesante.ameli.fr/professionnels-de-sante/recherche/fiche-detaillee-B7c1mjA0MjS0.html", "CHEVRANT BRETON ANDRE")</f>
        <v>CHEVRANT BRETON ANDRE</v>
      </c>
      <c r="AE477" s="39"/>
      <c r="AF477" s="40"/>
      <c r="AG477" s="41"/>
      <c r="AH477" s="32" t="s">
        <v>179</v>
      </c>
      <c r="AI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XEY477" s="27"/>
      <c r="XEZ477" s="27"/>
      <c r="XFA477" s="27"/>
      <c r="XFB477" s="27"/>
      <c r="XFC477" s="27"/>
      <c r="XFD477" s="27"/>
    </row>
    <row r="478" s="42" customFormat="true" ht="14.15" hidden="false" customHeight="true" outlineLevel="0" collapsed="false">
      <c r="A478" s="28" t="s">
        <v>3276</v>
      </c>
      <c r="B478" s="29" t="s">
        <v>376</v>
      </c>
      <c r="C478" s="29" t="s">
        <v>3277</v>
      </c>
      <c r="D478" s="30" t="s">
        <v>50</v>
      </c>
      <c r="E478" s="30" t="s">
        <v>3278</v>
      </c>
      <c r="F478" s="32" t="n">
        <v>40</v>
      </c>
      <c r="G478" s="31"/>
      <c r="H478" s="31" t="n">
        <v>3</v>
      </c>
      <c r="I478" s="31" t="s">
        <v>173</v>
      </c>
      <c r="J478" s="29" t="s">
        <v>1331</v>
      </c>
      <c r="K478" s="29" t="s">
        <v>596</v>
      </c>
      <c r="L478" s="32" t="n">
        <v>20</v>
      </c>
      <c r="M478" s="33" t="s">
        <v>597</v>
      </c>
      <c r="N478" s="34" t="n">
        <v>75016</v>
      </c>
      <c r="O478" s="35" t="s">
        <v>55</v>
      </c>
      <c r="P478" s="36" t="s">
        <v>3279</v>
      </c>
      <c r="Q478" s="36" t="n">
        <v>1</v>
      </c>
      <c r="R478" s="32" t="n">
        <v>159</v>
      </c>
      <c r="S478" s="32" t="n">
        <v>3</v>
      </c>
      <c r="T478" s="32"/>
      <c r="U478" s="32"/>
      <c r="V478" s="37"/>
      <c r="W478" s="32"/>
      <c r="X478" s="34"/>
      <c r="Y478" s="34"/>
      <c r="Z478" s="36"/>
      <c r="AA478" s="32" t="s">
        <v>3280</v>
      </c>
      <c r="AB478" s="32"/>
      <c r="AC478" s="38" t="str">
        <f aca="false">HYPERLINK("https://biocodex6--c.vf.force.com/0014L00000KFLbnQAH", "GALLOULA ALEXANDRE")</f>
        <v>GALLOULA ALEXANDRE</v>
      </c>
      <c r="AD478" s="38"/>
      <c r="AE478" s="39"/>
      <c r="AF478" s="40"/>
      <c r="AG478" s="41"/>
      <c r="AH478" s="32" t="s">
        <v>179</v>
      </c>
      <c r="AI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XEY478" s="27"/>
      <c r="XEZ478" s="27"/>
      <c r="XFA478" s="27"/>
      <c r="XFB478" s="27"/>
      <c r="XFC478" s="27"/>
      <c r="XFD478" s="27"/>
    </row>
    <row r="479" s="42" customFormat="true" ht="14.15" hidden="false" customHeight="true" outlineLevel="0" collapsed="false">
      <c r="A479" s="28" t="s">
        <v>1534</v>
      </c>
      <c r="B479" s="29" t="s">
        <v>3281</v>
      </c>
      <c r="C479" s="29" t="s">
        <v>3282</v>
      </c>
      <c r="D479" s="30" t="s">
        <v>112</v>
      </c>
      <c r="E479" s="30" t="s">
        <v>113</v>
      </c>
      <c r="F479" s="32" t="n">
        <v>38</v>
      </c>
      <c r="G479" s="31" t="s">
        <v>215</v>
      </c>
      <c r="H479" s="31" t="n">
        <v>2</v>
      </c>
      <c r="I479" s="31" t="s">
        <v>62</v>
      </c>
      <c r="J479" s="29" t="s">
        <v>3283</v>
      </c>
      <c r="K479" s="29" t="s">
        <v>3284</v>
      </c>
      <c r="L479" s="32" t="n">
        <v>66</v>
      </c>
      <c r="M479" s="33" t="s">
        <v>1125</v>
      </c>
      <c r="N479" s="34" t="n">
        <v>75017</v>
      </c>
      <c r="O479" s="35" t="s">
        <v>55</v>
      </c>
      <c r="P479" s="36"/>
      <c r="Q479" s="36" t="n">
        <v>5</v>
      </c>
      <c r="R479" s="32" t="n">
        <v>158</v>
      </c>
      <c r="S479" s="32" t="n">
        <v>3</v>
      </c>
      <c r="T479" s="32"/>
      <c r="U479" s="32"/>
      <c r="V479" s="37"/>
      <c r="W479" s="32"/>
      <c r="X479" s="34"/>
      <c r="Y479" s="34"/>
      <c r="Z479" s="32"/>
      <c r="AA479" s="32" t="s">
        <v>3285</v>
      </c>
      <c r="AB479" s="32" t="s">
        <v>3286</v>
      </c>
      <c r="AC479" s="38" t="str">
        <f aca="false">HYPERLINK("https://biocodex6--c.vf.force.com/0014L00000KFKwDQAX", "GERARD MAXIME")</f>
        <v>GERARD MAXIME</v>
      </c>
      <c r="AD479" s="38" t="str">
        <f aca="false">HYPERLINK("https://annuairesante.ameli.fr/professionnels-de-sante/recherche/fiche-detaillee-B7c1kjYxOTWx.html", "GERARD MAXIME")</f>
        <v>GERARD MAXIME</v>
      </c>
      <c r="AE479" s="39"/>
      <c r="AF479" s="40"/>
      <c r="AG479" s="41"/>
      <c r="AH479" s="32"/>
      <c r="AI479" s="32"/>
      <c r="AL479" s="32"/>
      <c r="AM479" s="43" t="s">
        <v>792</v>
      </c>
      <c r="AN479" s="43" t="s">
        <v>822</v>
      </c>
      <c r="AO479" s="43" t="s">
        <v>661</v>
      </c>
      <c r="AP479" s="43" t="s">
        <v>263</v>
      </c>
      <c r="AQ479" s="32"/>
      <c r="AR479" s="43" t="s">
        <v>822</v>
      </c>
      <c r="AS479" s="43" t="s">
        <v>661</v>
      </c>
      <c r="AT479" s="43" t="s">
        <v>822</v>
      </c>
      <c r="AU479" s="43" t="s">
        <v>661</v>
      </c>
      <c r="XEY479" s="27"/>
      <c r="XEZ479" s="27"/>
      <c r="XFA479" s="27"/>
      <c r="XFB479" s="27"/>
      <c r="XFC479" s="27"/>
      <c r="XFD479" s="27"/>
    </row>
    <row r="480" s="42" customFormat="true" ht="14.15" hidden="false" customHeight="true" outlineLevel="0" collapsed="false">
      <c r="A480" s="28" t="s">
        <v>3287</v>
      </c>
      <c r="B480" s="29" t="s">
        <v>839</v>
      </c>
      <c r="C480" s="29" t="s">
        <v>3288</v>
      </c>
      <c r="D480" s="30" t="s">
        <v>50</v>
      </c>
      <c r="E480" s="30" t="s">
        <v>3289</v>
      </c>
      <c r="F480" s="32" t="n">
        <v>64</v>
      </c>
      <c r="G480" s="31"/>
      <c r="H480" s="31" t="n">
        <v>1</v>
      </c>
      <c r="I480" s="31" t="s">
        <v>295</v>
      </c>
      <c r="J480" s="29" t="s">
        <v>489</v>
      </c>
      <c r="K480" s="29" t="s">
        <v>1183</v>
      </c>
      <c r="L480" s="32" t="n">
        <v>4</v>
      </c>
      <c r="M480" s="33" t="s">
        <v>297</v>
      </c>
      <c r="N480" s="34" t="n">
        <v>92300</v>
      </c>
      <c r="O480" s="35" t="s">
        <v>298</v>
      </c>
      <c r="P480" s="36" t="s">
        <v>3290</v>
      </c>
      <c r="Q480" s="36" t="n">
        <v>27</v>
      </c>
      <c r="R480" s="32" t="n">
        <v>156</v>
      </c>
      <c r="S480" s="32" t="n">
        <v>3</v>
      </c>
      <c r="T480" s="32"/>
      <c r="U480" s="32"/>
      <c r="V480" s="37"/>
      <c r="W480" s="32"/>
      <c r="X480" s="34"/>
      <c r="Y480" s="34"/>
      <c r="Z480" s="32"/>
      <c r="AA480" s="32" t="s">
        <v>3291</v>
      </c>
      <c r="AB480" s="32"/>
      <c r="AC480" s="38" t="str">
        <f aca="false">HYPERLINK("https://biocodex6--c.vf.force.com/0014L00000KFe9RQAT", "FORCE GILLES")</f>
        <v>FORCE GILLES</v>
      </c>
      <c r="AD480" s="38"/>
      <c r="AE480" s="39" t="n">
        <v>45223.5625</v>
      </c>
      <c r="AF480" s="40"/>
      <c r="AG480" s="41"/>
      <c r="AH480" s="32"/>
      <c r="AI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XEY480" s="27"/>
      <c r="XEZ480" s="27"/>
      <c r="XFA480" s="27"/>
      <c r="XFB480" s="27"/>
      <c r="XFC480" s="27"/>
      <c r="XFD480" s="27"/>
    </row>
    <row r="481" s="42" customFormat="true" ht="14.15" hidden="false" customHeight="true" outlineLevel="0" collapsed="false">
      <c r="A481" s="28" t="s">
        <v>3292</v>
      </c>
      <c r="B481" s="29" t="s">
        <v>3293</v>
      </c>
      <c r="C481" s="29" t="s">
        <v>3294</v>
      </c>
      <c r="D481" s="30" t="s">
        <v>50</v>
      </c>
      <c r="E481" s="30" t="s">
        <v>2281</v>
      </c>
      <c r="F481" s="32" t="n">
        <v>42</v>
      </c>
      <c r="G481" s="31"/>
      <c r="H481" s="31" t="n">
        <v>1</v>
      </c>
      <c r="I481" s="31" t="s">
        <v>295</v>
      </c>
      <c r="J481" s="29" t="s">
        <v>489</v>
      </c>
      <c r="K481" s="29" t="s">
        <v>1183</v>
      </c>
      <c r="L481" s="32" t="n">
        <v>4</v>
      </c>
      <c r="M481" s="33" t="s">
        <v>297</v>
      </c>
      <c r="N481" s="34" t="n">
        <v>92300</v>
      </c>
      <c r="O481" s="35" t="s">
        <v>298</v>
      </c>
      <c r="P481" s="36" t="s">
        <v>1184</v>
      </c>
      <c r="Q481" s="36" t="n">
        <v>27</v>
      </c>
      <c r="R481" s="32" t="n">
        <v>156</v>
      </c>
      <c r="S481" s="32" t="n">
        <v>3</v>
      </c>
      <c r="T481" s="32"/>
      <c r="U481" s="32"/>
      <c r="V481" s="37"/>
      <c r="W481" s="32"/>
      <c r="X481" s="34"/>
      <c r="Y481" s="34"/>
      <c r="Z481" s="32"/>
      <c r="AA481" s="32" t="s">
        <v>3295</v>
      </c>
      <c r="AB481" s="32"/>
      <c r="AC481" s="38" t="str">
        <f aca="false">HYPERLINK("https://biocodex6--c.vf.force.com/0014L00000KFtjSQAT", "MOUZAOUI MOURAD")</f>
        <v>MOUZAOUI MOURAD</v>
      </c>
      <c r="AD481" s="38"/>
      <c r="AE481" s="39"/>
      <c r="AF481" s="40"/>
      <c r="AG481" s="41"/>
      <c r="AH481" s="32"/>
      <c r="AI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XEY481" s="27"/>
      <c r="XEZ481" s="27"/>
      <c r="XFA481" s="27"/>
      <c r="XFB481" s="27"/>
      <c r="XFC481" s="27"/>
      <c r="XFD481" s="27"/>
    </row>
    <row r="482" s="42" customFormat="true" ht="14.15" hidden="false" customHeight="true" outlineLevel="0" collapsed="false">
      <c r="A482" s="28" t="s">
        <v>3296</v>
      </c>
      <c r="B482" s="29" t="s">
        <v>332</v>
      </c>
      <c r="C482" s="29" t="s">
        <v>3297</v>
      </c>
      <c r="D482" s="30" t="s">
        <v>50</v>
      </c>
      <c r="E482" s="30" t="s">
        <v>344</v>
      </c>
      <c r="F482" s="32" t="n">
        <v>65</v>
      </c>
      <c r="G482" s="31" t="s">
        <v>98</v>
      </c>
      <c r="H482" s="31" t="n">
        <v>3</v>
      </c>
      <c r="I482" s="31" t="s">
        <v>173</v>
      </c>
      <c r="J482" s="29"/>
      <c r="K482" s="29" t="s">
        <v>3298</v>
      </c>
      <c r="L482" s="32" t="n">
        <v>122</v>
      </c>
      <c r="M482" s="33" t="s">
        <v>3299</v>
      </c>
      <c r="N482" s="34" t="n">
        <v>75016</v>
      </c>
      <c r="O482" s="35" t="s">
        <v>55</v>
      </c>
      <c r="P482" s="36" t="s">
        <v>3300</v>
      </c>
      <c r="Q482" s="36" t="n">
        <v>1</v>
      </c>
      <c r="R482" s="32" t="n">
        <v>155</v>
      </c>
      <c r="S482" s="32" t="n">
        <v>3</v>
      </c>
      <c r="T482" s="32"/>
      <c r="U482" s="32"/>
      <c r="V482" s="37"/>
      <c r="W482" s="32"/>
      <c r="X482" s="34" t="n">
        <v>1</v>
      </c>
      <c r="Y482" s="34" t="n">
        <v>2</v>
      </c>
      <c r="Z482" s="32"/>
      <c r="AA482" s="32" t="s">
        <v>3301</v>
      </c>
      <c r="AB482" s="32" t="s">
        <v>3302</v>
      </c>
      <c r="AC482" s="38" t="str">
        <f aca="false">HYPERLINK("https://biocodex6--c.vf.force.com/0014L00000KFjAhQAL", "HUBERMAN COHEN CATHERINE")</f>
        <v>HUBERMAN COHEN CATHERINE</v>
      </c>
      <c r="AD482" s="38" t="str">
        <f aca="false">HYPERLINK("https://annuairesante.ameli.fr/professionnels-de-sante/recherche/fiche-detaillee-B7c1lzQxNzCx.html", "HUBERMAN COHEN CATHERINE")</f>
        <v>HUBERMAN COHEN CATHERINE</v>
      </c>
      <c r="AE482" s="39" t="n">
        <v>45110.5833333333</v>
      </c>
      <c r="AF482" s="40"/>
      <c r="AG482" s="41"/>
      <c r="AH482" s="32"/>
      <c r="AI482" s="32"/>
      <c r="AJ482" s="42" t="s">
        <v>191</v>
      </c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XEY482" s="27"/>
      <c r="XEZ482" s="27"/>
      <c r="XFA482" s="27"/>
      <c r="XFB482" s="27"/>
      <c r="XFC482" s="27"/>
      <c r="XFD482" s="27"/>
    </row>
    <row r="483" s="42" customFormat="true" ht="14.15" hidden="false" customHeight="true" outlineLevel="0" collapsed="false">
      <c r="A483" s="28" t="s">
        <v>3303</v>
      </c>
      <c r="B483" s="29" t="s">
        <v>3304</v>
      </c>
      <c r="C483" s="29" t="s">
        <v>3305</v>
      </c>
      <c r="D483" s="30" t="s">
        <v>112</v>
      </c>
      <c r="E483" s="31"/>
      <c r="F483" s="32" t="n">
        <v>62</v>
      </c>
      <c r="G483" s="31" t="s">
        <v>215</v>
      </c>
      <c r="H483" s="31" t="n">
        <v>1</v>
      </c>
      <c r="I483" s="31" t="s">
        <v>99</v>
      </c>
      <c r="J483" s="29"/>
      <c r="K483" s="29" t="s">
        <v>3306</v>
      </c>
      <c r="L483" s="32" t="n">
        <v>38</v>
      </c>
      <c r="M483" s="33" t="s">
        <v>3307</v>
      </c>
      <c r="N483" s="34" t="n">
        <v>75015</v>
      </c>
      <c r="O483" s="35" t="s">
        <v>55</v>
      </c>
      <c r="P483" s="36" t="s">
        <v>3308</v>
      </c>
      <c r="Q483" s="36" t="n">
        <v>1</v>
      </c>
      <c r="R483" s="32" t="n">
        <v>155</v>
      </c>
      <c r="S483" s="32" t="n">
        <v>3</v>
      </c>
      <c r="T483" s="32"/>
      <c r="U483" s="32"/>
      <c r="V483" s="37"/>
      <c r="W483" s="32"/>
      <c r="X483" s="34"/>
      <c r="Y483" s="34"/>
      <c r="Z483" s="36"/>
      <c r="AA483" s="32" t="s">
        <v>3309</v>
      </c>
      <c r="AB483" s="32" t="s">
        <v>3310</v>
      </c>
      <c r="AC483" s="38" t="str">
        <f aca="false">HYPERLINK("https://biocodex6--c.vf.force.com/0014L00000KFYYCQA5", "DANON SYLVIE")</f>
        <v>DANON SYLVIE</v>
      </c>
      <c r="AD483" s="38" t="str">
        <f aca="false">HYPERLINK("https://annuairesante.ameli.fr/professionnels-de-sante/recherche/fiche-detaillee-B7c1lzY0NTKy.html", "DANON SYLVIE")</f>
        <v>DANON SYLVIE</v>
      </c>
      <c r="AE483" s="39"/>
      <c r="AF483" s="40"/>
      <c r="AG483" s="41"/>
      <c r="AH483" s="32" t="s">
        <v>179</v>
      </c>
      <c r="AI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XEY483" s="27"/>
      <c r="XEZ483" s="27"/>
      <c r="XFA483" s="27"/>
      <c r="XFB483" s="27"/>
      <c r="XFC483" s="27"/>
      <c r="XFD483" s="27"/>
    </row>
    <row r="484" s="42" customFormat="true" ht="14.15" hidden="false" customHeight="true" outlineLevel="0" collapsed="false">
      <c r="A484" s="28" t="s">
        <v>3311</v>
      </c>
      <c r="B484" s="29" t="s">
        <v>419</v>
      </c>
      <c r="C484" s="29" t="s">
        <v>3312</v>
      </c>
      <c r="D484" s="30" t="s">
        <v>112</v>
      </c>
      <c r="E484" s="31"/>
      <c r="F484" s="32" t="n">
        <v>73</v>
      </c>
      <c r="G484" s="31"/>
      <c r="H484" s="31" t="n">
        <v>1</v>
      </c>
      <c r="I484" s="31" t="s">
        <v>62</v>
      </c>
      <c r="J484" s="29" t="s">
        <v>2010</v>
      </c>
      <c r="K484" s="29" t="s">
        <v>2011</v>
      </c>
      <c r="L484" s="32" t="n">
        <v>37</v>
      </c>
      <c r="M484" s="33" t="s">
        <v>2012</v>
      </c>
      <c r="N484" s="34" t="n">
        <v>75017</v>
      </c>
      <c r="O484" s="35" t="s">
        <v>55</v>
      </c>
      <c r="P484" s="36" t="s">
        <v>3313</v>
      </c>
      <c r="Q484" s="36" t="n">
        <v>1</v>
      </c>
      <c r="R484" s="32" t="n">
        <v>152</v>
      </c>
      <c r="S484" s="32" t="n">
        <v>3</v>
      </c>
      <c r="T484" s="32"/>
      <c r="U484" s="32"/>
      <c r="V484" s="37"/>
      <c r="W484" s="32"/>
      <c r="X484" s="34"/>
      <c r="Y484" s="34"/>
      <c r="Z484" s="32"/>
      <c r="AA484" s="32" t="s">
        <v>3314</v>
      </c>
      <c r="AB484" s="32"/>
      <c r="AC484" s="38" t="str">
        <f aca="false">HYPERLINK("https://biocodex6--c.vf.force.com/0014L00000KFvleQAD", "PEYREFITTE FLORENCE")</f>
        <v>PEYREFITTE FLORENCE</v>
      </c>
      <c r="AD484" s="38"/>
      <c r="AE484" s="39"/>
      <c r="AF484" s="40"/>
      <c r="AG484" s="41"/>
      <c r="AH484" s="32"/>
      <c r="AI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XEY484" s="27"/>
      <c r="XEZ484" s="27"/>
      <c r="XFA484" s="27"/>
      <c r="XFB484" s="27"/>
      <c r="XFC484" s="27"/>
      <c r="XFD484" s="27"/>
    </row>
    <row r="485" s="42" customFormat="true" ht="14.15" hidden="false" customHeight="true" outlineLevel="0" collapsed="false">
      <c r="A485" s="28" t="s">
        <v>3315</v>
      </c>
      <c r="B485" s="29" t="s">
        <v>3281</v>
      </c>
      <c r="C485" s="29" t="s">
        <v>3316</v>
      </c>
      <c r="D485" s="30" t="s">
        <v>112</v>
      </c>
      <c r="E485" s="31"/>
      <c r="F485" s="32" t="n">
        <v>37</v>
      </c>
      <c r="G485" s="31" t="s">
        <v>215</v>
      </c>
      <c r="H485" s="31" t="n">
        <v>1</v>
      </c>
      <c r="I485" s="31" t="s">
        <v>51</v>
      </c>
      <c r="J485" s="29" t="s">
        <v>52</v>
      </c>
      <c r="K485" s="29" t="s">
        <v>53</v>
      </c>
      <c r="L485" s="32" t="n">
        <v>66</v>
      </c>
      <c r="M485" s="33" t="s">
        <v>1125</v>
      </c>
      <c r="N485" s="34" t="n">
        <v>75015</v>
      </c>
      <c r="O485" s="35" t="s">
        <v>55</v>
      </c>
      <c r="P485" s="36"/>
      <c r="Q485" s="36" t="n">
        <v>1</v>
      </c>
      <c r="R485" s="32" t="n">
        <v>151</v>
      </c>
      <c r="S485" s="32" t="n">
        <v>3</v>
      </c>
      <c r="T485" s="32"/>
      <c r="U485" s="32"/>
      <c r="V485" s="37"/>
      <c r="W485" s="32"/>
      <c r="X485" s="34"/>
      <c r="Y485" s="34"/>
      <c r="Z485" s="36"/>
      <c r="AA485" s="32" t="s">
        <v>3317</v>
      </c>
      <c r="AB485" s="32" t="s">
        <v>3318</v>
      </c>
      <c r="AC485" s="38" t="str">
        <f aca="false">HYPERLINK("https://biocodex6--c.vf.force.com/0014L00000KGFZNQA5", "ELOI MAXIME")</f>
        <v>ELOI MAXIME</v>
      </c>
      <c r="AD485" s="38" t="str">
        <f aca="false">HYPERLINK("https://annuairesante.ameli.fr/professionnels-de-sante/recherche/fiche-detaillee-B7c1kjowNjSw.html", "ELOI MAXIME")</f>
        <v>ELOI MAXIME</v>
      </c>
      <c r="AE485" s="39" t="n">
        <v>45218.5625</v>
      </c>
      <c r="AF485" s="40"/>
      <c r="AG485" s="41"/>
      <c r="AH485" s="32" t="s">
        <v>179</v>
      </c>
      <c r="AI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XEY485" s="27"/>
      <c r="XEZ485" s="27"/>
      <c r="XFA485" s="27"/>
      <c r="XFB485" s="27"/>
      <c r="XFC485" s="27"/>
      <c r="XFD485" s="27"/>
    </row>
    <row r="486" s="42" customFormat="true" ht="14.15" hidden="false" customHeight="true" outlineLevel="0" collapsed="false">
      <c r="A486" s="28" t="s">
        <v>3319</v>
      </c>
      <c r="B486" s="29" t="s">
        <v>1403</v>
      </c>
      <c r="C486" s="29" t="s">
        <v>3320</v>
      </c>
      <c r="D486" s="30" t="s">
        <v>50</v>
      </c>
      <c r="E486" s="30" t="s">
        <v>1228</v>
      </c>
      <c r="F486" s="32" t="n">
        <v>68</v>
      </c>
      <c r="G486" s="31" t="s">
        <v>215</v>
      </c>
      <c r="H486" s="31" t="n">
        <v>3</v>
      </c>
      <c r="I486" s="31" t="s">
        <v>197</v>
      </c>
      <c r="J486" s="29"/>
      <c r="K486" s="29" t="s">
        <v>3321</v>
      </c>
      <c r="L486" s="32" t="n">
        <v>78</v>
      </c>
      <c r="M486" s="33" t="s">
        <v>3322</v>
      </c>
      <c r="N486" s="34" t="n">
        <v>75017</v>
      </c>
      <c r="O486" s="35" t="s">
        <v>55</v>
      </c>
      <c r="P486" s="36" t="s">
        <v>3323</v>
      </c>
      <c r="Q486" s="36" t="n">
        <v>2</v>
      </c>
      <c r="R486" s="32" t="n">
        <v>151</v>
      </c>
      <c r="S486" s="32" t="n">
        <v>3</v>
      </c>
      <c r="T486" s="32"/>
      <c r="U486" s="32"/>
      <c r="V486" s="37"/>
      <c r="W486" s="32"/>
      <c r="X486" s="34"/>
      <c r="Y486" s="34"/>
      <c r="Z486" s="32"/>
      <c r="AA486" s="32" t="s">
        <v>3324</v>
      </c>
      <c r="AB486" s="32" t="s">
        <v>3325</v>
      </c>
      <c r="AC486" s="38" t="str">
        <f aca="false">HYPERLINK("https://biocodex6--c.vf.force.com/0014L00000KFu24QAD", "O HANA BRIGITTE")</f>
        <v>O HANA BRIGITTE</v>
      </c>
      <c r="AD486" s="38" t="str">
        <f aca="false">HYPERLINK("https://annuairesante.ameli.fr/professionnels-de-sante/recherche/fiche-detaillee-B7c1ljM5Njqw.html", "O HANA BRIGITTE")</f>
        <v>O HANA BRIGITTE</v>
      </c>
      <c r="AE486" s="39"/>
      <c r="AF486" s="40"/>
      <c r="AG486" s="41"/>
      <c r="AH486" s="32"/>
      <c r="AI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XEY486" s="27"/>
      <c r="XEZ486" s="27"/>
      <c r="XFA486" s="27"/>
      <c r="XFB486" s="27"/>
      <c r="XFC486" s="27"/>
      <c r="XFD486" s="27"/>
    </row>
    <row r="487" s="42" customFormat="true" ht="14.15" hidden="false" customHeight="true" outlineLevel="0" collapsed="false">
      <c r="A487" s="28" t="s">
        <v>3326</v>
      </c>
      <c r="B487" s="29" t="s">
        <v>3327</v>
      </c>
      <c r="C487" s="29" t="s">
        <v>3328</v>
      </c>
      <c r="D487" s="30" t="s">
        <v>50</v>
      </c>
      <c r="E487" s="30" t="s">
        <v>255</v>
      </c>
      <c r="F487" s="32" t="n">
        <v>51</v>
      </c>
      <c r="G487" s="31"/>
      <c r="H487" s="31" t="n">
        <v>1</v>
      </c>
      <c r="I487" s="31" t="s">
        <v>572</v>
      </c>
      <c r="J487" s="29" t="s">
        <v>678</v>
      </c>
      <c r="K487" s="29" t="s">
        <v>679</v>
      </c>
      <c r="L487" s="32" t="n">
        <v>6</v>
      </c>
      <c r="M487" s="33" t="s">
        <v>680</v>
      </c>
      <c r="N487" s="34" t="n">
        <v>75008</v>
      </c>
      <c r="O487" s="35" t="s">
        <v>55</v>
      </c>
      <c r="P487" s="36" t="s">
        <v>870</v>
      </c>
      <c r="Q487" s="36" t="n">
        <v>43</v>
      </c>
      <c r="R487" s="32" t="n">
        <v>150</v>
      </c>
      <c r="S487" s="32" t="n">
        <v>3</v>
      </c>
      <c r="T487" s="32"/>
      <c r="U487" s="32"/>
      <c r="V487" s="37"/>
      <c r="W487" s="32"/>
      <c r="X487" s="34" t="n">
        <v>1</v>
      </c>
      <c r="Y487" s="34"/>
      <c r="Z487" s="32"/>
      <c r="AA487" s="32" t="s">
        <v>3329</v>
      </c>
      <c r="AB487" s="32"/>
      <c r="AC487" s="38" t="str">
        <f aca="false">HYPERLINK("https://biocodex6--c.vf.force.com/0014L00000KFtsVQAT", "PEREZ NEZRI DEVORA")</f>
        <v>PEREZ NEZRI DEVORA</v>
      </c>
      <c r="AD487" s="38"/>
      <c r="AE487" s="39" t="n">
        <v>45461.7916666667</v>
      </c>
      <c r="AF487" s="40" t="s">
        <v>3330</v>
      </c>
      <c r="AG487" s="41"/>
      <c r="AH487" s="32"/>
      <c r="AI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XEY487" s="27"/>
      <c r="XEZ487" s="27"/>
      <c r="XFA487" s="27"/>
      <c r="XFB487" s="27"/>
      <c r="XFC487" s="27"/>
      <c r="XFD487" s="27"/>
    </row>
    <row r="488" s="42" customFormat="true" ht="14.15" hidden="false" customHeight="true" outlineLevel="0" collapsed="false">
      <c r="A488" s="28" t="s">
        <v>3331</v>
      </c>
      <c r="B488" s="29" t="s">
        <v>117</v>
      </c>
      <c r="C488" s="29" t="s">
        <v>3332</v>
      </c>
      <c r="D488" s="30" t="s">
        <v>50</v>
      </c>
      <c r="E488" s="30" t="s">
        <v>421</v>
      </c>
      <c r="F488" s="32" t="n">
        <v>73</v>
      </c>
      <c r="G488" s="31" t="s">
        <v>215</v>
      </c>
      <c r="H488" s="31" t="n">
        <v>3</v>
      </c>
      <c r="I488" s="31" t="s">
        <v>572</v>
      </c>
      <c r="J488" s="29"/>
      <c r="K488" s="29" t="s">
        <v>3333</v>
      </c>
      <c r="L488" s="32" t="n">
        <v>146</v>
      </c>
      <c r="M488" s="33" t="s">
        <v>3334</v>
      </c>
      <c r="N488" s="34" t="n">
        <v>75008</v>
      </c>
      <c r="O488" s="35" t="s">
        <v>55</v>
      </c>
      <c r="P488" s="36" t="s">
        <v>3335</v>
      </c>
      <c r="Q488" s="36" t="n">
        <v>1</v>
      </c>
      <c r="R488" s="32" t="n">
        <v>150</v>
      </c>
      <c r="S488" s="32" t="n">
        <v>3</v>
      </c>
      <c r="T488" s="32"/>
      <c r="U488" s="32"/>
      <c r="V488" s="37"/>
      <c r="W488" s="32"/>
      <c r="X488" s="34"/>
      <c r="Y488" s="34"/>
      <c r="Z488" s="32"/>
      <c r="AA488" s="32" t="s">
        <v>3336</v>
      </c>
      <c r="AB488" s="32" t="s">
        <v>3337</v>
      </c>
      <c r="AC488" s="38" t="str">
        <f aca="false">HYPERLINK("https://biocodex6--c.vf.force.com/0014L00000KFU5HQAX", "GUYOT DE LA HARDROUYERE DOMINIQUE")</f>
        <v>GUYOT DE LA HARDROUYERE DOMINIQUE</v>
      </c>
      <c r="AD488" s="38" t="str">
        <f aca="false">HYPERLINK("https://annuairesante.ameli.fr/professionnels-de-sante/recherche/fiche-detaillee-B7c1ljU4NTez.html", "GUYOT DE LA HARDROUYERE DOMINIQUE")</f>
        <v>GUYOT DE LA HARDROUYERE DOMINIQUE</v>
      </c>
      <c r="AE488" s="39"/>
      <c r="AF488" s="40"/>
      <c r="AG488" s="41"/>
      <c r="AH488" s="32"/>
      <c r="AI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XEY488" s="27"/>
      <c r="XEZ488" s="27"/>
      <c r="XFA488" s="27"/>
      <c r="XFB488" s="27"/>
      <c r="XFC488" s="27"/>
      <c r="XFD488" s="27"/>
    </row>
    <row r="489" s="42" customFormat="true" ht="14.15" hidden="false" customHeight="true" outlineLevel="0" collapsed="false">
      <c r="A489" s="28" t="s">
        <v>3338</v>
      </c>
      <c r="B489" s="29" t="s">
        <v>2194</v>
      </c>
      <c r="C489" s="29" t="s">
        <v>3339</v>
      </c>
      <c r="D489" s="30" t="s">
        <v>50</v>
      </c>
      <c r="E489" s="31"/>
      <c r="F489" s="32" t="n">
        <v>41</v>
      </c>
      <c r="G489" s="31" t="s">
        <v>98</v>
      </c>
      <c r="H489" s="31" t="n">
        <v>1</v>
      </c>
      <c r="I489" s="31" t="s">
        <v>51</v>
      </c>
      <c r="J489" s="29"/>
      <c r="K489" s="29" t="s">
        <v>3340</v>
      </c>
      <c r="L489" s="32" t="n">
        <v>48</v>
      </c>
      <c r="M489" s="33" t="s">
        <v>3341</v>
      </c>
      <c r="N489" s="34" t="n">
        <v>75015</v>
      </c>
      <c r="O489" s="35" t="s">
        <v>55</v>
      </c>
      <c r="P489" s="36" t="s">
        <v>3342</v>
      </c>
      <c r="Q489" s="36" t="n">
        <v>2</v>
      </c>
      <c r="R489" s="32" t="n">
        <v>150</v>
      </c>
      <c r="S489" s="32" t="n">
        <v>3</v>
      </c>
      <c r="T489" s="32"/>
      <c r="U489" s="32"/>
      <c r="V489" s="37"/>
      <c r="W489" s="32"/>
      <c r="X489" s="34"/>
      <c r="Y489" s="34"/>
      <c r="Z489" s="32"/>
      <c r="AA489" s="32" t="s">
        <v>3343</v>
      </c>
      <c r="AB489" s="32" t="s">
        <v>3344</v>
      </c>
      <c r="AC489" s="38" t="str">
        <f aca="false">HYPERLINK("https://biocodex6--c.vf.force.com/0014L00000KFN0yQAH", "PHAM CLARISSE")</f>
        <v>PHAM CLARISSE</v>
      </c>
      <c r="AD489" s="38" t="str">
        <f aca="false">HYPERLINK("https://annuairesante.ameli.fr/professionnels-de-sante/recherche/fiche-detaillee-B7c1mzYzOTq6.html", "PHAM CLARISSE")</f>
        <v>PHAM CLARISSE</v>
      </c>
      <c r="AE489" s="39"/>
      <c r="AF489" s="40"/>
      <c r="AG489" s="41"/>
      <c r="AH489" s="32"/>
      <c r="AI489" s="32"/>
      <c r="AL489" s="43" t="s">
        <v>263</v>
      </c>
      <c r="AM489" s="43" t="s">
        <v>476</v>
      </c>
      <c r="AN489" s="43" t="s">
        <v>263</v>
      </c>
      <c r="AO489" s="43" t="s">
        <v>476</v>
      </c>
      <c r="AP489" s="43" t="s">
        <v>263</v>
      </c>
      <c r="AQ489" s="43" t="s">
        <v>476</v>
      </c>
      <c r="AR489" s="43" t="s">
        <v>263</v>
      </c>
      <c r="AS489" s="43" t="s">
        <v>476</v>
      </c>
      <c r="AT489" s="43" t="s">
        <v>263</v>
      </c>
      <c r="AU489" s="43" t="s">
        <v>476</v>
      </c>
      <c r="XEY489" s="27"/>
      <c r="XEZ489" s="27"/>
      <c r="XFA489" s="27"/>
      <c r="XFB489" s="27"/>
      <c r="XFC489" s="27"/>
      <c r="XFD489" s="27"/>
    </row>
    <row r="490" s="42" customFormat="true" ht="14.15" hidden="false" customHeight="true" outlineLevel="0" collapsed="false">
      <c r="A490" s="28" t="s">
        <v>3345</v>
      </c>
      <c r="B490" s="29" t="s">
        <v>3346</v>
      </c>
      <c r="C490" s="29" t="s">
        <v>3347</v>
      </c>
      <c r="D490" s="30" t="s">
        <v>244</v>
      </c>
      <c r="E490" s="30" t="s">
        <v>245</v>
      </c>
      <c r="F490" s="32" t="n">
        <v>45</v>
      </c>
      <c r="G490" s="31" t="s">
        <v>215</v>
      </c>
      <c r="H490" s="31" t="n">
        <v>3</v>
      </c>
      <c r="I490" s="31" t="s">
        <v>77</v>
      </c>
      <c r="J490" s="29" t="s">
        <v>78</v>
      </c>
      <c r="K490" s="29" t="s">
        <v>79</v>
      </c>
      <c r="L490" s="32" t="n">
        <v>26</v>
      </c>
      <c r="M490" s="33" t="s">
        <v>80</v>
      </c>
      <c r="N490" s="34" t="n">
        <v>92200</v>
      </c>
      <c r="O490" s="35" t="s">
        <v>81</v>
      </c>
      <c r="P490" s="36" t="s">
        <v>3348</v>
      </c>
      <c r="Q490" s="36" t="n">
        <v>10</v>
      </c>
      <c r="R490" s="32" t="n">
        <v>147</v>
      </c>
      <c r="S490" s="32" t="n">
        <v>3</v>
      </c>
      <c r="T490" s="32"/>
      <c r="U490" s="32"/>
      <c r="V490" s="37" t="n">
        <v>3</v>
      </c>
      <c r="W490" s="32"/>
      <c r="X490" s="34"/>
      <c r="Y490" s="34"/>
      <c r="Z490" s="32" t="s">
        <v>3349</v>
      </c>
      <c r="AA490" s="32" t="s">
        <v>3350</v>
      </c>
      <c r="AB490" s="32" t="s">
        <v>3351</v>
      </c>
      <c r="AC490" s="38" t="str">
        <f aca="false">HYPERLINK("https://biocodex6--c.vf.force.com/0014L00000KFuLMQA1", "NIRO JULIEN")</f>
        <v>NIRO JULIEN</v>
      </c>
      <c r="AD490" s="38" t="str">
        <f aca="false">HYPERLINK("https://annuairesante.ameli.fr/professionnels-de-sante/recherche/fiche-detaillee-CbA1kjc4NTqy.html", "NIRO JULIEN")</f>
        <v>NIRO JULIEN</v>
      </c>
      <c r="AE490" s="39"/>
      <c r="AF490" s="40"/>
      <c r="AG490" s="41"/>
      <c r="AH490" s="32"/>
      <c r="AI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XEY490" s="27"/>
      <c r="XEZ490" s="27"/>
      <c r="XFA490" s="27"/>
      <c r="XFB490" s="27"/>
      <c r="XFC490" s="27"/>
      <c r="XFD490" s="27"/>
    </row>
    <row r="491" s="42" customFormat="true" ht="14.15" hidden="false" customHeight="true" outlineLevel="0" collapsed="false">
      <c r="A491" s="28" t="s">
        <v>3352</v>
      </c>
      <c r="B491" s="29" t="s">
        <v>3353</v>
      </c>
      <c r="C491" s="29" t="s">
        <v>3354</v>
      </c>
      <c r="D491" s="30" t="s">
        <v>244</v>
      </c>
      <c r="E491" s="30" t="s">
        <v>245</v>
      </c>
      <c r="F491" s="32" t="n">
        <v>70</v>
      </c>
      <c r="G491" s="31"/>
      <c r="H491" s="31" t="n">
        <v>1</v>
      </c>
      <c r="I491" s="31" t="s">
        <v>99</v>
      </c>
      <c r="J491" s="29"/>
      <c r="K491" s="29" t="s">
        <v>3355</v>
      </c>
      <c r="L491" s="32" t="n">
        <v>27</v>
      </c>
      <c r="M491" s="33" t="s">
        <v>1002</v>
      </c>
      <c r="N491" s="34" t="n">
        <v>75015</v>
      </c>
      <c r="O491" s="35" t="s">
        <v>55</v>
      </c>
      <c r="P491" s="36" t="s">
        <v>3356</v>
      </c>
      <c r="Q491" s="36" t="n">
        <v>1</v>
      </c>
      <c r="R491" s="32" t="n">
        <v>143</v>
      </c>
      <c r="S491" s="32" t="n">
        <v>3</v>
      </c>
      <c r="T491" s="32"/>
      <c r="U491" s="32"/>
      <c r="V491" s="37"/>
      <c r="W491" s="32"/>
      <c r="X491" s="34"/>
      <c r="Y491" s="34"/>
      <c r="Z491" s="32" t="s">
        <v>3357</v>
      </c>
      <c r="AA491" s="32" t="s">
        <v>3358</v>
      </c>
      <c r="AB491" s="32"/>
      <c r="AC491" s="38" t="str">
        <f aca="false">HYPERLINK("https://biocodex6--c.vf.force.com/0014L00000KFYGwQAP", "CURTAY RAGEUL MARIE ANNICK")</f>
        <v>CURTAY RAGEUL MARIE ANNICK</v>
      </c>
      <c r="AD491" s="38"/>
      <c r="AE491" s="39"/>
      <c r="AF491" s="40"/>
      <c r="AG491" s="41"/>
      <c r="AH491" s="32"/>
      <c r="AI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XEY491" s="27"/>
      <c r="XEZ491" s="27"/>
      <c r="XFA491" s="27"/>
      <c r="XFB491" s="27"/>
      <c r="XFC491" s="27"/>
      <c r="XFD491" s="27"/>
    </row>
    <row r="492" s="42" customFormat="true" ht="14.15" hidden="false" customHeight="true" outlineLevel="0" collapsed="false">
      <c r="A492" s="28" t="s">
        <v>3359</v>
      </c>
      <c r="B492" s="29" t="s">
        <v>3360</v>
      </c>
      <c r="C492" s="29" t="s">
        <v>3361</v>
      </c>
      <c r="D492" s="30" t="s">
        <v>244</v>
      </c>
      <c r="E492" s="30" t="s">
        <v>245</v>
      </c>
      <c r="F492" s="32" t="n">
        <v>72</v>
      </c>
      <c r="G492" s="31" t="s">
        <v>215</v>
      </c>
      <c r="H492" s="31" t="n">
        <v>1</v>
      </c>
      <c r="I492" s="31" t="s">
        <v>435</v>
      </c>
      <c r="J492" s="29"/>
      <c r="K492" s="29" t="s">
        <v>3362</v>
      </c>
      <c r="L492" s="32" t="n">
        <v>62</v>
      </c>
      <c r="M492" s="33" t="s">
        <v>1041</v>
      </c>
      <c r="N492" s="34" t="n">
        <v>75016</v>
      </c>
      <c r="O492" s="35" t="s">
        <v>55</v>
      </c>
      <c r="P492" s="36" t="s">
        <v>3363</v>
      </c>
      <c r="Q492" s="36" t="n">
        <v>4</v>
      </c>
      <c r="R492" s="32" t="n">
        <v>140</v>
      </c>
      <c r="S492" s="32" t="n">
        <v>3</v>
      </c>
      <c r="T492" s="32"/>
      <c r="U492" s="32"/>
      <c r="V492" s="37"/>
      <c r="W492" s="32"/>
      <c r="X492" s="34"/>
      <c r="Y492" s="34"/>
      <c r="Z492" s="32" t="s">
        <v>3364</v>
      </c>
      <c r="AA492" s="32" t="s">
        <v>3365</v>
      </c>
      <c r="AB492" s="32" t="s">
        <v>3366</v>
      </c>
      <c r="AC492" s="38" t="str">
        <f aca="false">HYPERLINK("https://biocodex6--c.vf.force.com/0014L00000KG0WoQAL", "SARROT GILBERT")</f>
        <v>SARROT GILBERT</v>
      </c>
      <c r="AD492" s="38" t="str">
        <f aca="false">HYPERLINK("https://annuairesante.ameli.fr/professionnels-de-sante/recherche/fiche-detaillee-B7c1ljM3NzC6.html", "SARROT GILBERT")</f>
        <v>SARROT GILBERT</v>
      </c>
      <c r="AE492" s="39"/>
      <c r="AF492" s="40"/>
      <c r="AG492" s="41"/>
      <c r="AH492" s="32"/>
      <c r="AI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XEY492" s="27"/>
      <c r="XEZ492" s="27"/>
      <c r="XFA492" s="27"/>
      <c r="XFB492" s="27"/>
      <c r="XFC492" s="27"/>
      <c r="XFD492" s="27"/>
    </row>
    <row r="493" s="42" customFormat="true" ht="14.15" hidden="false" customHeight="true" outlineLevel="0" collapsed="false">
      <c r="A493" s="28" t="s">
        <v>3367</v>
      </c>
      <c r="B493" s="29" t="s">
        <v>142</v>
      </c>
      <c r="C493" s="29" t="s">
        <v>3368</v>
      </c>
      <c r="D493" s="30" t="s">
        <v>75</v>
      </c>
      <c r="E493" s="31"/>
      <c r="F493" s="32" t="n">
        <v>73</v>
      </c>
      <c r="G493" s="31"/>
      <c r="H493" s="31" t="n">
        <v>1</v>
      </c>
      <c r="I493" s="31" t="s">
        <v>435</v>
      </c>
      <c r="J493" s="29"/>
      <c r="K493" s="29" t="s">
        <v>3369</v>
      </c>
      <c r="L493" s="32" t="n">
        <v>12</v>
      </c>
      <c r="M493" s="33" t="s">
        <v>2312</v>
      </c>
      <c r="N493" s="34" t="n">
        <v>75016</v>
      </c>
      <c r="O493" s="35" t="s">
        <v>55</v>
      </c>
      <c r="P493" s="36"/>
      <c r="Q493" s="36" t="n">
        <v>1</v>
      </c>
      <c r="R493" s="32" t="n">
        <v>139</v>
      </c>
      <c r="S493" s="32" t="n">
        <v>3</v>
      </c>
      <c r="T493" s="32"/>
      <c r="U493" s="32"/>
      <c r="V493" s="37"/>
      <c r="W493" s="32"/>
      <c r="X493" s="34"/>
      <c r="Y493" s="34"/>
      <c r="Z493" s="36"/>
      <c r="AA493" s="32" t="s">
        <v>3370</v>
      </c>
      <c r="AB493" s="32"/>
      <c r="AC493" s="38" t="str">
        <f aca="false">HYPERLINK("https://biocodex6--c.vf.force.com/0014L00000KFeB5QAL", "FOUCARD MICHEL")</f>
        <v>FOUCARD MICHEL</v>
      </c>
      <c r="AD493" s="38"/>
      <c r="AE493" s="39"/>
      <c r="AF493" s="40"/>
      <c r="AG493" s="41"/>
      <c r="AH493" s="32" t="s">
        <v>179</v>
      </c>
      <c r="AI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XEY493" s="27"/>
      <c r="XEZ493" s="27"/>
      <c r="XFA493" s="27"/>
      <c r="XFB493" s="27"/>
      <c r="XFC493" s="27"/>
      <c r="XFD493" s="27"/>
    </row>
    <row r="494" s="42" customFormat="true" ht="14.15" hidden="false" customHeight="true" outlineLevel="0" collapsed="false">
      <c r="A494" s="28" t="s">
        <v>3371</v>
      </c>
      <c r="B494" s="29" t="s">
        <v>3372</v>
      </c>
      <c r="C494" s="29" t="s">
        <v>3373</v>
      </c>
      <c r="D494" s="30" t="s">
        <v>112</v>
      </c>
      <c r="E494" s="31"/>
      <c r="F494" s="32" t="n">
        <v>39</v>
      </c>
      <c r="G494" s="31"/>
      <c r="H494" s="31" t="n">
        <v>1</v>
      </c>
      <c r="I494" s="31" t="s">
        <v>51</v>
      </c>
      <c r="J494" s="29" t="s">
        <v>52</v>
      </c>
      <c r="K494" s="29" t="s">
        <v>53</v>
      </c>
      <c r="L494" s="32" t="n">
        <v>149</v>
      </c>
      <c r="M494" s="33" t="s">
        <v>54</v>
      </c>
      <c r="N494" s="34" t="n">
        <v>75015</v>
      </c>
      <c r="O494" s="35" t="s">
        <v>55</v>
      </c>
      <c r="P494" s="36" t="s">
        <v>885</v>
      </c>
      <c r="Q494" s="36" t="n">
        <v>236</v>
      </c>
      <c r="R494" s="32" t="n">
        <v>138</v>
      </c>
      <c r="S494" s="32" t="n">
        <v>3</v>
      </c>
      <c r="T494" s="32"/>
      <c r="U494" s="32"/>
      <c r="V494" s="37"/>
      <c r="W494" s="32"/>
      <c r="X494" s="34"/>
      <c r="Y494" s="34"/>
      <c r="Z494" s="36"/>
      <c r="AA494" s="32" t="s">
        <v>3374</v>
      </c>
      <c r="AB494" s="32"/>
      <c r="AC494" s="38" t="str">
        <f aca="false">HYPERLINK("https://biocodex6--c.vf.force.com/0014L00000KG2oNQAT", "STOUPA ATHANASIA")</f>
        <v>STOUPA ATHANASIA</v>
      </c>
      <c r="AD494" s="38"/>
      <c r="AE494" s="39"/>
      <c r="AF494" s="40"/>
      <c r="AG494" s="41"/>
      <c r="AH494" s="32" t="s">
        <v>179</v>
      </c>
      <c r="AI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XEY494" s="27"/>
      <c r="XEZ494" s="27"/>
      <c r="XFA494" s="27"/>
      <c r="XFB494" s="27"/>
      <c r="XFC494" s="27"/>
      <c r="XFD494" s="27"/>
    </row>
    <row r="495" s="42" customFormat="true" ht="14.15" hidden="false" customHeight="true" outlineLevel="0" collapsed="false">
      <c r="A495" s="28" t="s">
        <v>3375</v>
      </c>
      <c r="B495" s="29" t="s">
        <v>1101</v>
      </c>
      <c r="C495" s="29" t="s">
        <v>3376</v>
      </c>
      <c r="D495" s="30" t="s">
        <v>112</v>
      </c>
      <c r="E495" s="31"/>
      <c r="F495" s="32" t="n">
        <v>62</v>
      </c>
      <c r="G495" s="31"/>
      <c r="H495" s="31" t="n">
        <v>1</v>
      </c>
      <c r="I495" s="31" t="s">
        <v>51</v>
      </c>
      <c r="J495" s="29" t="s">
        <v>52</v>
      </c>
      <c r="K495" s="29" t="s">
        <v>53</v>
      </c>
      <c r="L495" s="32" t="n">
        <v>149</v>
      </c>
      <c r="M495" s="33" t="s">
        <v>54</v>
      </c>
      <c r="N495" s="34" t="n">
        <v>75015</v>
      </c>
      <c r="O495" s="35" t="s">
        <v>55</v>
      </c>
      <c r="P495" s="36" t="s">
        <v>269</v>
      </c>
      <c r="Q495" s="36" t="n">
        <v>236</v>
      </c>
      <c r="R495" s="32" t="n">
        <v>134</v>
      </c>
      <c r="S495" s="32" t="n">
        <v>3</v>
      </c>
      <c r="T495" s="32"/>
      <c r="U495" s="32"/>
      <c r="V495" s="37"/>
      <c r="W495" s="32" t="n">
        <v>2</v>
      </c>
      <c r="X495" s="34"/>
      <c r="Y495" s="34" t="n">
        <v>1</v>
      </c>
      <c r="Z495" s="36"/>
      <c r="AA495" s="32" t="s">
        <v>3377</v>
      </c>
      <c r="AB495" s="44"/>
      <c r="AC495" s="38" t="str">
        <f aca="false">HYPERLINK("https://biocodex6--c.vf.force.com/0014L00000KFaT9QAL", "DESGUERRE ISABELLE")</f>
        <v>DESGUERRE ISABELLE</v>
      </c>
      <c r="AD495" s="38"/>
      <c r="AE495" s="39"/>
      <c r="AF495" s="40"/>
      <c r="AG495" s="41"/>
      <c r="AH495" s="32" t="s">
        <v>179</v>
      </c>
      <c r="AI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XEY495" s="27"/>
      <c r="XEZ495" s="27"/>
      <c r="XFA495" s="27"/>
      <c r="XFB495" s="27"/>
      <c r="XFC495" s="27"/>
      <c r="XFD495" s="27"/>
    </row>
    <row r="496" s="42" customFormat="true" ht="14.15" hidden="false" customHeight="true" outlineLevel="0" collapsed="false">
      <c r="A496" s="28" t="s">
        <v>3378</v>
      </c>
      <c r="B496" s="29" t="s">
        <v>3379</v>
      </c>
      <c r="C496" s="29" t="s">
        <v>3380</v>
      </c>
      <c r="D496" s="30" t="s">
        <v>112</v>
      </c>
      <c r="E496" s="30" t="s">
        <v>1820</v>
      </c>
      <c r="F496" s="32" t="n">
        <v>49</v>
      </c>
      <c r="G496" s="31"/>
      <c r="H496" s="31" t="n">
        <v>2</v>
      </c>
      <c r="I496" s="31" t="s">
        <v>51</v>
      </c>
      <c r="J496" s="29" t="s">
        <v>52</v>
      </c>
      <c r="K496" s="29" t="s">
        <v>53</v>
      </c>
      <c r="L496" s="32" t="n">
        <v>149</v>
      </c>
      <c r="M496" s="33" t="s">
        <v>54</v>
      </c>
      <c r="N496" s="34" t="n">
        <v>75015</v>
      </c>
      <c r="O496" s="35" t="s">
        <v>55</v>
      </c>
      <c r="P496" s="36" t="s">
        <v>1821</v>
      </c>
      <c r="Q496" s="36" t="n">
        <v>236</v>
      </c>
      <c r="R496" s="32" t="n">
        <v>134</v>
      </c>
      <c r="S496" s="32" t="n">
        <v>3</v>
      </c>
      <c r="T496" s="32"/>
      <c r="U496" s="32"/>
      <c r="V496" s="37"/>
      <c r="W496" s="32"/>
      <c r="X496" s="34"/>
      <c r="Y496" s="34"/>
      <c r="Z496" s="36"/>
      <c r="AA496" s="32" t="s">
        <v>3381</v>
      </c>
      <c r="AB496" s="32"/>
      <c r="AC496" s="38" t="str">
        <f aca="false">HYPERLINK("https://biocodex6--c.vf.force.com/0014L00000KFtvZQAT", "MAHLAOUI NIZAR")</f>
        <v>MAHLAOUI NIZAR</v>
      </c>
      <c r="AD496" s="38"/>
      <c r="AE496" s="39"/>
      <c r="AF496" s="40"/>
      <c r="AG496" s="41"/>
      <c r="AH496" s="32" t="s">
        <v>179</v>
      </c>
      <c r="AI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XEY496" s="27"/>
      <c r="XEZ496" s="27"/>
      <c r="XFA496" s="27"/>
      <c r="XFB496" s="27"/>
      <c r="XFC496" s="27"/>
      <c r="XFD496" s="27"/>
    </row>
    <row r="497" s="42" customFormat="true" ht="14.15" hidden="false" customHeight="true" outlineLevel="0" collapsed="false">
      <c r="A497" s="28" t="s">
        <v>3382</v>
      </c>
      <c r="B497" s="29" t="s">
        <v>142</v>
      </c>
      <c r="C497" s="29" t="s">
        <v>3383</v>
      </c>
      <c r="D497" s="30" t="s">
        <v>112</v>
      </c>
      <c r="E497" s="30" t="s">
        <v>113</v>
      </c>
      <c r="F497" s="32" t="n">
        <v>61</v>
      </c>
      <c r="G497" s="31" t="s">
        <v>215</v>
      </c>
      <c r="H497" s="31" t="n">
        <v>2</v>
      </c>
      <c r="I497" s="31" t="s">
        <v>51</v>
      </c>
      <c r="J497" s="29" t="s">
        <v>52</v>
      </c>
      <c r="K497" s="29" t="s">
        <v>53</v>
      </c>
      <c r="L497" s="32" t="n">
        <v>149</v>
      </c>
      <c r="M497" s="33" t="s">
        <v>54</v>
      </c>
      <c r="N497" s="34" t="n">
        <v>75015</v>
      </c>
      <c r="O497" s="35" t="s">
        <v>55</v>
      </c>
      <c r="P497" s="36" t="s">
        <v>3384</v>
      </c>
      <c r="Q497" s="36" t="n">
        <v>236</v>
      </c>
      <c r="R497" s="32" t="n">
        <v>134</v>
      </c>
      <c r="S497" s="32" t="n">
        <v>3</v>
      </c>
      <c r="T497" s="32"/>
      <c r="U497" s="32"/>
      <c r="V497" s="37"/>
      <c r="W497" s="32"/>
      <c r="X497" s="34"/>
      <c r="Y497" s="34"/>
      <c r="Z497" s="36"/>
      <c r="AA497" s="32" t="s">
        <v>3385</v>
      </c>
      <c r="AB497" s="32" t="s">
        <v>3386</v>
      </c>
      <c r="AC497" s="38" t="str">
        <f aca="false">HYPERLINK("https://biocodex6--c.vf.force.com/0014L00000KFxBkQAL", "POLAK MICHEL")</f>
        <v>POLAK MICHEL</v>
      </c>
      <c r="AD497" s="38" t="str">
        <f aca="false">HYPERLINK("https://annuairesante.ameli.fr/professionnels-de-sante/recherche/fiche-detaillee-B7c1lzo1NDG2.html", "POLAK MICHEL")</f>
        <v>POLAK MICHEL</v>
      </c>
      <c r="AE497" s="39"/>
      <c r="AF497" s="40"/>
      <c r="AG497" s="41"/>
      <c r="AH497" s="32" t="s">
        <v>179</v>
      </c>
      <c r="AI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XEY497" s="27"/>
      <c r="XEZ497" s="27"/>
      <c r="XFA497" s="27"/>
      <c r="XFB497" s="27"/>
      <c r="XFC497" s="27"/>
      <c r="XFD497" s="27"/>
    </row>
    <row r="498" s="42" customFormat="true" ht="14.15" hidden="false" customHeight="true" outlineLevel="0" collapsed="false">
      <c r="A498" s="28" t="s">
        <v>3387</v>
      </c>
      <c r="B498" s="29" t="s">
        <v>3388</v>
      </c>
      <c r="C498" s="29" t="s">
        <v>3389</v>
      </c>
      <c r="D498" s="30" t="s">
        <v>112</v>
      </c>
      <c r="E498" s="31"/>
      <c r="F498" s="32" t="n">
        <v>43</v>
      </c>
      <c r="G498" s="31"/>
      <c r="H498" s="31" t="n">
        <v>1</v>
      </c>
      <c r="I498" s="31" t="s">
        <v>51</v>
      </c>
      <c r="J498" s="29" t="s">
        <v>52</v>
      </c>
      <c r="K498" s="29" t="s">
        <v>53</v>
      </c>
      <c r="L498" s="32" t="n">
        <v>149</v>
      </c>
      <c r="M498" s="33" t="s">
        <v>54</v>
      </c>
      <c r="N498" s="34" t="n">
        <v>75015</v>
      </c>
      <c r="O498" s="35" t="s">
        <v>55</v>
      </c>
      <c r="P498" s="36" t="s">
        <v>1815</v>
      </c>
      <c r="Q498" s="36" t="n">
        <v>236</v>
      </c>
      <c r="R498" s="32" t="n">
        <v>134</v>
      </c>
      <c r="S498" s="32" t="n">
        <v>3</v>
      </c>
      <c r="T498" s="32"/>
      <c r="U498" s="32"/>
      <c r="V498" s="37"/>
      <c r="W498" s="32"/>
      <c r="X498" s="34"/>
      <c r="Y498" s="34"/>
      <c r="Z498" s="32"/>
      <c r="AA498" s="32" t="s">
        <v>3390</v>
      </c>
      <c r="AB498" s="32"/>
      <c r="AC498" s="38" t="str">
        <f aca="false">HYPERLINK("https://biocodex6--c.vf.force.com/0014L00000KFhhXQAT", "GIUSEPPI AGNES")</f>
        <v>GIUSEPPI AGNES</v>
      </c>
      <c r="AD498" s="38"/>
      <c r="AE498" s="39"/>
      <c r="AF498" s="40"/>
      <c r="AG498" s="41"/>
      <c r="AH498" s="32"/>
      <c r="AI498" s="32"/>
      <c r="AJ498" s="42" t="s">
        <v>1817</v>
      </c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XEY498" s="27"/>
      <c r="XEZ498" s="27"/>
      <c r="XFA498" s="27"/>
      <c r="XFB498" s="27"/>
      <c r="XFC498" s="27"/>
      <c r="XFD498" s="27"/>
    </row>
    <row r="499" s="42" customFormat="true" ht="14.15" hidden="false" customHeight="true" outlineLevel="0" collapsed="false">
      <c r="A499" s="28" t="s">
        <v>3391</v>
      </c>
      <c r="B499" s="29" t="s">
        <v>2585</v>
      </c>
      <c r="C499" s="29" t="s">
        <v>3392</v>
      </c>
      <c r="D499" s="30" t="s">
        <v>112</v>
      </c>
      <c r="E499" s="31"/>
      <c r="F499" s="32" t="n">
        <v>46</v>
      </c>
      <c r="G499" s="31"/>
      <c r="H499" s="31" t="n">
        <v>1</v>
      </c>
      <c r="I499" s="31" t="s">
        <v>51</v>
      </c>
      <c r="J499" s="29" t="s">
        <v>52</v>
      </c>
      <c r="K499" s="29" t="s">
        <v>53</v>
      </c>
      <c r="L499" s="32" t="n">
        <v>149</v>
      </c>
      <c r="M499" s="33" t="s">
        <v>54</v>
      </c>
      <c r="N499" s="34" t="n">
        <v>75015</v>
      </c>
      <c r="O499" s="35" t="s">
        <v>55</v>
      </c>
      <c r="P499" s="36" t="s">
        <v>687</v>
      </c>
      <c r="Q499" s="36" t="n">
        <v>236</v>
      </c>
      <c r="R499" s="32" t="n">
        <v>134</v>
      </c>
      <c r="S499" s="32" t="n">
        <v>3</v>
      </c>
      <c r="T499" s="32"/>
      <c r="U499" s="32"/>
      <c r="V499" s="37"/>
      <c r="W499" s="32"/>
      <c r="X499" s="34"/>
      <c r="Y499" s="34"/>
      <c r="Z499" s="32"/>
      <c r="AA499" s="32" t="s">
        <v>3393</v>
      </c>
      <c r="AB499" s="32"/>
      <c r="AC499" s="38" t="str">
        <f aca="false">HYPERLINK("https://biocodex6--c.vf.force.com/0014L00000KFR8TQAX", "HADCHOUEL DUVERGE ALICE")</f>
        <v>HADCHOUEL DUVERGE ALICE</v>
      </c>
      <c r="AD499" s="38"/>
      <c r="AE499" s="39"/>
      <c r="AF499" s="40"/>
      <c r="AG499" s="41"/>
      <c r="AH499" s="32"/>
      <c r="AI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XEY499" s="27"/>
      <c r="XEZ499" s="27"/>
      <c r="XFA499" s="27"/>
      <c r="XFB499" s="27"/>
      <c r="XFC499" s="27"/>
      <c r="XFD499" s="27"/>
    </row>
    <row r="500" s="42" customFormat="true" ht="14.15" hidden="false" customHeight="true" outlineLevel="0" collapsed="false">
      <c r="A500" s="28" t="s">
        <v>3394</v>
      </c>
      <c r="B500" s="29" t="s">
        <v>883</v>
      </c>
      <c r="C500" s="29" t="s">
        <v>3395</v>
      </c>
      <c r="D500" s="30" t="s">
        <v>112</v>
      </c>
      <c r="E500" s="31"/>
      <c r="F500" s="32" t="n">
        <v>72</v>
      </c>
      <c r="G500" s="31"/>
      <c r="H500" s="31" t="n">
        <v>1</v>
      </c>
      <c r="I500" s="31" t="s">
        <v>51</v>
      </c>
      <c r="J500" s="29" t="s">
        <v>52</v>
      </c>
      <c r="K500" s="29" t="s">
        <v>53</v>
      </c>
      <c r="L500" s="32" t="n">
        <v>149</v>
      </c>
      <c r="M500" s="33" t="s">
        <v>54</v>
      </c>
      <c r="N500" s="34" t="n">
        <v>75015</v>
      </c>
      <c r="O500" s="35" t="s">
        <v>55</v>
      </c>
      <c r="P500" s="36" t="s">
        <v>687</v>
      </c>
      <c r="Q500" s="36" t="n">
        <v>236</v>
      </c>
      <c r="R500" s="32" t="n">
        <v>134</v>
      </c>
      <c r="S500" s="32" t="n">
        <v>3</v>
      </c>
      <c r="T500" s="32"/>
      <c r="U500" s="32"/>
      <c r="V500" s="37"/>
      <c r="W500" s="32"/>
      <c r="X500" s="34"/>
      <c r="Y500" s="34"/>
      <c r="Z500" s="32"/>
      <c r="AA500" s="32" t="s">
        <v>3396</v>
      </c>
      <c r="AB500" s="32"/>
      <c r="AC500" s="38" t="str">
        <f aca="false">HYPERLINK("https://biocodex6--c.vf.force.com/0014L00000KFZ2PQAX", "DE BLIC JACQUES")</f>
        <v>DE BLIC JACQUES</v>
      </c>
      <c r="AD500" s="38"/>
      <c r="AE500" s="39"/>
      <c r="AF500" s="40"/>
      <c r="AG500" s="41"/>
      <c r="AH500" s="32"/>
      <c r="AI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XEY500" s="27"/>
      <c r="XEZ500" s="27"/>
      <c r="XFA500" s="27"/>
      <c r="XFB500" s="27"/>
      <c r="XFC500" s="27"/>
      <c r="XFD500" s="27"/>
    </row>
    <row r="501" s="42" customFormat="true" ht="14.15" hidden="false" customHeight="true" outlineLevel="0" collapsed="false">
      <c r="A501" s="28" t="s">
        <v>3397</v>
      </c>
      <c r="B501" s="29" t="s">
        <v>643</v>
      </c>
      <c r="C501" s="29" t="s">
        <v>3398</v>
      </c>
      <c r="D501" s="30" t="s">
        <v>112</v>
      </c>
      <c r="E501" s="31"/>
      <c r="F501" s="32" t="n">
        <v>47</v>
      </c>
      <c r="G501" s="31"/>
      <c r="H501" s="31" t="n">
        <v>1</v>
      </c>
      <c r="I501" s="31" t="s">
        <v>51</v>
      </c>
      <c r="J501" s="29" t="s">
        <v>52</v>
      </c>
      <c r="K501" s="29" t="s">
        <v>53</v>
      </c>
      <c r="L501" s="32" t="n">
        <v>149</v>
      </c>
      <c r="M501" s="33" t="s">
        <v>54</v>
      </c>
      <c r="N501" s="34" t="n">
        <v>75015</v>
      </c>
      <c r="O501" s="35" t="s">
        <v>55</v>
      </c>
      <c r="P501" s="36" t="s">
        <v>1821</v>
      </c>
      <c r="Q501" s="36" t="n">
        <v>236</v>
      </c>
      <c r="R501" s="32" t="n">
        <v>134</v>
      </c>
      <c r="S501" s="32" t="n">
        <v>3</v>
      </c>
      <c r="T501" s="32"/>
      <c r="U501" s="32"/>
      <c r="V501" s="37"/>
      <c r="W501" s="32"/>
      <c r="X501" s="34"/>
      <c r="Y501" s="34"/>
      <c r="Z501" s="32"/>
      <c r="AA501" s="32" t="s">
        <v>3399</v>
      </c>
      <c r="AB501" s="32"/>
      <c r="AC501" s="38" t="str">
        <f aca="false">HYPERLINK("https://biocodex6--c.vf.force.com/0014L00000KFbVmQAL", "FRANGE PIERRE")</f>
        <v>FRANGE PIERRE</v>
      </c>
      <c r="AD501" s="38"/>
      <c r="AE501" s="39"/>
      <c r="AF501" s="40"/>
      <c r="AG501" s="41"/>
      <c r="AH501" s="32"/>
      <c r="AI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XEY501" s="27"/>
      <c r="XEZ501" s="27"/>
      <c r="XFA501" s="27"/>
      <c r="XFB501" s="27"/>
      <c r="XFC501" s="27"/>
      <c r="XFD501" s="27"/>
    </row>
    <row r="502" s="42" customFormat="true" ht="14.15" hidden="false" customHeight="true" outlineLevel="0" collapsed="false">
      <c r="A502" s="28" t="s">
        <v>3400</v>
      </c>
      <c r="B502" s="29" t="s">
        <v>685</v>
      </c>
      <c r="C502" s="29" t="s">
        <v>3401</v>
      </c>
      <c r="D502" s="30" t="s">
        <v>112</v>
      </c>
      <c r="E502" s="31"/>
      <c r="F502" s="32" t="n">
        <v>46</v>
      </c>
      <c r="G502" s="31"/>
      <c r="H502" s="31" t="n">
        <v>2</v>
      </c>
      <c r="I502" s="31" t="s">
        <v>295</v>
      </c>
      <c r="J502" s="29" t="s">
        <v>489</v>
      </c>
      <c r="K502" s="29" t="s">
        <v>490</v>
      </c>
      <c r="L502" s="32" t="n">
        <v>3</v>
      </c>
      <c r="M502" s="33" t="s">
        <v>491</v>
      </c>
      <c r="N502" s="34" t="n">
        <v>92300</v>
      </c>
      <c r="O502" s="35" t="s">
        <v>298</v>
      </c>
      <c r="P502" s="36" t="s">
        <v>3402</v>
      </c>
      <c r="Q502" s="36" t="n">
        <v>26</v>
      </c>
      <c r="R502" s="32" t="n">
        <v>134</v>
      </c>
      <c r="S502" s="32" t="n">
        <v>3</v>
      </c>
      <c r="T502" s="32"/>
      <c r="U502" s="32"/>
      <c r="V502" s="37"/>
      <c r="W502" s="32"/>
      <c r="X502" s="34"/>
      <c r="Y502" s="34"/>
      <c r="Z502" s="32"/>
      <c r="AA502" s="32" t="s">
        <v>3403</v>
      </c>
      <c r="AB502" s="32"/>
      <c r="AC502" s="38" t="str">
        <f aca="false">HYPERLINK("https://biocodex6--c.vf.force.com/0014L00000KFzVaQAL", "NICLOUX MURIEL")</f>
        <v>NICLOUX MURIEL</v>
      </c>
      <c r="AD502" s="38"/>
      <c r="AE502" s="39"/>
      <c r="AF502" s="40"/>
      <c r="AG502" s="41"/>
      <c r="AH502" s="32"/>
      <c r="AI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XEY502" s="27"/>
      <c r="XEZ502" s="27"/>
      <c r="XFA502" s="27"/>
      <c r="XFB502" s="27"/>
      <c r="XFC502" s="27"/>
      <c r="XFD502" s="27"/>
    </row>
    <row r="503" s="42" customFormat="true" ht="14.15" hidden="false" customHeight="true" outlineLevel="0" collapsed="false">
      <c r="A503" s="28" t="s">
        <v>3404</v>
      </c>
      <c r="B503" s="29" t="s">
        <v>3405</v>
      </c>
      <c r="C503" s="29" t="s">
        <v>3406</v>
      </c>
      <c r="D503" s="30" t="s">
        <v>244</v>
      </c>
      <c r="E503" s="30" t="s">
        <v>245</v>
      </c>
      <c r="F503" s="32" t="n">
        <v>49</v>
      </c>
      <c r="G503" s="31" t="s">
        <v>61</v>
      </c>
      <c r="H503" s="31" t="n">
        <v>1</v>
      </c>
      <c r="I503" s="31" t="s">
        <v>62</v>
      </c>
      <c r="J503" s="29" t="s">
        <v>3407</v>
      </c>
      <c r="K503" s="29" t="s">
        <v>3408</v>
      </c>
      <c r="L503" s="32" t="n">
        <v>9</v>
      </c>
      <c r="M503" s="33" t="s">
        <v>757</v>
      </c>
      <c r="N503" s="34" t="n">
        <v>75017</v>
      </c>
      <c r="O503" s="35" t="s">
        <v>55</v>
      </c>
      <c r="P503" s="36" t="s">
        <v>3409</v>
      </c>
      <c r="Q503" s="36" t="n">
        <v>5</v>
      </c>
      <c r="R503" s="32" t="n">
        <v>132</v>
      </c>
      <c r="S503" s="32" t="n">
        <v>3</v>
      </c>
      <c r="T503" s="32"/>
      <c r="U503" s="32" t="n">
        <v>3</v>
      </c>
      <c r="V503" s="37" t="n">
        <v>3</v>
      </c>
      <c r="W503" s="32" t="n">
        <v>3</v>
      </c>
      <c r="X503" s="34" t="n">
        <v>1</v>
      </c>
      <c r="Y503" s="34" t="n">
        <v>1</v>
      </c>
      <c r="Z503" s="32"/>
      <c r="AA503" s="32" t="s">
        <v>3410</v>
      </c>
      <c r="AB503" s="32" t="s">
        <v>3411</v>
      </c>
      <c r="AC503" s="38" t="str">
        <f aca="false">HYPERLINK("https://biocodex6--c.vf.force.com/0014L00000KFZRTQA5", "DULMAN JEAN LAURENT")</f>
        <v>DULMAN JEAN LAURENT</v>
      </c>
      <c r="AD503" s="38" t="str">
        <f aca="false">HYPERLINK("https://annuairesante.ameli.fr/professionnels-de-sante/recherche/fiche-detaillee-B7c1lTE5NzC3.html", "DULMAN JEAN LAURENT")</f>
        <v>DULMAN JEAN LAURENT</v>
      </c>
      <c r="AE503" s="39" t="n">
        <v>45363.6875</v>
      </c>
      <c r="AF503" s="40" t="s">
        <v>3412</v>
      </c>
      <c r="AG503" s="41"/>
      <c r="AH503" s="32"/>
      <c r="AI503" s="32" t="s">
        <v>106</v>
      </c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XEY503" s="27"/>
      <c r="XEZ503" s="27"/>
      <c r="XFA503" s="27"/>
      <c r="XFB503" s="27"/>
      <c r="XFC503" s="27"/>
      <c r="XFD503" s="27"/>
    </row>
    <row r="504" s="42" customFormat="true" ht="14.15" hidden="false" customHeight="true" outlineLevel="0" collapsed="false">
      <c r="A504" s="28" t="s">
        <v>3413</v>
      </c>
      <c r="B504" s="29" t="s">
        <v>1749</v>
      </c>
      <c r="C504" s="29" t="s">
        <v>3414</v>
      </c>
      <c r="D504" s="30" t="s">
        <v>244</v>
      </c>
      <c r="E504" s="30" t="s">
        <v>245</v>
      </c>
      <c r="F504" s="32" t="n">
        <v>67</v>
      </c>
      <c r="G504" s="31"/>
      <c r="H504" s="31" t="n">
        <v>1</v>
      </c>
      <c r="I504" s="31" t="s">
        <v>99</v>
      </c>
      <c r="J504" s="29"/>
      <c r="K504" s="29" t="s">
        <v>3415</v>
      </c>
      <c r="L504" s="32" t="n">
        <v>7</v>
      </c>
      <c r="M504" s="33" t="s">
        <v>3416</v>
      </c>
      <c r="N504" s="34" t="n">
        <v>75015</v>
      </c>
      <c r="O504" s="35" t="s">
        <v>55</v>
      </c>
      <c r="P504" s="36"/>
      <c r="Q504" s="36" t="n">
        <v>4</v>
      </c>
      <c r="R504" s="32" t="n">
        <v>131</v>
      </c>
      <c r="S504" s="32" t="n">
        <v>3</v>
      </c>
      <c r="T504" s="32"/>
      <c r="U504" s="32"/>
      <c r="V504" s="37"/>
      <c r="W504" s="32"/>
      <c r="X504" s="34"/>
      <c r="Y504" s="34"/>
      <c r="Z504" s="32" t="s">
        <v>3417</v>
      </c>
      <c r="AA504" s="32" t="s">
        <v>3418</v>
      </c>
      <c r="AB504" s="32"/>
      <c r="AC504" s="38" t="str">
        <f aca="false">HYPERLINK("https://biocodex6--c.vf.force.com/0014L00000KFgXyQAL", "GONOD DANIELE")</f>
        <v>GONOD DANIELE</v>
      </c>
      <c r="AD504" s="38"/>
      <c r="AE504" s="39"/>
      <c r="AF504" s="40"/>
      <c r="AG504" s="41"/>
      <c r="AH504" s="32"/>
      <c r="AI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XEY504" s="27"/>
      <c r="XEZ504" s="27"/>
      <c r="XFA504" s="27"/>
      <c r="XFB504" s="27"/>
      <c r="XFC504" s="27"/>
      <c r="XFD504" s="27"/>
    </row>
    <row r="505" s="42" customFormat="true" ht="14.15" hidden="false" customHeight="true" outlineLevel="0" collapsed="false">
      <c r="A505" s="28" t="s">
        <v>3419</v>
      </c>
      <c r="B505" s="29" t="s">
        <v>3420</v>
      </c>
      <c r="C505" s="29" t="s">
        <v>3421</v>
      </c>
      <c r="D505" s="30" t="s">
        <v>244</v>
      </c>
      <c r="E505" s="30" t="s">
        <v>741</v>
      </c>
      <c r="F505" s="32" t="n">
        <v>72</v>
      </c>
      <c r="G505" s="31" t="s">
        <v>215</v>
      </c>
      <c r="H505" s="31" t="n">
        <v>1</v>
      </c>
      <c r="I505" s="31" t="s">
        <v>99</v>
      </c>
      <c r="J505" s="29"/>
      <c r="K505" s="29" t="s">
        <v>3422</v>
      </c>
      <c r="L505" s="32" t="n">
        <v>146</v>
      </c>
      <c r="M505" s="33" t="s">
        <v>101</v>
      </c>
      <c r="N505" s="34" t="n">
        <v>75015</v>
      </c>
      <c r="O505" s="35" t="s">
        <v>55</v>
      </c>
      <c r="P505" s="36" t="s">
        <v>3423</v>
      </c>
      <c r="Q505" s="36" t="n">
        <v>1</v>
      </c>
      <c r="R505" s="32" t="n">
        <v>127</v>
      </c>
      <c r="S505" s="32" t="n">
        <v>3</v>
      </c>
      <c r="T505" s="32"/>
      <c r="U505" s="32" t="n">
        <v>3</v>
      </c>
      <c r="V505" s="37"/>
      <c r="W505" s="32" t="n">
        <v>3</v>
      </c>
      <c r="X505" s="34" t="n">
        <v>1</v>
      </c>
      <c r="Y505" s="34" t="n">
        <v>1</v>
      </c>
      <c r="Z505" s="36" t="s">
        <v>3424</v>
      </c>
      <c r="AA505" s="32" t="s">
        <v>3425</v>
      </c>
      <c r="AB505" s="44" t="s">
        <v>3426</v>
      </c>
      <c r="AC505" s="38" t="str">
        <f aca="false">HYPERLINK("https://biocodex6--c.vf.force.com/0014L00000KFvWLQA1", "PETRARU TABOURIER CHRISTIANE")</f>
        <v>PETRARU TABOURIER CHRISTIANE</v>
      </c>
      <c r="AD505" s="38" t="str">
        <f aca="false">HYPERLINK("https://annuairesante.ameli.fr/professionnels-de-sante/recherche/fiche-detaillee-B7c1ljAyMzC6.html", "PETRARU TABOURIER CHRISTIANE")</f>
        <v>PETRARU TABOURIER CHRISTIANE</v>
      </c>
      <c r="AE505" s="39" t="n">
        <v>45362.5</v>
      </c>
      <c r="AF505" s="40" t="s">
        <v>3427</v>
      </c>
      <c r="AG505" s="41"/>
      <c r="AH505" s="32" t="s">
        <v>179</v>
      </c>
      <c r="AI505" s="32"/>
      <c r="AL505" s="43" t="s">
        <v>1301</v>
      </c>
      <c r="AM505" s="43" t="s">
        <v>395</v>
      </c>
      <c r="AN505" s="43" t="s">
        <v>3428</v>
      </c>
      <c r="AO505" s="43" t="s">
        <v>395</v>
      </c>
      <c r="AP505" s="43" t="s">
        <v>3428</v>
      </c>
      <c r="AQ505" s="43" t="s">
        <v>395</v>
      </c>
      <c r="AR505" s="32"/>
      <c r="AS505" s="43" t="s">
        <v>262</v>
      </c>
      <c r="AT505" s="43" t="s">
        <v>1301</v>
      </c>
      <c r="AU505" s="32"/>
      <c r="XEY505" s="27"/>
      <c r="XEZ505" s="27"/>
      <c r="XFA505" s="27"/>
      <c r="XFB505" s="27"/>
      <c r="XFC505" s="27"/>
      <c r="XFD505" s="27"/>
    </row>
    <row r="506" s="42" customFormat="true" ht="14.15" hidden="false" customHeight="true" outlineLevel="0" collapsed="false">
      <c r="A506" s="28" t="s">
        <v>3429</v>
      </c>
      <c r="B506" s="29" t="s">
        <v>3430</v>
      </c>
      <c r="C506" s="29" t="s">
        <v>3431</v>
      </c>
      <c r="D506" s="30" t="s">
        <v>244</v>
      </c>
      <c r="E506" s="30" t="s">
        <v>245</v>
      </c>
      <c r="F506" s="32" t="n">
        <v>0</v>
      </c>
      <c r="G506" s="31"/>
      <c r="H506" s="31" t="n">
        <v>1</v>
      </c>
      <c r="I506" s="31" t="s">
        <v>99</v>
      </c>
      <c r="J506" s="29" t="s">
        <v>595</v>
      </c>
      <c r="K506" s="29" t="s">
        <v>596</v>
      </c>
      <c r="L506" s="32" t="n">
        <v>20</v>
      </c>
      <c r="M506" s="33" t="s">
        <v>597</v>
      </c>
      <c r="N506" s="34" t="n">
        <v>75015</v>
      </c>
      <c r="O506" s="35" t="s">
        <v>55</v>
      </c>
      <c r="P506" s="36" t="s">
        <v>2773</v>
      </c>
      <c r="Q506" s="36" t="n">
        <v>90</v>
      </c>
      <c r="R506" s="32" t="n">
        <v>124</v>
      </c>
      <c r="S506" s="32" t="n">
        <v>3</v>
      </c>
      <c r="T506" s="32"/>
      <c r="U506" s="32"/>
      <c r="V506" s="37"/>
      <c r="W506" s="32"/>
      <c r="X506" s="34"/>
      <c r="Y506" s="34"/>
      <c r="Z506" s="32"/>
      <c r="AA506" s="32" t="s">
        <v>3432</v>
      </c>
      <c r="AB506" s="32"/>
      <c r="AC506" s="38" t="str">
        <f aca="false">HYPERLINK("https://biocodex6--c.vf.force.com/0014L00000KGATkQAP", "NGUYEN XUAN HUYEN THU")</f>
        <v>NGUYEN XUAN HUYEN THU</v>
      </c>
      <c r="AD506" s="38"/>
      <c r="AE506" s="39"/>
      <c r="AF506" s="40"/>
      <c r="AG506" s="41"/>
      <c r="AH506" s="32"/>
      <c r="AI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XEY506" s="27"/>
      <c r="XEZ506" s="27"/>
      <c r="XFA506" s="27"/>
      <c r="XFB506" s="27"/>
      <c r="XFC506" s="27"/>
      <c r="XFD506" s="27"/>
    </row>
    <row r="507" s="42" customFormat="true" ht="14.15" hidden="false" customHeight="true" outlineLevel="0" collapsed="false">
      <c r="A507" s="28" t="s">
        <v>3433</v>
      </c>
      <c r="B507" s="29" t="s">
        <v>3434</v>
      </c>
      <c r="C507" s="29" t="s">
        <v>3435</v>
      </c>
      <c r="D507" s="30" t="s">
        <v>244</v>
      </c>
      <c r="E507" s="30" t="s">
        <v>245</v>
      </c>
      <c r="F507" s="32" t="n">
        <v>36</v>
      </c>
      <c r="G507" s="31" t="s">
        <v>215</v>
      </c>
      <c r="H507" s="31" t="n">
        <v>3</v>
      </c>
      <c r="I507" s="31" t="s">
        <v>77</v>
      </c>
      <c r="J507" s="29" t="s">
        <v>580</v>
      </c>
      <c r="K507" s="29" t="s">
        <v>581</v>
      </c>
      <c r="L507" s="32" t="n">
        <v>63</v>
      </c>
      <c r="M507" s="33" t="s">
        <v>80</v>
      </c>
      <c r="N507" s="34" t="n">
        <v>92200</v>
      </c>
      <c r="O507" s="35" t="s">
        <v>81</v>
      </c>
      <c r="P507" s="36" t="s">
        <v>1189</v>
      </c>
      <c r="Q507" s="36" t="n">
        <v>39</v>
      </c>
      <c r="R507" s="32" t="n">
        <v>122</v>
      </c>
      <c r="S507" s="32" t="n">
        <v>3</v>
      </c>
      <c r="T507" s="32"/>
      <c r="U507" s="32"/>
      <c r="V507" s="37"/>
      <c r="W507" s="32"/>
      <c r="X507" s="34"/>
      <c r="Y507" s="34"/>
      <c r="Z507" s="32"/>
      <c r="AA507" s="32" t="s">
        <v>3436</v>
      </c>
      <c r="AB507" s="32" t="s">
        <v>3437</v>
      </c>
      <c r="AC507" s="38" t="str">
        <f aca="false">HYPERLINK("https://biocodex6--c.vf.force.com/0014L00000KG9VgQAL", "KRIEF FABIEN")</f>
        <v>KRIEF FABIEN</v>
      </c>
      <c r="AD507" s="38" t="str">
        <f aca="false">HYPERLINK("https://annuairesante.ameli.fr/professionnels-de-sante/recherche/fiche-detaillee-B7c1mjA0OTW1.html", "KRIEF FABIEN")</f>
        <v>KRIEF FABIEN</v>
      </c>
      <c r="AE507" s="39"/>
      <c r="AF507" s="40"/>
      <c r="AG507" s="41"/>
      <c r="AH507" s="32"/>
      <c r="AI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XEY507" s="27"/>
      <c r="XEZ507" s="27"/>
      <c r="XFA507" s="27"/>
      <c r="XFB507" s="27"/>
      <c r="XFC507" s="27"/>
      <c r="XFD507" s="27"/>
    </row>
    <row r="508" s="42" customFormat="true" ht="14.15" hidden="false" customHeight="true" outlineLevel="0" collapsed="false">
      <c r="A508" s="28" t="s">
        <v>3438</v>
      </c>
      <c r="B508" s="29" t="s">
        <v>3439</v>
      </c>
      <c r="C508" s="29" t="s">
        <v>3440</v>
      </c>
      <c r="D508" s="30" t="s">
        <v>244</v>
      </c>
      <c r="E508" s="30" t="s">
        <v>113</v>
      </c>
      <c r="F508" s="32" t="n">
        <v>64</v>
      </c>
      <c r="G508" s="31"/>
      <c r="H508" s="31" t="n">
        <v>1</v>
      </c>
      <c r="I508" s="31" t="s">
        <v>51</v>
      </c>
      <c r="J508" s="29"/>
      <c r="K508" s="29" t="s">
        <v>3441</v>
      </c>
      <c r="L508" s="32" t="n">
        <v>36</v>
      </c>
      <c r="M508" s="33" t="s">
        <v>3442</v>
      </c>
      <c r="N508" s="34" t="n">
        <v>75015</v>
      </c>
      <c r="O508" s="35" t="s">
        <v>55</v>
      </c>
      <c r="P508" s="36" t="s">
        <v>3443</v>
      </c>
      <c r="Q508" s="36" t="n">
        <v>1</v>
      </c>
      <c r="R508" s="32" t="n">
        <v>117</v>
      </c>
      <c r="S508" s="32" t="n">
        <v>3</v>
      </c>
      <c r="T508" s="32"/>
      <c r="U508" s="32"/>
      <c r="V508" s="37" t="n">
        <v>3</v>
      </c>
      <c r="W508" s="32" t="n">
        <v>3</v>
      </c>
      <c r="X508" s="34"/>
      <c r="Y508" s="34" t="n">
        <v>3</v>
      </c>
      <c r="Z508" s="32"/>
      <c r="AA508" s="32" t="s">
        <v>3444</v>
      </c>
      <c r="AB508" s="32"/>
      <c r="AC508" s="38" t="str">
        <f aca="false">HYPERLINK("https://biocodex6--c.vf.force.com/0014L00000KG39ZQAT", "THIS PASCALE")</f>
        <v>THIS PASCALE</v>
      </c>
      <c r="AD508" s="38"/>
      <c r="AE508" s="39"/>
      <c r="AF508" s="40"/>
      <c r="AG508" s="41"/>
      <c r="AH508" s="32"/>
      <c r="AI508" s="32" t="s">
        <v>71</v>
      </c>
      <c r="AJ508" s="42" t="s">
        <v>3445</v>
      </c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XEY508" s="27"/>
      <c r="XEZ508" s="27"/>
      <c r="XFA508" s="27"/>
      <c r="XFB508" s="27"/>
      <c r="XFC508" s="27"/>
      <c r="XFD508" s="27"/>
    </row>
    <row r="509" s="42" customFormat="true" ht="14.15" hidden="false" customHeight="true" outlineLevel="0" collapsed="false">
      <c r="A509" s="28" t="s">
        <v>3446</v>
      </c>
      <c r="B509" s="29" t="s">
        <v>3447</v>
      </c>
      <c r="C509" s="29" t="s">
        <v>3448</v>
      </c>
      <c r="D509" s="30" t="s">
        <v>244</v>
      </c>
      <c r="E509" s="30" t="s">
        <v>245</v>
      </c>
      <c r="F509" s="32" t="n">
        <v>71</v>
      </c>
      <c r="G509" s="31"/>
      <c r="H509" s="31" t="n">
        <v>1</v>
      </c>
      <c r="I509" s="31" t="s">
        <v>119</v>
      </c>
      <c r="J509" s="29"/>
      <c r="K509" s="29" t="s">
        <v>3449</v>
      </c>
      <c r="L509" s="32" t="n">
        <v>276</v>
      </c>
      <c r="M509" s="33" t="s">
        <v>3450</v>
      </c>
      <c r="N509" s="34" t="n">
        <v>75007</v>
      </c>
      <c r="O509" s="35" t="s">
        <v>55</v>
      </c>
      <c r="P509" s="36"/>
      <c r="Q509" s="36" t="n">
        <v>1</v>
      </c>
      <c r="R509" s="32" t="n">
        <v>116</v>
      </c>
      <c r="S509" s="32" t="n">
        <v>3</v>
      </c>
      <c r="T509" s="32"/>
      <c r="U509" s="32"/>
      <c r="V509" s="37"/>
      <c r="W509" s="32"/>
      <c r="X509" s="34"/>
      <c r="Y509" s="34"/>
      <c r="Z509" s="32" t="s">
        <v>3451</v>
      </c>
      <c r="AA509" s="32" t="s">
        <v>3452</v>
      </c>
      <c r="AB509" s="32"/>
      <c r="AC509" s="38" t="str">
        <f aca="false">HYPERLINK("https://biocodex6--c.vf.force.com/0014L00000KFSjpQAH", "BERCAU GUY")</f>
        <v>BERCAU GUY</v>
      </c>
      <c r="AD509" s="38"/>
      <c r="AE509" s="39"/>
      <c r="AF509" s="40"/>
      <c r="AG509" s="41"/>
      <c r="AH509" s="32"/>
      <c r="AI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XEY509" s="27"/>
      <c r="XEZ509" s="27"/>
      <c r="XFA509" s="27"/>
      <c r="XFB509" s="27"/>
      <c r="XFC509" s="27"/>
      <c r="XFD509" s="27"/>
    </row>
    <row r="510" s="42" customFormat="true" ht="14.15" hidden="false" customHeight="true" outlineLevel="0" collapsed="false">
      <c r="A510" s="28" t="s">
        <v>3453</v>
      </c>
      <c r="B510" s="29" t="s">
        <v>3454</v>
      </c>
      <c r="C510" s="29" t="s">
        <v>3455</v>
      </c>
      <c r="D510" s="30" t="s">
        <v>244</v>
      </c>
      <c r="E510" s="30" t="s">
        <v>245</v>
      </c>
      <c r="F510" s="32" t="n">
        <v>43</v>
      </c>
      <c r="G510" s="31" t="s">
        <v>215</v>
      </c>
      <c r="H510" s="31" t="n">
        <v>1</v>
      </c>
      <c r="I510" s="31" t="s">
        <v>119</v>
      </c>
      <c r="J510" s="29" t="s">
        <v>3456</v>
      </c>
      <c r="K510" s="29" t="s">
        <v>3457</v>
      </c>
      <c r="L510" s="32" t="n">
        <v>2</v>
      </c>
      <c r="M510" s="33" t="s">
        <v>3458</v>
      </c>
      <c r="N510" s="34" t="n">
        <v>75007</v>
      </c>
      <c r="O510" s="35" t="s">
        <v>55</v>
      </c>
      <c r="P510" s="36" t="s">
        <v>3459</v>
      </c>
      <c r="Q510" s="36" t="n">
        <v>5</v>
      </c>
      <c r="R510" s="32" t="n">
        <v>113</v>
      </c>
      <c r="S510" s="32" t="n">
        <v>3</v>
      </c>
      <c r="T510" s="32"/>
      <c r="U510" s="32"/>
      <c r="V510" s="37" t="n">
        <v>3</v>
      </c>
      <c r="W510" s="32"/>
      <c r="X510" s="34"/>
      <c r="Y510" s="34"/>
      <c r="Z510" s="36"/>
      <c r="AA510" s="32" t="s">
        <v>3460</v>
      </c>
      <c r="AB510" s="32" t="s">
        <v>3461</v>
      </c>
      <c r="AC510" s="38" t="str">
        <f aca="false">HYPERLINK("https://biocodex6--c.vf.force.com/0014L00000KFOv3QAH", "HEQUET DELPHINE")</f>
        <v>HEQUET DELPHINE</v>
      </c>
      <c r="AD510" s="38" t="str">
        <f aca="false">HYPERLINK("https://annuairesante.ameli.fr/professionnels-de-sante/recherche/fiche-detaillee-B7c1lTY3ODuw.html", "HEQUET DELPHINE")</f>
        <v>HEQUET DELPHINE</v>
      </c>
      <c r="AE510" s="39"/>
      <c r="AF510" s="40"/>
      <c r="AG510" s="41"/>
      <c r="AH510" s="32" t="s">
        <v>179</v>
      </c>
      <c r="AI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XEY510" s="27"/>
      <c r="XEZ510" s="27"/>
      <c r="XFA510" s="27"/>
      <c r="XFB510" s="27"/>
      <c r="XFC510" s="27"/>
      <c r="XFD510" s="27"/>
    </row>
    <row r="511" s="42" customFormat="true" ht="14.15" hidden="false" customHeight="true" outlineLevel="0" collapsed="false">
      <c r="A511" s="28" t="s">
        <v>3462</v>
      </c>
      <c r="B511" s="29" t="s">
        <v>3463</v>
      </c>
      <c r="C511" s="29" t="s">
        <v>3464</v>
      </c>
      <c r="D511" s="30" t="s">
        <v>244</v>
      </c>
      <c r="E511" s="30" t="s">
        <v>245</v>
      </c>
      <c r="F511" s="32" t="n">
        <v>40</v>
      </c>
      <c r="G511" s="31" t="s">
        <v>215</v>
      </c>
      <c r="H511" s="31" t="n">
        <v>1</v>
      </c>
      <c r="I511" s="31" t="s">
        <v>435</v>
      </c>
      <c r="J511" s="29" t="s">
        <v>2209</v>
      </c>
      <c r="K511" s="29" t="s">
        <v>2210</v>
      </c>
      <c r="L511" s="32" t="n">
        <v>4</v>
      </c>
      <c r="M511" s="33" t="s">
        <v>3465</v>
      </c>
      <c r="N511" s="34" t="n">
        <v>75016</v>
      </c>
      <c r="O511" s="35" t="s">
        <v>55</v>
      </c>
      <c r="P511" s="36" t="s">
        <v>3466</v>
      </c>
      <c r="Q511" s="36" t="n">
        <v>5</v>
      </c>
      <c r="R511" s="32" t="n">
        <v>113</v>
      </c>
      <c r="S511" s="32" t="n">
        <v>3</v>
      </c>
      <c r="T511" s="32"/>
      <c r="U511" s="32"/>
      <c r="V511" s="37" t="n">
        <v>3</v>
      </c>
      <c r="W511" s="32" t="n">
        <v>2</v>
      </c>
      <c r="X511" s="34"/>
      <c r="Y511" s="34" t="n">
        <v>2</v>
      </c>
      <c r="Z511" s="36"/>
      <c r="AA511" s="32" t="s">
        <v>3467</v>
      </c>
      <c r="AB511" s="44" t="s">
        <v>3468</v>
      </c>
      <c r="AC511" s="38" t="str">
        <f aca="false">HYPERLINK("https://biocodex6--c.vf.force.com/0014L00000KFnYRQA1", "LAMBERT SIXTINE")</f>
        <v>LAMBERT SIXTINE</v>
      </c>
      <c r="AD511" s="38" t="str">
        <f aca="false">HYPERLINK("https://annuairesante.ameli.fr/professionnels-de-sante/recherche/fiche-detaillee-B7c1mzY4NDOx.html", "LAMBERT SIXTINE")</f>
        <v>LAMBERT SIXTINE</v>
      </c>
      <c r="AE511" s="39"/>
      <c r="AF511" s="40"/>
      <c r="AG511" s="41"/>
      <c r="AH511" s="32" t="s">
        <v>3469</v>
      </c>
      <c r="AI511" s="32"/>
      <c r="AL511" s="43" t="s">
        <v>338</v>
      </c>
      <c r="AM511" s="32"/>
      <c r="AN511" s="43" t="s">
        <v>3470</v>
      </c>
      <c r="AO511" s="32"/>
      <c r="AP511" s="32"/>
      <c r="AQ511" s="32"/>
      <c r="AR511" s="43" t="s">
        <v>822</v>
      </c>
      <c r="AS511" s="43" t="s">
        <v>137</v>
      </c>
      <c r="AT511" s="32"/>
      <c r="AU511" s="32"/>
      <c r="XEY511" s="27"/>
      <c r="XEZ511" s="27"/>
      <c r="XFA511" s="27"/>
      <c r="XFB511" s="27"/>
      <c r="XFC511" s="27"/>
      <c r="XFD511" s="27"/>
    </row>
    <row r="512" s="42" customFormat="true" ht="14.15" hidden="false" customHeight="true" outlineLevel="0" collapsed="false">
      <c r="A512" s="28" t="s">
        <v>3471</v>
      </c>
      <c r="B512" s="29" t="s">
        <v>117</v>
      </c>
      <c r="C512" s="29" t="s">
        <v>3472</v>
      </c>
      <c r="D512" s="30" t="s">
        <v>244</v>
      </c>
      <c r="E512" s="30" t="s">
        <v>245</v>
      </c>
      <c r="F512" s="32" t="n">
        <v>75</v>
      </c>
      <c r="G512" s="31"/>
      <c r="H512" s="31" t="n">
        <v>1</v>
      </c>
      <c r="I512" s="31" t="s">
        <v>233</v>
      </c>
      <c r="J512" s="29"/>
      <c r="K512" s="29" t="s">
        <v>3473</v>
      </c>
      <c r="L512" s="32" t="n">
        <v>228</v>
      </c>
      <c r="M512" s="33" t="s">
        <v>1002</v>
      </c>
      <c r="N512" s="34" t="n">
        <v>75015</v>
      </c>
      <c r="O512" s="35" t="s">
        <v>55</v>
      </c>
      <c r="P512" s="36" t="s">
        <v>3474</v>
      </c>
      <c r="Q512" s="36" t="n">
        <v>1</v>
      </c>
      <c r="R512" s="32" t="n">
        <v>113</v>
      </c>
      <c r="S512" s="32" t="n">
        <v>3</v>
      </c>
      <c r="T512" s="32"/>
      <c r="U512" s="32"/>
      <c r="V512" s="37"/>
      <c r="W512" s="32"/>
      <c r="X512" s="34"/>
      <c r="Y512" s="34"/>
      <c r="Z512" s="32"/>
      <c r="AA512" s="32" t="s">
        <v>3475</v>
      </c>
      <c r="AB512" s="32"/>
      <c r="AC512" s="38" t="str">
        <f aca="false">HYPERLINK("https://biocodex6--c.vf.force.com/0014L00000KFv2EQAT", "PATUREAU DOMINIQUE")</f>
        <v>PATUREAU DOMINIQUE</v>
      </c>
      <c r="AD512" s="38"/>
      <c r="AE512" s="39"/>
      <c r="AF512" s="40"/>
      <c r="AG512" s="41"/>
      <c r="AH512" s="32"/>
      <c r="AI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XEY512" s="27"/>
      <c r="XEZ512" s="27"/>
      <c r="XFA512" s="27"/>
      <c r="XFB512" s="27"/>
      <c r="XFC512" s="27"/>
      <c r="XFD512" s="27"/>
    </row>
    <row r="513" s="42" customFormat="true" ht="14.15" hidden="false" customHeight="true" outlineLevel="0" collapsed="false">
      <c r="A513" s="28" t="s">
        <v>3476</v>
      </c>
      <c r="B513" s="29" t="s">
        <v>3477</v>
      </c>
      <c r="C513" s="29" t="s">
        <v>3478</v>
      </c>
      <c r="D513" s="30" t="s">
        <v>244</v>
      </c>
      <c r="E513" s="30" t="s">
        <v>245</v>
      </c>
      <c r="F513" s="32" t="n">
        <v>73</v>
      </c>
      <c r="G513" s="31" t="s">
        <v>98</v>
      </c>
      <c r="H513" s="31" t="n">
        <v>3</v>
      </c>
      <c r="I513" s="31" t="s">
        <v>77</v>
      </c>
      <c r="J513" s="29" t="s">
        <v>580</v>
      </c>
      <c r="K513" s="29" t="s">
        <v>581</v>
      </c>
      <c r="L513" s="32" t="n">
        <v>63</v>
      </c>
      <c r="M513" s="33" t="s">
        <v>80</v>
      </c>
      <c r="N513" s="34" t="n">
        <v>92200</v>
      </c>
      <c r="O513" s="35" t="s">
        <v>81</v>
      </c>
      <c r="P513" s="36" t="s">
        <v>3479</v>
      </c>
      <c r="Q513" s="36" t="n">
        <v>39</v>
      </c>
      <c r="R513" s="32" t="n">
        <v>112</v>
      </c>
      <c r="S513" s="32" t="n">
        <v>3</v>
      </c>
      <c r="T513" s="32"/>
      <c r="U513" s="32"/>
      <c r="V513" s="37"/>
      <c r="W513" s="32"/>
      <c r="X513" s="34"/>
      <c r="Y513" s="34"/>
      <c r="Z513" s="36"/>
      <c r="AA513" s="32" t="s">
        <v>3480</v>
      </c>
      <c r="AB513" s="32" t="s">
        <v>3481</v>
      </c>
      <c r="AC513" s="38" t="str">
        <f aca="false">HYPERLINK("https://biocodex6--c.vf.force.com/0014L00000KFtgSQAT", "NISAND ISRAEL")</f>
        <v>NISAND ISRAEL</v>
      </c>
      <c r="AD513" s="38" t="str">
        <f aca="false">HYPERLINK("https://annuairesante.ameli.fr/professionnels-de-sante/recherche/fiche-detaillee-CbA1mjYxNzu7.html", "NISAND ISRAEL")</f>
        <v>NISAND ISRAEL</v>
      </c>
      <c r="AE513" s="39"/>
      <c r="AF513" s="40"/>
      <c r="AG513" s="41"/>
      <c r="AH513" s="32" t="s">
        <v>179</v>
      </c>
      <c r="AI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XEY513" s="27"/>
      <c r="XEZ513" s="27"/>
      <c r="XFA513" s="27"/>
      <c r="XFB513" s="27"/>
      <c r="XFC513" s="27"/>
      <c r="XFD513" s="27"/>
    </row>
    <row r="514" s="42" customFormat="true" ht="14.15" hidden="false" customHeight="true" outlineLevel="0" collapsed="false">
      <c r="A514" s="28" t="s">
        <v>3482</v>
      </c>
      <c r="B514" s="29" t="s">
        <v>1218</v>
      </c>
      <c r="C514" s="29" t="s">
        <v>3483</v>
      </c>
      <c r="D514" s="30" t="s">
        <v>112</v>
      </c>
      <c r="E514" s="31"/>
      <c r="F514" s="32"/>
      <c r="G514" s="31"/>
      <c r="H514" s="31" t="n">
        <v>2</v>
      </c>
      <c r="I514" s="31" t="s">
        <v>62</v>
      </c>
      <c r="J514" s="29"/>
      <c r="K514" s="29" t="s">
        <v>3484</v>
      </c>
      <c r="L514" s="32" t="n">
        <v>18</v>
      </c>
      <c r="M514" s="33" t="s">
        <v>3485</v>
      </c>
      <c r="N514" s="34" t="n">
        <v>75017</v>
      </c>
      <c r="O514" s="35" t="s">
        <v>55</v>
      </c>
      <c r="P514" s="36"/>
      <c r="Q514" s="36" t="n">
        <v>2</v>
      </c>
      <c r="R514" s="32" t="n">
        <v>109</v>
      </c>
      <c r="S514" s="32" t="n">
        <v>3</v>
      </c>
      <c r="T514" s="32"/>
      <c r="U514" s="32"/>
      <c r="V514" s="37"/>
      <c r="W514" s="32"/>
      <c r="X514" s="34"/>
      <c r="Y514" s="34"/>
      <c r="Z514" s="32"/>
      <c r="AA514" s="32" t="s">
        <v>3486</v>
      </c>
      <c r="AB514" s="32"/>
      <c r="AC514" s="38" t="str">
        <f aca="false">HYPERLINK("https://biocodex6--c.vf.force.com/0014L00000KFSz4QAH", "BERCOT CLAUDE")</f>
        <v>BERCOT CLAUDE</v>
      </c>
      <c r="AD514" s="38"/>
      <c r="AE514" s="39"/>
      <c r="AF514" s="40"/>
      <c r="AG514" s="41"/>
      <c r="AH514" s="32"/>
      <c r="AI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XEY514" s="27"/>
      <c r="XEZ514" s="27"/>
      <c r="XFA514" s="27"/>
      <c r="XFB514" s="27"/>
      <c r="XFC514" s="27"/>
      <c r="XFD514" s="27"/>
    </row>
    <row r="515" s="42" customFormat="true" ht="14.15" hidden="false" customHeight="true" outlineLevel="0" collapsed="false">
      <c r="A515" s="28" t="s">
        <v>3487</v>
      </c>
      <c r="B515" s="29" t="s">
        <v>1584</v>
      </c>
      <c r="C515" s="29" t="s">
        <v>3488</v>
      </c>
      <c r="D515" s="30" t="s">
        <v>75</v>
      </c>
      <c r="E515" s="31"/>
      <c r="F515" s="32" t="n">
        <v>62</v>
      </c>
      <c r="G515" s="31" t="s">
        <v>215</v>
      </c>
      <c r="H515" s="31" t="n">
        <v>2</v>
      </c>
      <c r="I515" s="46" t="s">
        <v>387</v>
      </c>
      <c r="J515" s="29"/>
      <c r="K515" s="29" t="s">
        <v>3489</v>
      </c>
      <c r="L515" s="32" t="n">
        <v>19</v>
      </c>
      <c r="M515" s="33" t="s">
        <v>3490</v>
      </c>
      <c r="N515" s="34" t="n">
        <v>75016</v>
      </c>
      <c r="O515" s="35" t="s">
        <v>55</v>
      </c>
      <c r="P515" s="36" t="s">
        <v>3491</v>
      </c>
      <c r="Q515" s="36" t="n">
        <v>1</v>
      </c>
      <c r="R515" s="32" t="n">
        <v>108</v>
      </c>
      <c r="S515" s="32" t="n">
        <v>3</v>
      </c>
      <c r="T515" s="32"/>
      <c r="U515" s="32" t="n">
        <v>3</v>
      </c>
      <c r="V515" s="37" t="n">
        <v>2</v>
      </c>
      <c r="W515" s="32" t="n">
        <v>3</v>
      </c>
      <c r="X515" s="34"/>
      <c r="Y515" s="34" t="n">
        <v>1</v>
      </c>
      <c r="Z515" s="32"/>
      <c r="AA515" s="32" t="s">
        <v>3492</v>
      </c>
      <c r="AB515" s="32" t="s">
        <v>3493</v>
      </c>
      <c r="AC515" s="38" t="str">
        <f aca="false">HYPERLINK("https://biocodex6--c.vf.force.com/0014L00000KG2yVQAT", "THERVET LAURENCE")</f>
        <v>THERVET LAURENCE</v>
      </c>
      <c r="AD515" s="38" t="str">
        <f aca="false">HYPERLINK("https://annuairesante.ameli.fr/professionnels-de-sante/recherche/fiche-detaillee-B7c1lzcxODGz.html", "THERVET LAURENCE")</f>
        <v>THERVET LAURENCE</v>
      </c>
      <c r="AE515" s="39" t="n">
        <v>45440.5416666667</v>
      </c>
      <c r="AF515" s="40" t="s">
        <v>3494</v>
      </c>
      <c r="AG515" s="41"/>
      <c r="AH515" s="32" t="s">
        <v>70</v>
      </c>
      <c r="AI515" s="32" t="s">
        <v>71</v>
      </c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XEY515" s="27"/>
      <c r="XEZ515" s="27"/>
      <c r="XFA515" s="27"/>
      <c r="XFB515" s="27"/>
      <c r="XFC515" s="27"/>
      <c r="XFD515" s="27"/>
    </row>
    <row r="516" s="42" customFormat="true" ht="14.15" hidden="false" customHeight="true" outlineLevel="0" collapsed="false">
      <c r="A516" s="28" t="s">
        <v>3495</v>
      </c>
      <c r="B516" s="29" t="s">
        <v>2519</v>
      </c>
      <c r="C516" s="29" t="s">
        <v>3496</v>
      </c>
      <c r="D516" s="30" t="s">
        <v>112</v>
      </c>
      <c r="E516" s="31"/>
      <c r="F516" s="32" t="n">
        <v>50</v>
      </c>
      <c r="G516" s="31"/>
      <c r="H516" s="31" t="n">
        <v>1</v>
      </c>
      <c r="I516" s="31" t="s">
        <v>51</v>
      </c>
      <c r="J516" s="29" t="s">
        <v>52</v>
      </c>
      <c r="K516" s="29" t="s">
        <v>53</v>
      </c>
      <c r="L516" s="32" t="n">
        <v>149</v>
      </c>
      <c r="M516" s="33" t="s">
        <v>54</v>
      </c>
      <c r="N516" s="34" t="n">
        <v>75015</v>
      </c>
      <c r="O516" s="35" t="s">
        <v>55</v>
      </c>
      <c r="P516" s="36" t="s">
        <v>114</v>
      </c>
      <c r="Q516" s="36" t="n">
        <v>236</v>
      </c>
      <c r="R516" s="32" t="n">
        <v>106</v>
      </c>
      <c r="S516" s="32" t="n">
        <v>3</v>
      </c>
      <c r="T516" s="32"/>
      <c r="U516" s="32"/>
      <c r="V516" s="37"/>
      <c r="W516" s="32"/>
      <c r="X516" s="34"/>
      <c r="Y516" s="34"/>
      <c r="Z516" s="32"/>
      <c r="AA516" s="32" t="s">
        <v>3497</v>
      </c>
      <c r="AB516" s="32"/>
      <c r="AC516" s="38" t="str">
        <f aca="false">HYPERLINK("https://biocodex6--c.vf.force.com/0014L00000KFfaZQAT", "SCHIFF MANUEL")</f>
        <v>SCHIFF MANUEL</v>
      </c>
      <c r="AD516" s="38"/>
      <c r="AE516" s="39"/>
      <c r="AF516" s="40"/>
      <c r="AG516" s="41"/>
      <c r="AH516" s="32"/>
      <c r="AI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XEY516" s="27"/>
      <c r="XEZ516" s="27"/>
      <c r="XFA516" s="27"/>
      <c r="XFB516" s="27"/>
      <c r="XFC516" s="27"/>
      <c r="XFD516" s="27"/>
    </row>
    <row r="517" s="42" customFormat="true" ht="14.15" hidden="false" customHeight="true" outlineLevel="0" collapsed="false">
      <c r="A517" s="28" t="s">
        <v>3498</v>
      </c>
      <c r="B517" s="29" t="s">
        <v>204</v>
      </c>
      <c r="C517" s="29" t="s">
        <v>3499</v>
      </c>
      <c r="D517" s="30" t="s">
        <v>112</v>
      </c>
      <c r="E517" s="31"/>
      <c r="F517" s="32" t="n">
        <v>56</v>
      </c>
      <c r="G517" s="31"/>
      <c r="H517" s="31" t="n">
        <v>1</v>
      </c>
      <c r="I517" s="31" t="s">
        <v>77</v>
      </c>
      <c r="J517" s="29" t="s">
        <v>246</v>
      </c>
      <c r="K517" s="29" t="s">
        <v>247</v>
      </c>
      <c r="L517" s="32" t="n">
        <v>36</v>
      </c>
      <c r="M517" s="33" t="s">
        <v>248</v>
      </c>
      <c r="N517" s="34" t="n">
        <v>92200</v>
      </c>
      <c r="O517" s="35" t="s">
        <v>81</v>
      </c>
      <c r="P517" s="36" t="s">
        <v>365</v>
      </c>
      <c r="Q517" s="36" t="n">
        <v>49</v>
      </c>
      <c r="R517" s="32" t="n">
        <v>106</v>
      </c>
      <c r="S517" s="32" t="n">
        <v>3</v>
      </c>
      <c r="T517" s="32"/>
      <c r="U517" s="32"/>
      <c r="V517" s="37"/>
      <c r="W517" s="32"/>
      <c r="X517" s="34"/>
      <c r="Y517" s="34"/>
      <c r="Z517" s="32"/>
      <c r="AA517" s="32" t="s">
        <v>3500</v>
      </c>
      <c r="AB517" s="32"/>
      <c r="AC517" s="38" t="str">
        <f aca="false">HYPERLINK("https://biocodex6--c.vf.force.com/0014L00000KFTi9QAH", "BLOT NATHALIE")</f>
        <v>BLOT NATHALIE</v>
      </c>
      <c r="AD517" s="38"/>
      <c r="AE517" s="39"/>
      <c r="AF517" s="40"/>
      <c r="AG517" s="41"/>
      <c r="AH517" s="32"/>
      <c r="AI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XEY517" s="27"/>
      <c r="XEZ517" s="27"/>
      <c r="XFA517" s="27"/>
      <c r="XFB517" s="27"/>
      <c r="XFC517" s="27"/>
      <c r="XFD517" s="27"/>
    </row>
    <row r="518" s="42" customFormat="true" ht="14.15" hidden="false" customHeight="true" outlineLevel="0" collapsed="false">
      <c r="A518" s="28" t="s">
        <v>3501</v>
      </c>
      <c r="B518" s="29" t="s">
        <v>1377</v>
      </c>
      <c r="C518" s="29" t="s">
        <v>3502</v>
      </c>
      <c r="D518" s="30" t="s">
        <v>112</v>
      </c>
      <c r="E518" s="31"/>
      <c r="F518" s="32"/>
      <c r="G518" s="31"/>
      <c r="H518" s="31" t="n">
        <v>1</v>
      </c>
      <c r="I518" s="31" t="s">
        <v>77</v>
      </c>
      <c r="J518" s="29" t="s">
        <v>246</v>
      </c>
      <c r="K518" s="29" t="s">
        <v>247</v>
      </c>
      <c r="L518" s="32" t="n">
        <v>36</v>
      </c>
      <c r="M518" s="33" t="s">
        <v>248</v>
      </c>
      <c r="N518" s="34" t="n">
        <v>92200</v>
      </c>
      <c r="O518" s="35" t="s">
        <v>81</v>
      </c>
      <c r="P518" s="36" t="s">
        <v>365</v>
      </c>
      <c r="Q518" s="36" t="n">
        <v>49</v>
      </c>
      <c r="R518" s="32" t="n">
        <v>106</v>
      </c>
      <c r="S518" s="32" t="n">
        <v>3</v>
      </c>
      <c r="T518" s="32"/>
      <c r="U518" s="32"/>
      <c r="V518" s="37"/>
      <c r="W518" s="32"/>
      <c r="X518" s="34"/>
      <c r="Y518" s="34"/>
      <c r="Z518" s="32"/>
      <c r="AA518" s="32" t="s">
        <v>3503</v>
      </c>
      <c r="AB518" s="32"/>
      <c r="AC518" s="38" t="str">
        <f aca="false">HYPERLINK("https://biocodex6--c.vf.force.com/0014L00000KG23BQAT", "PEJOAN HELENE")</f>
        <v>PEJOAN HELENE</v>
      </c>
      <c r="AD518" s="38"/>
      <c r="AE518" s="39"/>
      <c r="AF518" s="40"/>
      <c r="AG518" s="41"/>
      <c r="AH518" s="32"/>
      <c r="AI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XEY518" s="27"/>
      <c r="XEZ518" s="27"/>
      <c r="XFA518" s="27"/>
      <c r="XFB518" s="27"/>
      <c r="XFC518" s="27"/>
      <c r="XFD518" s="27"/>
    </row>
    <row r="519" s="42" customFormat="true" ht="14.15" hidden="false" customHeight="true" outlineLevel="0" collapsed="false">
      <c r="A519" s="28" t="s">
        <v>3504</v>
      </c>
      <c r="B519" s="29" t="s">
        <v>1218</v>
      </c>
      <c r="C519" s="29" t="s">
        <v>3505</v>
      </c>
      <c r="D519" s="30" t="s">
        <v>244</v>
      </c>
      <c r="E519" s="30" t="s">
        <v>245</v>
      </c>
      <c r="F519" s="32" t="n">
        <v>70</v>
      </c>
      <c r="G519" s="31"/>
      <c r="H519" s="31" t="n">
        <v>1</v>
      </c>
      <c r="I519" s="31" t="s">
        <v>51</v>
      </c>
      <c r="J519" s="29" t="s">
        <v>2010</v>
      </c>
      <c r="K519" s="29" t="s">
        <v>2011</v>
      </c>
      <c r="L519" s="32" t="n">
        <v>37</v>
      </c>
      <c r="M519" s="33" t="s">
        <v>2012</v>
      </c>
      <c r="N519" s="34" t="n">
        <v>75015</v>
      </c>
      <c r="O519" s="35" t="s">
        <v>55</v>
      </c>
      <c r="P519" s="36" t="s">
        <v>2013</v>
      </c>
      <c r="Q519" s="36" t="n">
        <v>19</v>
      </c>
      <c r="R519" s="32" t="n">
        <v>105</v>
      </c>
      <c r="S519" s="32" t="n">
        <v>3</v>
      </c>
      <c r="T519" s="32"/>
      <c r="U519" s="32"/>
      <c r="V519" s="37"/>
      <c r="W519" s="32" t="n">
        <v>3</v>
      </c>
      <c r="X519" s="34"/>
      <c r="Y519" s="34" t="n">
        <v>1</v>
      </c>
      <c r="Z519" s="32"/>
      <c r="AA519" s="32" t="s">
        <v>3506</v>
      </c>
      <c r="AB519" s="32"/>
      <c r="AC519" s="38" t="str">
        <f aca="false">HYPERLINK("https://biocodex6--c.vf.force.com/0014L00000KFeG0QAL", "COSNIER CLAUDE")</f>
        <v>COSNIER CLAUDE</v>
      </c>
      <c r="AD519" s="38"/>
      <c r="AE519" s="39" t="n">
        <v>45243.5208333333</v>
      </c>
      <c r="AF519" s="40"/>
      <c r="AG519" s="41"/>
      <c r="AH519" s="32"/>
      <c r="AI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XEY519" s="27"/>
      <c r="XEZ519" s="27"/>
      <c r="XFA519" s="27"/>
      <c r="XFB519" s="27"/>
      <c r="XFC519" s="27"/>
      <c r="XFD519" s="27"/>
    </row>
    <row r="520" s="42" customFormat="true" ht="14.15" hidden="false" customHeight="true" outlineLevel="0" collapsed="false">
      <c r="A520" s="28" t="s">
        <v>3507</v>
      </c>
      <c r="B520" s="29" t="s">
        <v>3454</v>
      </c>
      <c r="C520" s="29" t="s">
        <v>3508</v>
      </c>
      <c r="D520" s="30" t="s">
        <v>112</v>
      </c>
      <c r="E520" s="31"/>
      <c r="F520" s="32" t="n">
        <v>55</v>
      </c>
      <c r="G520" s="31" t="s">
        <v>215</v>
      </c>
      <c r="H520" s="31" t="n">
        <v>2</v>
      </c>
      <c r="I520" s="31" t="s">
        <v>295</v>
      </c>
      <c r="J520" s="29"/>
      <c r="K520" s="29" t="s">
        <v>3509</v>
      </c>
      <c r="L520" s="32" t="n">
        <v>75</v>
      </c>
      <c r="M520" s="33" t="s">
        <v>3510</v>
      </c>
      <c r="N520" s="34" t="n">
        <v>92300</v>
      </c>
      <c r="O520" s="35" t="s">
        <v>298</v>
      </c>
      <c r="P520" s="36" t="s">
        <v>3511</v>
      </c>
      <c r="Q520" s="36" t="n">
        <v>2</v>
      </c>
      <c r="R520" s="32" t="n">
        <v>103</v>
      </c>
      <c r="S520" s="32" t="n">
        <v>3</v>
      </c>
      <c r="T520" s="32"/>
      <c r="U520" s="32"/>
      <c r="V520" s="37"/>
      <c r="W520" s="32"/>
      <c r="X520" s="34"/>
      <c r="Y520" s="34"/>
      <c r="Z520" s="32"/>
      <c r="AA520" s="32" t="s">
        <v>3512</v>
      </c>
      <c r="AB520" s="32" t="s">
        <v>3513</v>
      </c>
      <c r="AC520" s="38" t="str">
        <f aca="false">HYPERLINK("https://biocodex6--c.vf.force.com/0014L00000KG6t3QAD", "ZENATY DELPHINE")</f>
        <v>ZENATY DELPHINE</v>
      </c>
      <c r="AD520" s="38" t="str">
        <f aca="false">HYPERLINK("https://annuairesante.ameli.fr/professionnels-de-sante/recherche/fiche-detaillee-CbA1kzQ5OTa2.html", "ZENATY DELPHINE")</f>
        <v>ZENATY DELPHINE</v>
      </c>
      <c r="AE520" s="39"/>
      <c r="AF520" s="40"/>
      <c r="AG520" s="41"/>
      <c r="AH520" s="32"/>
      <c r="AI520" s="32"/>
      <c r="AL520" s="43" t="s">
        <v>169</v>
      </c>
      <c r="AM520" s="43" t="s">
        <v>262</v>
      </c>
      <c r="AN520" s="32"/>
      <c r="AO520" s="32"/>
      <c r="AP520" s="43" t="s">
        <v>169</v>
      </c>
      <c r="AQ520" s="43" t="s">
        <v>137</v>
      </c>
      <c r="AR520" s="32"/>
      <c r="AS520" s="32"/>
      <c r="AT520" s="43" t="s">
        <v>3514</v>
      </c>
      <c r="AU520" s="32"/>
      <c r="XEY520" s="27"/>
      <c r="XEZ520" s="27"/>
      <c r="XFA520" s="27"/>
      <c r="XFB520" s="27"/>
      <c r="XFC520" s="27"/>
      <c r="XFD520" s="27"/>
    </row>
    <row r="521" s="42" customFormat="true" ht="14.15" hidden="false" customHeight="true" outlineLevel="0" collapsed="false">
      <c r="A521" s="28" t="s">
        <v>3515</v>
      </c>
      <c r="B521" s="29" t="s">
        <v>3516</v>
      </c>
      <c r="C521" s="29" t="s">
        <v>3517</v>
      </c>
      <c r="D521" s="30" t="s">
        <v>244</v>
      </c>
      <c r="E521" s="31"/>
      <c r="F521" s="32"/>
      <c r="G521" s="31"/>
      <c r="H521" s="31" t="n">
        <v>2</v>
      </c>
      <c r="I521" s="31" t="s">
        <v>77</v>
      </c>
      <c r="J521" s="29" t="s">
        <v>246</v>
      </c>
      <c r="K521" s="29" t="s">
        <v>247</v>
      </c>
      <c r="L521" s="32" t="n">
        <v>36</v>
      </c>
      <c r="M521" s="33" t="s">
        <v>248</v>
      </c>
      <c r="N521" s="34" t="n">
        <v>92200</v>
      </c>
      <c r="O521" s="35" t="s">
        <v>81</v>
      </c>
      <c r="P521" s="36" t="s">
        <v>614</v>
      </c>
      <c r="Q521" s="36" t="n">
        <v>49</v>
      </c>
      <c r="R521" s="32" t="n">
        <v>103</v>
      </c>
      <c r="S521" s="32" t="n">
        <v>3</v>
      </c>
      <c r="T521" s="32"/>
      <c r="U521" s="32"/>
      <c r="V521" s="37"/>
      <c r="W521" s="32"/>
      <c r="X521" s="34"/>
      <c r="Y521" s="34"/>
      <c r="Z521" s="32"/>
      <c r="AA521" s="32" t="s">
        <v>3518</v>
      </c>
      <c r="AB521" s="32"/>
      <c r="AC521" s="38" t="str">
        <f aca="false">HYPERLINK("https://biocodex6--c.vf.force.com/0014L00000KGMQMQA5", "VIEZUINA ROXANA ELENA")</f>
        <v>VIEZUINA ROXANA ELENA</v>
      </c>
      <c r="AD521" s="38"/>
      <c r="AE521" s="39"/>
      <c r="AF521" s="40"/>
      <c r="AG521" s="41"/>
      <c r="AH521" s="32"/>
      <c r="AI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XEY521" s="27"/>
      <c r="XEZ521" s="27"/>
      <c r="XFA521" s="27"/>
      <c r="XFB521" s="27"/>
      <c r="XFC521" s="27"/>
      <c r="XFD521" s="27"/>
    </row>
    <row r="522" s="42" customFormat="true" ht="14.15" hidden="false" customHeight="true" outlineLevel="0" collapsed="false">
      <c r="A522" s="28" t="s">
        <v>3519</v>
      </c>
      <c r="B522" s="29" t="s">
        <v>3520</v>
      </c>
      <c r="C522" s="29" t="s">
        <v>3521</v>
      </c>
      <c r="D522" s="30" t="s">
        <v>244</v>
      </c>
      <c r="E522" s="30" t="s">
        <v>245</v>
      </c>
      <c r="F522" s="32" t="n">
        <v>43</v>
      </c>
      <c r="G522" s="31"/>
      <c r="H522" s="31" t="n">
        <v>1</v>
      </c>
      <c r="I522" s="31" t="s">
        <v>77</v>
      </c>
      <c r="J522" s="29" t="s">
        <v>246</v>
      </c>
      <c r="K522" s="29" t="s">
        <v>247</v>
      </c>
      <c r="L522" s="32" t="n">
        <v>36</v>
      </c>
      <c r="M522" s="33" t="s">
        <v>248</v>
      </c>
      <c r="N522" s="34" t="n">
        <v>92200</v>
      </c>
      <c r="O522" s="35" t="s">
        <v>81</v>
      </c>
      <c r="P522" s="36" t="s">
        <v>614</v>
      </c>
      <c r="Q522" s="36" t="n">
        <v>49</v>
      </c>
      <c r="R522" s="32" t="n">
        <v>101</v>
      </c>
      <c r="S522" s="32" t="n">
        <v>3</v>
      </c>
      <c r="T522" s="32"/>
      <c r="U522" s="32"/>
      <c r="V522" s="37"/>
      <c r="W522" s="32"/>
      <c r="X522" s="34"/>
      <c r="Y522" s="34"/>
      <c r="Z522" s="32"/>
      <c r="AA522" s="32" t="s">
        <v>3522</v>
      </c>
      <c r="AB522" s="32"/>
      <c r="AC522" s="38" t="str">
        <f aca="false">HYPERLINK("https://biocodex6--c.vf.force.com/0014L00000KFR4CQAX", "ABBOU SIHAM")</f>
        <v>ABBOU SIHAM</v>
      </c>
      <c r="AD522" s="38"/>
      <c r="AE522" s="39"/>
      <c r="AF522" s="40"/>
      <c r="AG522" s="41"/>
      <c r="AH522" s="32"/>
      <c r="AI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XEY522" s="27"/>
      <c r="XEZ522" s="27"/>
      <c r="XFA522" s="27"/>
      <c r="XFB522" s="27"/>
      <c r="XFC522" s="27"/>
      <c r="XFD522" s="27"/>
    </row>
    <row r="523" s="42" customFormat="true" ht="14.15" hidden="false" customHeight="true" outlineLevel="0" collapsed="false">
      <c r="A523" s="28" t="s">
        <v>3523</v>
      </c>
      <c r="B523" s="29" t="s">
        <v>3524</v>
      </c>
      <c r="C523" s="29" t="s">
        <v>3525</v>
      </c>
      <c r="D523" s="30" t="s">
        <v>244</v>
      </c>
      <c r="E523" s="30" t="s">
        <v>245</v>
      </c>
      <c r="F523" s="32" t="n">
        <v>74</v>
      </c>
      <c r="G523" s="31"/>
      <c r="H523" s="31" t="n">
        <v>1</v>
      </c>
      <c r="I523" s="31" t="s">
        <v>77</v>
      </c>
      <c r="J523" s="29" t="s">
        <v>246</v>
      </c>
      <c r="K523" s="29" t="s">
        <v>247</v>
      </c>
      <c r="L523" s="32" t="n">
        <v>36</v>
      </c>
      <c r="M523" s="33" t="s">
        <v>248</v>
      </c>
      <c r="N523" s="34" t="n">
        <v>92200</v>
      </c>
      <c r="O523" s="35" t="s">
        <v>81</v>
      </c>
      <c r="P523" s="36"/>
      <c r="Q523" s="36" t="n">
        <v>49</v>
      </c>
      <c r="R523" s="32" t="n">
        <v>100</v>
      </c>
      <c r="S523" s="32" t="n">
        <v>3</v>
      </c>
      <c r="T523" s="32"/>
      <c r="U523" s="32"/>
      <c r="V523" s="37"/>
      <c r="W523" s="32"/>
      <c r="X523" s="34"/>
      <c r="Y523" s="34"/>
      <c r="Z523" s="32"/>
      <c r="AA523" s="32" t="s">
        <v>3526</v>
      </c>
      <c r="AB523" s="32"/>
      <c r="AC523" s="38" t="str">
        <f aca="false">HYPERLINK("https://biocodex6--c.vf.force.com/0014L00000KFUAVQA5", "BOTTO JEAN NOEL")</f>
        <v>BOTTO JEAN NOEL</v>
      </c>
      <c r="AD523" s="38"/>
      <c r="AE523" s="39"/>
      <c r="AF523" s="40"/>
      <c r="AG523" s="41"/>
      <c r="AH523" s="32"/>
      <c r="AI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XEY523" s="27"/>
      <c r="XEZ523" s="27"/>
      <c r="XFA523" s="27"/>
      <c r="XFB523" s="27"/>
      <c r="XFC523" s="27"/>
      <c r="XFD523" s="27"/>
    </row>
    <row r="524" s="42" customFormat="true" ht="14.15" hidden="false" customHeight="true" outlineLevel="0" collapsed="false">
      <c r="A524" s="28" t="s">
        <v>3199</v>
      </c>
      <c r="B524" s="29" t="s">
        <v>3527</v>
      </c>
      <c r="C524" s="29" t="s">
        <v>3528</v>
      </c>
      <c r="D524" s="30" t="s">
        <v>75</v>
      </c>
      <c r="E524" s="31"/>
      <c r="F524" s="32" t="n">
        <v>76</v>
      </c>
      <c r="G524" s="31"/>
      <c r="H524" s="31" t="n">
        <v>1</v>
      </c>
      <c r="I524" s="31" t="s">
        <v>572</v>
      </c>
      <c r="J524" s="29" t="s">
        <v>678</v>
      </c>
      <c r="K524" s="29" t="s">
        <v>679</v>
      </c>
      <c r="L524" s="32" t="n">
        <v>6</v>
      </c>
      <c r="M524" s="33" t="s">
        <v>680</v>
      </c>
      <c r="N524" s="34" t="n">
        <v>75008</v>
      </c>
      <c r="O524" s="35" t="s">
        <v>55</v>
      </c>
      <c r="P524" s="36" t="s">
        <v>870</v>
      </c>
      <c r="Q524" s="36" t="n">
        <v>43</v>
      </c>
      <c r="R524" s="32" t="n">
        <v>99</v>
      </c>
      <c r="S524" s="32" t="n">
        <v>3</v>
      </c>
      <c r="T524" s="32"/>
      <c r="U524" s="32"/>
      <c r="V524" s="37"/>
      <c r="W524" s="32"/>
      <c r="X524" s="34"/>
      <c r="Y524" s="34"/>
      <c r="Z524" s="32"/>
      <c r="AA524" s="32" t="s">
        <v>3529</v>
      </c>
      <c r="AB524" s="32"/>
      <c r="AC524" s="38" t="str">
        <f aca="false">HYPERLINK("https://biocodex6--c.vf.force.com/0014L00000NBV4vQAH", "TOUBOUL JEAN")</f>
        <v>TOUBOUL JEAN</v>
      </c>
      <c r="AD524" s="38"/>
      <c r="AE524" s="39"/>
      <c r="AF524" s="40"/>
      <c r="AG524" s="41"/>
      <c r="AH524" s="32"/>
      <c r="AI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XEY524" s="27"/>
      <c r="XEZ524" s="27"/>
      <c r="XFA524" s="27"/>
      <c r="XFB524" s="27"/>
      <c r="XFC524" s="27"/>
      <c r="XFD524" s="27"/>
    </row>
    <row r="525" s="42" customFormat="true" ht="14.15" hidden="false" customHeight="true" outlineLevel="0" collapsed="false">
      <c r="A525" s="28" t="s">
        <v>3530</v>
      </c>
      <c r="B525" s="29" t="s">
        <v>3531</v>
      </c>
      <c r="C525" s="29" t="s">
        <v>3532</v>
      </c>
      <c r="D525" s="30" t="s">
        <v>112</v>
      </c>
      <c r="E525" s="30" t="s">
        <v>113</v>
      </c>
      <c r="F525" s="32" t="n">
        <v>42</v>
      </c>
      <c r="G525" s="31"/>
      <c r="H525" s="31" t="n">
        <v>1</v>
      </c>
      <c r="I525" s="31" t="s">
        <v>51</v>
      </c>
      <c r="J525" s="29" t="s">
        <v>52</v>
      </c>
      <c r="K525" s="29" t="s">
        <v>53</v>
      </c>
      <c r="L525" s="32" t="n">
        <v>149</v>
      </c>
      <c r="M525" s="33" t="s">
        <v>54</v>
      </c>
      <c r="N525" s="34" t="n">
        <v>75015</v>
      </c>
      <c r="O525" s="35" t="s">
        <v>55</v>
      </c>
      <c r="P525" s="36" t="s">
        <v>885</v>
      </c>
      <c r="Q525" s="36" t="n">
        <v>236</v>
      </c>
      <c r="R525" s="32" t="n">
        <v>99</v>
      </c>
      <c r="S525" s="32" t="n">
        <v>3</v>
      </c>
      <c r="T525" s="32"/>
      <c r="U525" s="32"/>
      <c r="V525" s="37"/>
      <c r="W525" s="32"/>
      <c r="X525" s="34"/>
      <c r="Y525" s="34"/>
      <c r="Z525" s="32"/>
      <c r="AA525" s="32" t="s">
        <v>3533</v>
      </c>
      <c r="AB525" s="32"/>
      <c r="AC525" s="38" t="str">
        <f aca="false">HYPERLINK("https://biocodex6--c.vf.force.com/0014L00000KFithQAD", "KARIYAWASAM DULANJALEE")</f>
        <v>KARIYAWASAM DULANJALEE</v>
      </c>
      <c r="AD525" s="38"/>
      <c r="AE525" s="39"/>
      <c r="AF525" s="40"/>
      <c r="AG525" s="41"/>
      <c r="AH525" s="32"/>
      <c r="AI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XEY525" s="27"/>
      <c r="XEZ525" s="27"/>
      <c r="XFA525" s="27"/>
      <c r="XFB525" s="27"/>
      <c r="XFC525" s="27"/>
      <c r="XFD525" s="27"/>
    </row>
    <row r="526" s="42" customFormat="true" ht="14.15" hidden="false" customHeight="true" outlineLevel="0" collapsed="false">
      <c r="A526" s="28" t="s">
        <v>3534</v>
      </c>
      <c r="B526" s="29" t="s">
        <v>117</v>
      </c>
      <c r="C526" s="29" t="s">
        <v>3535</v>
      </c>
      <c r="D526" s="30" t="s">
        <v>75</v>
      </c>
      <c r="E526" s="31"/>
      <c r="F526" s="32" t="n">
        <v>64</v>
      </c>
      <c r="G526" s="31" t="s">
        <v>215</v>
      </c>
      <c r="H526" s="31" t="n">
        <v>4</v>
      </c>
      <c r="I526" s="31" t="s">
        <v>51</v>
      </c>
      <c r="J526" s="29"/>
      <c r="K526" s="29" t="s">
        <v>3536</v>
      </c>
      <c r="L526" s="32" t="n">
        <v>2</v>
      </c>
      <c r="M526" s="33" t="s">
        <v>3537</v>
      </c>
      <c r="N526" s="34" t="n">
        <v>75015</v>
      </c>
      <c r="O526" s="35" t="s">
        <v>55</v>
      </c>
      <c r="P526" s="36" t="s">
        <v>3538</v>
      </c>
      <c r="Q526" s="36" t="n">
        <v>1</v>
      </c>
      <c r="R526" s="32" t="n">
        <v>98</v>
      </c>
      <c r="S526" s="32" t="n">
        <v>3</v>
      </c>
      <c r="T526" s="32"/>
      <c r="U526" s="32" t="n">
        <v>3</v>
      </c>
      <c r="V526" s="37"/>
      <c r="W526" s="32" t="n">
        <v>3</v>
      </c>
      <c r="X526" s="34"/>
      <c r="Y526" s="34" t="n">
        <v>3</v>
      </c>
      <c r="Z526" s="32"/>
      <c r="AA526" s="32" t="s">
        <v>3539</v>
      </c>
      <c r="AB526" s="32" t="s">
        <v>3540</v>
      </c>
      <c r="AC526" s="38" t="str">
        <f aca="false">HYPERLINK("https://biocodex6--c.vf.force.com/0014L00000KG4g2QAD", "VERDIER DOMINIQUE")</f>
        <v>VERDIER DOMINIQUE</v>
      </c>
      <c r="AD526" s="38" t="str">
        <f aca="false">HYPERLINK("https://annuairesante.ameli.fr/professionnels-de-sante/recherche/fiche-detaillee-B7c1lzcwNjS2.html", "VERDIER DOMINIQUE")</f>
        <v>VERDIER DOMINIQUE</v>
      </c>
      <c r="AE526" s="39" t="n">
        <v>45365.5</v>
      </c>
      <c r="AF526" s="40" t="s">
        <v>3541</v>
      </c>
      <c r="AG526" s="41"/>
      <c r="AH526" s="32"/>
      <c r="AI526" s="32" t="s">
        <v>71</v>
      </c>
      <c r="AL526" s="43" t="s">
        <v>3542</v>
      </c>
      <c r="AM526" s="43" t="s">
        <v>1443</v>
      </c>
      <c r="AN526" s="32"/>
      <c r="AO526" s="32"/>
      <c r="AP526" s="32"/>
      <c r="AQ526" s="32"/>
      <c r="AR526" s="43" t="s">
        <v>3543</v>
      </c>
      <c r="AS526" s="43" t="s">
        <v>924</v>
      </c>
      <c r="AT526" s="43" t="s">
        <v>1302</v>
      </c>
      <c r="AU526" s="43" t="s">
        <v>3544</v>
      </c>
      <c r="XEY526" s="27"/>
      <c r="XEZ526" s="27"/>
      <c r="XFA526" s="27"/>
      <c r="XFB526" s="27"/>
      <c r="XFC526" s="27"/>
      <c r="XFD526" s="27"/>
    </row>
    <row r="527" s="42" customFormat="true" ht="14.15" hidden="false" customHeight="true" outlineLevel="0" collapsed="false">
      <c r="A527" s="28" t="s">
        <v>3545</v>
      </c>
      <c r="B527" s="29" t="s">
        <v>332</v>
      </c>
      <c r="C527" s="29" t="s">
        <v>3546</v>
      </c>
      <c r="D527" s="30" t="s">
        <v>244</v>
      </c>
      <c r="E527" s="30" t="s">
        <v>741</v>
      </c>
      <c r="F527" s="32" t="n">
        <v>74</v>
      </c>
      <c r="G527" s="31" t="s">
        <v>61</v>
      </c>
      <c r="H527" s="31" t="n">
        <v>1</v>
      </c>
      <c r="I527" s="31" t="s">
        <v>51</v>
      </c>
      <c r="J527" s="29"/>
      <c r="K527" s="29" t="s">
        <v>3547</v>
      </c>
      <c r="L527" s="32" t="n">
        <v>19</v>
      </c>
      <c r="M527" s="33" t="s">
        <v>3548</v>
      </c>
      <c r="N527" s="34" t="n">
        <v>75015</v>
      </c>
      <c r="O527" s="35" t="s">
        <v>55</v>
      </c>
      <c r="P527" s="36" t="s">
        <v>3549</v>
      </c>
      <c r="Q527" s="36" t="n">
        <v>1</v>
      </c>
      <c r="R527" s="32" t="n">
        <v>98</v>
      </c>
      <c r="S527" s="32" t="n">
        <v>3</v>
      </c>
      <c r="T527" s="32"/>
      <c r="U527" s="32"/>
      <c r="V527" s="37"/>
      <c r="W527" s="32" t="n">
        <v>3</v>
      </c>
      <c r="X527" s="34" t="n">
        <v>1</v>
      </c>
      <c r="Y527" s="34" t="n">
        <v>3</v>
      </c>
      <c r="Z527" s="32" t="s">
        <v>3550</v>
      </c>
      <c r="AA527" s="32" t="s">
        <v>3551</v>
      </c>
      <c r="AB527" s="32" t="s">
        <v>3552</v>
      </c>
      <c r="AC527" s="38" t="str">
        <f aca="false">HYPERLINK("https://biocodex6--c.vf.force.com/0014L00000KFj3CQAT", "HONNORAT CATHERINE")</f>
        <v>HONNORAT CATHERINE</v>
      </c>
      <c r="AD527" s="38" t="str">
        <f aca="false">HYPERLINK("https://annuairesante.ameli.fr/professionnels-de-sante/recherche/fiche-detaillee-B7c1ljI3MDaw.html", "HONNORAT CATHERINE")</f>
        <v>HONNORAT CATHERINE</v>
      </c>
      <c r="AE527" s="39" t="n">
        <v>45120.6041666667</v>
      </c>
      <c r="AF527" s="40"/>
      <c r="AG527" s="41"/>
      <c r="AH527" s="32"/>
      <c r="AI527" s="32"/>
      <c r="AL527" s="32"/>
      <c r="AM527" s="43" t="s">
        <v>137</v>
      </c>
      <c r="AN527" s="32"/>
      <c r="AO527" s="43" t="s">
        <v>137</v>
      </c>
      <c r="AP527" s="32"/>
      <c r="AQ527" s="32"/>
      <c r="AR527" s="32"/>
      <c r="AS527" s="43" t="s">
        <v>137</v>
      </c>
      <c r="AT527" s="32"/>
      <c r="AU527" s="43" t="s">
        <v>137</v>
      </c>
      <c r="XEY527" s="27"/>
      <c r="XEZ527" s="27"/>
      <c r="XFA527" s="27"/>
      <c r="XFB527" s="27"/>
      <c r="XFC527" s="27"/>
      <c r="XFD527" s="27"/>
    </row>
    <row r="528" s="42" customFormat="true" ht="14.15" hidden="false" customHeight="true" outlineLevel="0" collapsed="false">
      <c r="A528" s="28" t="s">
        <v>3553</v>
      </c>
      <c r="B528" s="29" t="s">
        <v>1837</v>
      </c>
      <c r="C528" s="29" t="s">
        <v>3554</v>
      </c>
      <c r="D528" s="30" t="s">
        <v>112</v>
      </c>
      <c r="E528" s="31"/>
      <c r="F528" s="32" t="n">
        <v>43</v>
      </c>
      <c r="G528" s="31"/>
      <c r="H528" s="31" t="n">
        <v>1</v>
      </c>
      <c r="I528" s="31" t="s">
        <v>51</v>
      </c>
      <c r="J528" s="29" t="s">
        <v>52</v>
      </c>
      <c r="K528" s="29" t="s">
        <v>53</v>
      </c>
      <c r="L528" s="32" t="n">
        <v>149</v>
      </c>
      <c r="M528" s="33" t="s">
        <v>54</v>
      </c>
      <c r="N528" s="34" t="n">
        <v>75015</v>
      </c>
      <c r="O528" s="35" t="s">
        <v>55</v>
      </c>
      <c r="P528" s="36" t="s">
        <v>269</v>
      </c>
      <c r="Q528" s="36" t="n">
        <v>236</v>
      </c>
      <c r="R528" s="32" t="n">
        <v>95</v>
      </c>
      <c r="S528" s="32" t="n">
        <v>3</v>
      </c>
      <c r="T528" s="32"/>
      <c r="U528" s="32"/>
      <c r="V528" s="37"/>
      <c r="W528" s="32"/>
      <c r="X528" s="34"/>
      <c r="Y528" s="34"/>
      <c r="Z528" s="36"/>
      <c r="AA528" s="32" t="s">
        <v>3555</v>
      </c>
      <c r="AB528" s="32"/>
      <c r="AC528" s="38" t="str">
        <f aca="false">HYPERLINK("https://biocodex6--c.vf.force.com/0014L00000KG4zVQAT", "HULLY GITIAUX MARIE")</f>
        <v>HULLY GITIAUX MARIE</v>
      </c>
      <c r="AD528" s="38"/>
      <c r="AE528" s="39"/>
      <c r="AF528" s="40"/>
      <c r="AG528" s="41"/>
      <c r="AH528" s="32" t="s">
        <v>179</v>
      </c>
      <c r="AI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XEY528" s="27"/>
      <c r="XEZ528" s="27"/>
      <c r="XFA528" s="27"/>
      <c r="XFB528" s="27"/>
      <c r="XFC528" s="27"/>
      <c r="XFD528" s="27"/>
    </row>
    <row r="529" s="42" customFormat="true" ht="14.15" hidden="false" customHeight="true" outlineLevel="0" collapsed="false">
      <c r="A529" s="28" t="s">
        <v>3556</v>
      </c>
      <c r="B529" s="29" t="s">
        <v>883</v>
      </c>
      <c r="C529" s="29" t="s">
        <v>3557</v>
      </c>
      <c r="D529" s="30" t="s">
        <v>244</v>
      </c>
      <c r="E529" s="30" t="s">
        <v>245</v>
      </c>
      <c r="F529" s="32" t="n">
        <v>66</v>
      </c>
      <c r="G529" s="31" t="s">
        <v>215</v>
      </c>
      <c r="H529" s="31" t="n">
        <v>1</v>
      </c>
      <c r="I529" s="31" t="s">
        <v>51</v>
      </c>
      <c r="J529" s="29"/>
      <c r="K529" s="29" t="s">
        <v>3558</v>
      </c>
      <c r="L529" s="32" t="n">
        <v>27</v>
      </c>
      <c r="M529" s="33" t="s">
        <v>3559</v>
      </c>
      <c r="N529" s="34" t="n">
        <v>75015</v>
      </c>
      <c r="O529" s="35" t="s">
        <v>55</v>
      </c>
      <c r="P529" s="36" t="s">
        <v>3560</v>
      </c>
      <c r="Q529" s="36" t="n">
        <v>1</v>
      </c>
      <c r="R529" s="32" t="n">
        <v>93</v>
      </c>
      <c r="S529" s="32" t="n">
        <v>3</v>
      </c>
      <c r="T529" s="32"/>
      <c r="U529" s="32"/>
      <c r="V529" s="37" t="n">
        <v>3</v>
      </c>
      <c r="W529" s="32" t="n">
        <v>3</v>
      </c>
      <c r="X529" s="34"/>
      <c r="Y529" s="34" t="n">
        <v>1</v>
      </c>
      <c r="Z529" s="32"/>
      <c r="AA529" s="32" t="s">
        <v>3561</v>
      </c>
      <c r="AB529" s="32" t="s">
        <v>3562</v>
      </c>
      <c r="AC529" s="38" t="str">
        <f aca="false">HYPERLINK("https://biocodex6--c.vf.force.com/0014L00000KG66oQAD", "ZANA JACQUES")</f>
        <v>ZANA JACQUES</v>
      </c>
      <c r="AD529" s="38" t="str">
        <f aca="false">HYPERLINK("https://annuairesante.ameli.fr/professionnels-de-sante/recherche/fiche-detaillee-B7c1lzMzODS2.html", "ZANA JACQUES")</f>
        <v>ZANA JACQUES</v>
      </c>
      <c r="AE529" s="39"/>
      <c r="AF529" s="40"/>
      <c r="AG529" s="41"/>
      <c r="AH529" s="32"/>
      <c r="AI529" s="32" t="s">
        <v>71</v>
      </c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XEY529" s="27"/>
      <c r="XEZ529" s="27"/>
      <c r="XFA529" s="27"/>
      <c r="XFB529" s="27"/>
      <c r="XFC529" s="27"/>
      <c r="XFD529" s="27"/>
    </row>
    <row r="530" s="42" customFormat="true" ht="14.15" hidden="false" customHeight="true" outlineLevel="0" collapsed="false">
      <c r="A530" s="28" t="s">
        <v>3563</v>
      </c>
      <c r="B530" s="29" t="s">
        <v>3564</v>
      </c>
      <c r="C530" s="29" t="s">
        <v>3565</v>
      </c>
      <c r="D530" s="30" t="s">
        <v>50</v>
      </c>
      <c r="E530" s="31"/>
      <c r="F530" s="32" t="n">
        <v>36</v>
      </c>
      <c r="G530" s="31"/>
      <c r="H530" s="31" t="n">
        <v>2</v>
      </c>
      <c r="I530" s="31" t="s">
        <v>173</v>
      </c>
      <c r="J530" s="29"/>
      <c r="K530" s="29" t="s">
        <v>3566</v>
      </c>
      <c r="L530" s="32" t="n">
        <v>50</v>
      </c>
      <c r="M530" s="33" t="s">
        <v>175</v>
      </c>
      <c r="N530" s="34" t="n">
        <v>75016</v>
      </c>
      <c r="O530" s="35" t="s">
        <v>55</v>
      </c>
      <c r="P530" s="36" t="s">
        <v>3567</v>
      </c>
      <c r="Q530" s="36" t="n">
        <v>5</v>
      </c>
      <c r="R530" s="32" t="n">
        <v>89</v>
      </c>
      <c r="S530" s="32" t="n">
        <v>3</v>
      </c>
      <c r="T530" s="32"/>
      <c r="U530" s="32"/>
      <c r="V530" s="37"/>
      <c r="W530" s="32"/>
      <c r="X530" s="34"/>
      <c r="Y530" s="34"/>
      <c r="Z530" s="36"/>
      <c r="AA530" s="32" t="s">
        <v>3568</v>
      </c>
      <c r="AB530" s="32"/>
      <c r="AC530" s="38" t="str">
        <f aca="false">HYPERLINK("https://biocodex6--c.vf.force.com/0014L00000KGBJhQAP", "LAMY HUGO")</f>
        <v>LAMY HUGO</v>
      </c>
      <c r="AD530" s="38"/>
      <c r="AE530" s="39"/>
      <c r="AF530" s="40"/>
      <c r="AG530" s="41"/>
      <c r="AH530" s="32" t="s">
        <v>179</v>
      </c>
      <c r="AI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XEY530" s="27"/>
      <c r="XEZ530" s="27"/>
      <c r="XFA530" s="27"/>
      <c r="XFB530" s="27"/>
      <c r="XFC530" s="27"/>
      <c r="XFD530" s="27"/>
    </row>
    <row r="531" s="42" customFormat="true" ht="14.15" hidden="false" customHeight="true" outlineLevel="0" collapsed="false">
      <c r="A531" s="28" t="s">
        <v>3569</v>
      </c>
      <c r="B531" s="29" t="s">
        <v>3570</v>
      </c>
      <c r="C531" s="29" t="s">
        <v>3571</v>
      </c>
      <c r="D531" s="30" t="s">
        <v>244</v>
      </c>
      <c r="E531" s="31"/>
      <c r="F531" s="32" t="n">
        <v>74</v>
      </c>
      <c r="G531" s="31"/>
      <c r="H531" s="31" t="n">
        <v>1</v>
      </c>
      <c r="I531" s="31" t="s">
        <v>51</v>
      </c>
      <c r="J531" s="29" t="s">
        <v>850</v>
      </c>
      <c r="K531" s="29" t="s">
        <v>851</v>
      </c>
      <c r="L531" s="32" t="n">
        <v>178</v>
      </c>
      <c r="M531" s="33" t="s">
        <v>852</v>
      </c>
      <c r="N531" s="34" t="n">
        <v>75015</v>
      </c>
      <c r="O531" s="35" t="s">
        <v>55</v>
      </c>
      <c r="P531" s="36" t="s">
        <v>853</v>
      </c>
      <c r="Q531" s="36" t="n">
        <v>24</v>
      </c>
      <c r="R531" s="32" t="n">
        <v>87</v>
      </c>
      <c r="S531" s="32" t="n">
        <v>3</v>
      </c>
      <c r="T531" s="32"/>
      <c r="U531" s="32"/>
      <c r="V531" s="37"/>
      <c r="W531" s="32" t="n">
        <v>3</v>
      </c>
      <c r="X531" s="34" t="n">
        <v>2</v>
      </c>
      <c r="Y531" s="34"/>
      <c r="Z531" s="36"/>
      <c r="AA531" s="32" t="s">
        <v>3572</v>
      </c>
      <c r="AB531" s="32"/>
      <c r="AC531" s="38" t="str">
        <f aca="false">HYPERLINK("https://biocodex6--c.vf.force.com/0014L00000YttqZQAR", "EGULLION MARIE CLAUDE")</f>
        <v>EGULLION MARIE CLAUDE</v>
      </c>
      <c r="AD531" s="38"/>
      <c r="AE531" s="39" t="n">
        <v>45176.6875</v>
      </c>
      <c r="AF531" s="40" t="s">
        <v>3573</v>
      </c>
      <c r="AG531" s="41"/>
      <c r="AH531" s="32" t="s">
        <v>179</v>
      </c>
      <c r="AI531" s="32"/>
      <c r="AL531" s="32"/>
      <c r="AM531" s="32"/>
      <c r="AN531" s="32"/>
      <c r="AO531" s="43" t="s">
        <v>3574</v>
      </c>
      <c r="AP531" s="43" t="s">
        <v>2167</v>
      </c>
      <c r="AQ531" s="32"/>
      <c r="AR531" s="32"/>
      <c r="AS531" s="32"/>
      <c r="AT531" s="32"/>
      <c r="AU531" s="32"/>
      <c r="XEY531" s="27"/>
      <c r="XEZ531" s="27"/>
      <c r="XFA531" s="27"/>
      <c r="XFB531" s="27"/>
      <c r="XFC531" s="27"/>
      <c r="XFD531" s="27"/>
    </row>
    <row r="532" s="42" customFormat="true" ht="14.15" hidden="false" customHeight="true" outlineLevel="0" collapsed="false">
      <c r="A532" s="28" t="s">
        <v>3575</v>
      </c>
      <c r="B532" s="29" t="s">
        <v>3346</v>
      </c>
      <c r="C532" s="29" t="s">
        <v>3576</v>
      </c>
      <c r="D532" s="30" t="s">
        <v>50</v>
      </c>
      <c r="E532" s="30" t="s">
        <v>3577</v>
      </c>
      <c r="F532" s="32" t="n">
        <v>39</v>
      </c>
      <c r="G532" s="31" t="s">
        <v>61</v>
      </c>
      <c r="H532" s="31" t="n">
        <v>1</v>
      </c>
      <c r="I532" s="31" t="s">
        <v>77</v>
      </c>
      <c r="J532" s="29"/>
      <c r="K532" s="29" t="s">
        <v>3578</v>
      </c>
      <c r="L532" s="32" t="n">
        <v>27</v>
      </c>
      <c r="M532" s="33" t="s">
        <v>80</v>
      </c>
      <c r="N532" s="34" t="n">
        <v>92200</v>
      </c>
      <c r="O532" s="35" t="s">
        <v>81</v>
      </c>
      <c r="P532" s="36"/>
      <c r="Q532" s="36" t="n">
        <v>1</v>
      </c>
      <c r="R532" s="32" t="n">
        <v>86</v>
      </c>
      <c r="S532" s="32" t="n">
        <v>3</v>
      </c>
      <c r="T532" s="32"/>
      <c r="U532" s="32"/>
      <c r="V532" s="37"/>
      <c r="W532" s="32"/>
      <c r="X532" s="34"/>
      <c r="Y532" s="34"/>
      <c r="Z532" s="32"/>
      <c r="AA532" s="32" t="s">
        <v>3579</v>
      </c>
      <c r="AB532" s="32" t="s">
        <v>3580</v>
      </c>
      <c r="AC532" s="38" t="str">
        <f aca="false">HYPERLINK("https://biocodex6--c.vf.force.com/0014L00000KIRYNQA5", "DUPUI JULIEN")</f>
        <v>DUPUI JULIEN</v>
      </c>
      <c r="AD532" s="38" t="str">
        <f aca="false">HYPERLINK("https://annuairesante.ameli.fr/professionnels-de-sante/recherche/fiche-detaillee-CbA1kjUyNzK0.html", "DUPUI JULIEN")</f>
        <v>DUPUI JULIEN</v>
      </c>
      <c r="AE532" s="39"/>
      <c r="AF532" s="40"/>
      <c r="AG532" s="41"/>
      <c r="AH532" s="32"/>
      <c r="AI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XEY532" s="27"/>
      <c r="XEZ532" s="27"/>
      <c r="XFA532" s="27"/>
      <c r="XFB532" s="27"/>
      <c r="XFC532" s="27"/>
      <c r="XFD532" s="27"/>
    </row>
    <row r="533" s="42" customFormat="true" ht="14.15" hidden="false" customHeight="true" outlineLevel="0" collapsed="false">
      <c r="A533" s="28" t="s">
        <v>3581</v>
      </c>
      <c r="B533" s="29" t="s">
        <v>3582</v>
      </c>
      <c r="C533" s="29" t="s">
        <v>3583</v>
      </c>
      <c r="D533" s="30" t="s">
        <v>50</v>
      </c>
      <c r="E533" s="31"/>
      <c r="F533" s="32" t="n">
        <v>34</v>
      </c>
      <c r="G533" s="31" t="s">
        <v>215</v>
      </c>
      <c r="H533" s="31" t="n">
        <v>1</v>
      </c>
      <c r="I533" s="31" t="s">
        <v>77</v>
      </c>
      <c r="J533" s="29"/>
      <c r="K533" s="29" t="s">
        <v>3584</v>
      </c>
      <c r="L533" s="32" t="n">
        <v>11</v>
      </c>
      <c r="M533" s="33" t="s">
        <v>3585</v>
      </c>
      <c r="N533" s="34" t="n">
        <v>92200</v>
      </c>
      <c r="O533" s="35" t="s">
        <v>81</v>
      </c>
      <c r="P533" s="36" t="s">
        <v>3586</v>
      </c>
      <c r="Q533" s="36" t="n">
        <v>3</v>
      </c>
      <c r="R533" s="32" t="n">
        <v>83</v>
      </c>
      <c r="S533" s="32" t="n">
        <v>3</v>
      </c>
      <c r="T533" s="32"/>
      <c r="U533" s="32"/>
      <c r="V533" s="37"/>
      <c r="W533" s="32"/>
      <c r="X533" s="34"/>
      <c r="Y533" s="34"/>
      <c r="Z533" s="32"/>
      <c r="AA533" s="32" t="s">
        <v>3587</v>
      </c>
      <c r="AB533" s="32" t="s">
        <v>3588</v>
      </c>
      <c r="AC533" s="38" t="str">
        <f aca="false">HYPERLINK("https://biocodex6--c.vf.force.com/0014L00000KGDoXQAX", "SELLAM CELIA")</f>
        <v>SELLAM CELIA</v>
      </c>
      <c r="AD533" s="38" t="str">
        <f aca="false">HYPERLINK("https://annuairesante.ameli.fr/professionnels-de-sante/recherche/fiche-detaillee-CbA1kjQyODGy.html", "SELLAM CELIA")</f>
        <v>SELLAM CELIA</v>
      </c>
      <c r="AE533" s="39" t="n">
        <v>45322.6666666667</v>
      </c>
      <c r="AF533" s="40"/>
      <c r="AG533" s="41"/>
      <c r="AH533" s="32"/>
      <c r="AI533" s="32"/>
      <c r="AL533" s="43" t="s">
        <v>263</v>
      </c>
      <c r="AM533" s="43" t="s">
        <v>534</v>
      </c>
      <c r="AN533" s="43" t="s">
        <v>263</v>
      </c>
      <c r="AO533" s="43" t="s">
        <v>534</v>
      </c>
      <c r="AP533" s="43" t="s">
        <v>263</v>
      </c>
      <c r="AQ533" s="43" t="s">
        <v>534</v>
      </c>
      <c r="AR533" s="43" t="s">
        <v>263</v>
      </c>
      <c r="AS533" s="43" t="s">
        <v>534</v>
      </c>
      <c r="AT533" s="43" t="s">
        <v>263</v>
      </c>
      <c r="AU533" s="43" t="s">
        <v>534</v>
      </c>
      <c r="XEY533" s="27"/>
      <c r="XEZ533" s="27"/>
      <c r="XFA533" s="27"/>
      <c r="XFB533" s="27"/>
      <c r="XFC533" s="27"/>
      <c r="XFD533" s="27"/>
    </row>
    <row r="534" s="42" customFormat="true" ht="14.15" hidden="false" customHeight="true" outlineLevel="0" collapsed="false">
      <c r="A534" s="28" t="s">
        <v>3589</v>
      </c>
      <c r="B534" s="29" t="s">
        <v>1007</v>
      </c>
      <c r="C534" s="29" t="s">
        <v>3590</v>
      </c>
      <c r="D534" s="30" t="s">
        <v>50</v>
      </c>
      <c r="E534" s="31"/>
      <c r="F534" s="32" t="n">
        <v>36</v>
      </c>
      <c r="G534" s="31" t="s">
        <v>98</v>
      </c>
      <c r="H534" s="31" t="n">
        <v>1</v>
      </c>
      <c r="I534" s="31" t="s">
        <v>387</v>
      </c>
      <c r="J534" s="29"/>
      <c r="K534" s="29" t="s">
        <v>3591</v>
      </c>
      <c r="L534" s="32" t="n">
        <v>49</v>
      </c>
      <c r="M534" s="33" t="s">
        <v>2499</v>
      </c>
      <c r="N534" s="34" t="n">
        <v>75016</v>
      </c>
      <c r="O534" s="35" t="s">
        <v>55</v>
      </c>
      <c r="P534" s="36" t="s">
        <v>3592</v>
      </c>
      <c r="Q534" s="36" t="n">
        <v>2</v>
      </c>
      <c r="R534" s="32" t="n">
        <v>81</v>
      </c>
      <c r="S534" s="32" t="n">
        <v>3</v>
      </c>
      <c r="T534" s="32"/>
      <c r="U534" s="32"/>
      <c r="V534" s="37"/>
      <c r="W534" s="32"/>
      <c r="X534" s="34"/>
      <c r="Y534" s="34"/>
      <c r="Z534" s="36"/>
      <c r="AA534" s="32" t="s">
        <v>3593</v>
      </c>
      <c r="AB534" s="32" t="s">
        <v>3594</v>
      </c>
      <c r="AC534" s="38" t="str">
        <f aca="false">HYPERLINK("https://biocodex6--c.vf.force.com/0014L00000KG940QAD", "TAIEB DAVID")</f>
        <v>TAIEB DAVID</v>
      </c>
      <c r="AD534" s="38" t="str">
        <f aca="false">HYPERLINK("https://annuairesante.ameli.fr/professionnels-de-sante/recherche/fiche-detaillee-B7c1kzI3NDOy.html", "TAIEB DAVID")</f>
        <v>TAIEB DAVID</v>
      </c>
      <c r="AE534" s="39"/>
      <c r="AF534" s="40"/>
      <c r="AG534" s="41"/>
      <c r="AH534" s="32" t="s">
        <v>179</v>
      </c>
      <c r="AI534" s="32"/>
      <c r="AL534" s="43" t="s">
        <v>657</v>
      </c>
      <c r="AM534" s="43" t="s">
        <v>137</v>
      </c>
      <c r="AN534" s="43" t="s">
        <v>657</v>
      </c>
      <c r="AO534" s="43" t="s">
        <v>137</v>
      </c>
      <c r="AP534" s="43" t="s">
        <v>657</v>
      </c>
      <c r="AQ534" s="43" t="s">
        <v>137</v>
      </c>
      <c r="AR534" s="43" t="s">
        <v>338</v>
      </c>
      <c r="AS534" s="32"/>
      <c r="AT534" s="43" t="s">
        <v>657</v>
      </c>
      <c r="AU534" s="43" t="s">
        <v>137</v>
      </c>
      <c r="XEY534" s="27"/>
      <c r="XEZ534" s="27"/>
      <c r="XFA534" s="27"/>
      <c r="XFB534" s="27"/>
      <c r="XFC534" s="27"/>
      <c r="XFD534" s="27"/>
    </row>
    <row r="535" s="42" customFormat="true" ht="14.15" hidden="false" customHeight="true" outlineLevel="0" collapsed="false">
      <c r="A535" s="28" t="s">
        <v>3595</v>
      </c>
      <c r="B535" s="29" t="s">
        <v>3596</v>
      </c>
      <c r="C535" s="29" t="s">
        <v>3597</v>
      </c>
      <c r="D535" s="30" t="s">
        <v>50</v>
      </c>
      <c r="E535" s="31"/>
      <c r="F535" s="32" t="n">
        <v>50</v>
      </c>
      <c r="G535" s="31"/>
      <c r="H535" s="31" t="n">
        <v>1</v>
      </c>
      <c r="I535" s="31" t="s">
        <v>99</v>
      </c>
      <c r="J535" s="29"/>
      <c r="K535" s="29" t="s">
        <v>1145</v>
      </c>
      <c r="L535" s="32" t="n">
        <v>96</v>
      </c>
      <c r="M535" s="33" t="s">
        <v>1146</v>
      </c>
      <c r="N535" s="34" t="n">
        <v>75015</v>
      </c>
      <c r="O535" s="35" t="s">
        <v>55</v>
      </c>
      <c r="P535" s="36" t="s">
        <v>1147</v>
      </c>
      <c r="Q535" s="36" t="n">
        <v>2</v>
      </c>
      <c r="R535" s="32" t="n">
        <v>81</v>
      </c>
      <c r="S535" s="32" t="n">
        <v>3</v>
      </c>
      <c r="T535" s="32"/>
      <c r="U535" s="32"/>
      <c r="V535" s="37"/>
      <c r="W535" s="32"/>
      <c r="X535" s="34"/>
      <c r="Y535" s="34"/>
      <c r="Z535" s="32"/>
      <c r="AA535" s="32" t="s">
        <v>3598</v>
      </c>
      <c r="AB535" s="32"/>
      <c r="AC535" s="38" t="str">
        <f aca="false">HYPERLINK("https://biocodex6--c.vf.force.com/0014L00000KG5lRQAT", "WALTER JEAN CHRISTOPHE")</f>
        <v>WALTER JEAN CHRISTOPHE</v>
      </c>
      <c r="AD535" s="38"/>
      <c r="AE535" s="39"/>
      <c r="AF535" s="40"/>
      <c r="AG535" s="41"/>
      <c r="AH535" s="32"/>
      <c r="AI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XEY535" s="27"/>
      <c r="XEZ535" s="27"/>
      <c r="XFA535" s="27"/>
      <c r="XFB535" s="27"/>
      <c r="XFC535" s="27"/>
      <c r="XFD535" s="27"/>
    </row>
    <row r="536" s="42" customFormat="true" ht="14.15" hidden="false" customHeight="true" outlineLevel="0" collapsed="false">
      <c r="A536" s="28" t="s">
        <v>3599</v>
      </c>
      <c r="B536" s="29" t="s">
        <v>1766</v>
      </c>
      <c r="C536" s="29" t="s">
        <v>3600</v>
      </c>
      <c r="D536" s="30" t="s">
        <v>172</v>
      </c>
      <c r="E536" s="31"/>
      <c r="F536" s="32" t="n">
        <v>75</v>
      </c>
      <c r="G536" s="31"/>
      <c r="H536" s="31" t="n">
        <v>1</v>
      </c>
      <c r="I536" s="31" t="s">
        <v>119</v>
      </c>
      <c r="J536" s="29"/>
      <c r="K536" s="29" t="s">
        <v>3601</v>
      </c>
      <c r="L536" s="32" t="n">
        <v>4</v>
      </c>
      <c r="M536" s="33" t="s">
        <v>3602</v>
      </c>
      <c r="N536" s="34" t="n">
        <v>75007</v>
      </c>
      <c r="O536" s="35" t="s">
        <v>55</v>
      </c>
      <c r="P536" s="36" t="s">
        <v>3603</v>
      </c>
      <c r="Q536" s="36" t="n">
        <v>1</v>
      </c>
      <c r="R536" s="32" t="n">
        <v>75</v>
      </c>
      <c r="S536" s="32" t="n">
        <v>3</v>
      </c>
      <c r="T536" s="43" t="s">
        <v>316</v>
      </c>
      <c r="U536" s="32"/>
      <c r="V536" s="37"/>
      <c r="W536" s="32"/>
      <c r="X536" s="34"/>
      <c r="Y536" s="34"/>
      <c r="Z536" s="32"/>
      <c r="AA536" s="32" t="s">
        <v>3604</v>
      </c>
      <c r="AB536" s="32"/>
      <c r="AC536" s="38" t="str">
        <f aca="false">HYPERLINK("https://biocodex6--c.vf.force.com/0014L00000KFYSuQAP", "DALBOUSE FRANCOIS")</f>
        <v>DALBOUSE FRANCOIS</v>
      </c>
      <c r="AD536" s="38"/>
      <c r="AE536" s="39"/>
      <c r="AF536" s="40"/>
      <c r="AG536" s="41"/>
      <c r="AH536" s="32"/>
      <c r="AI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XEY536" s="27"/>
      <c r="XEZ536" s="27"/>
      <c r="XFA536" s="27"/>
      <c r="XFB536" s="27"/>
      <c r="XFC536" s="27"/>
      <c r="XFD536" s="27"/>
    </row>
    <row r="537" s="42" customFormat="true" ht="14.15" hidden="false" customHeight="true" outlineLevel="0" collapsed="false">
      <c r="A537" s="28" t="s">
        <v>3605</v>
      </c>
      <c r="B537" s="29" t="s">
        <v>3606</v>
      </c>
      <c r="C537" s="29" t="s">
        <v>3607</v>
      </c>
      <c r="D537" s="30" t="s">
        <v>244</v>
      </c>
      <c r="E537" s="30" t="s">
        <v>245</v>
      </c>
      <c r="F537" s="32"/>
      <c r="G537" s="31" t="s">
        <v>215</v>
      </c>
      <c r="H537" s="31" t="n">
        <v>1</v>
      </c>
      <c r="I537" s="31" t="s">
        <v>173</v>
      </c>
      <c r="J537" s="29"/>
      <c r="K537" s="29" t="s">
        <v>3608</v>
      </c>
      <c r="L537" s="32" t="n">
        <v>21</v>
      </c>
      <c r="M537" s="33" t="s">
        <v>3609</v>
      </c>
      <c r="N537" s="34" t="n">
        <v>75016</v>
      </c>
      <c r="O537" s="35" t="s">
        <v>55</v>
      </c>
      <c r="P537" s="36" t="s">
        <v>3610</v>
      </c>
      <c r="Q537" s="36" t="n">
        <v>3</v>
      </c>
      <c r="R537" s="32" t="n">
        <v>73</v>
      </c>
      <c r="S537" s="32" t="n">
        <v>3</v>
      </c>
      <c r="T537" s="32"/>
      <c r="U537" s="32"/>
      <c r="V537" s="37"/>
      <c r="W537" s="32"/>
      <c r="X537" s="34"/>
      <c r="Y537" s="34"/>
      <c r="Z537" s="32" t="s">
        <v>3611</v>
      </c>
      <c r="AA537" s="32" t="s">
        <v>3612</v>
      </c>
      <c r="AB537" s="32" t="s">
        <v>3613</v>
      </c>
      <c r="AC537" s="38" t="str">
        <f aca="false">HYPERLINK("https://biocodex6--c.vf.force.com/0014L00000KGKX5QAP", "LANDOLFI STEFANO")</f>
        <v>LANDOLFI STEFANO</v>
      </c>
      <c r="AD537" s="38" t="str">
        <f aca="false">HYPERLINK("https://annuairesante.ameli.fr/professionnels-de-sante/recherche/fiche-detaillee-B7c1kzM5NzW7.html", "LANDOLFI STEFANO")</f>
        <v>LANDOLFI STEFANO</v>
      </c>
      <c r="AE537" s="39"/>
      <c r="AF537" s="40"/>
      <c r="AG537" s="41"/>
      <c r="AH537" s="32"/>
      <c r="AI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XEY537" s="27"/>
      <c r="XEZ537" s="27"/>
      <c r="XFA537" s="27"/>
      <c r="XFB537" s="27"/>
      <c r="XFC537" s="27"/>
      <c r="XFD537" s="27"/>
    </row>
    <row r="538" s="42" customFormat="true" ht="14.15" hidden="false" customHeight="true" outlineLevel="0" collapsed="false">
      <c r="A538" s="28" t="s">
        <v>3614</v>
      </c>
      <c r="B538" s="29" t="s">
        <v>3615</v>
      </c>
      <c r="C538" s="29" t="s">
        <v>3616</v>
      </c>
      <c r="D538" s="30" t="s">
        <v>244</v>
      </c>
      <c r="E538" s="30" t="s">
        <v>245</v>
      </c>
      <c r="F538" s="32" t="n">
        <v>71</v>
      </c>
      <c r="G538" s="31" t="s">
        <v>215</v>
      </c>
      <c r="H538" s="31" t="n">
        <v>1</v>
      </c>
      <c r="I538" s="31" t="s">
        <v>435</v>
      </c>
      <c r="J538" s="29"/>
      <c r="K538" s="29" t="s">
        <v>3617</v>
      </c>
      <c r="L538" s="32" t="n">
        <v>8</v>
      </c>
      <c r="M538" s="33" t="s">
        <v>3465</v>
      </c>
      <c r="N538" s="34" t="n">
        <v>75016</v>
      </c>
      <c r="O538" s="35" t="s">
        <v>55</v>
      </c>
      <c r="P538" s="36" t="s">
        <v>3618</v>
      </c>
      <c r="Q538" s="36" t="n">
        <v>3</v>
      </c>
      <c r="R538" s="32" t="n">
        <v>72</v>
      </c>
      <c r="S538" s="32" t="n">
        <v>3</v>
      </c>
      <c r="T538" s="32"/>
      <c r="U538" s="32"/>
      <c r="V538" s="37"/>
      <c r="W538" s="32" t="n">
        <v>3</v>
      </c>
      <c r="X538" s="34"/>
      <c r="Y538" s="34" t="n">
        <v>3</v>
      </c>
      <c r="Z538" s="36"/>
      <c r="AA538" s="32" t="s">
        <v>3619</v>
      </c>
      <c r="AB538" s="44" t="s">
        <v>3620</v>
      </c>
      <c r="AC538" s="38" t="str">
        <f aca="false">HYPERLINK("https://biocodex6--c.vf.force.com/0014L00000KFSRbQAP", "BENAMOUR JEAN MARIE")</f>
        <v>BENAMOUR JEAN MARIE</v>
      </c>
      <c r="AD538" s="38" t="str">
        <f aca="false">HYPERLINK("https://annuairesante.ameli.fr/professionnels-de-sante/recherche/fiche-detaillee-B7c1ljo5NDG6.html", "BENAMOUR JEAN MARIE")</f>
        <v>BENAMOUR JEAN MARIE</v>
      </c>
      <c r="AE538" s="39"/>
      <c r="AF538" s="40"/>
      <c r="AG538" s="41"/>
      <c r="AH538" s="32" t="s">
        <v>3469</v>
      </c>
      <c r="AI538" s="32"/>
      <c r="AJ538" s="42" t="s">
        <v>1046</v>
      </c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XEY538" s="27"/>
      <c r="XEZ538" s="27"/>
      <c r="XFA538" s="27"/>
      <c r="XFB538" s="27"/>
      <c r="XFC538" s="27"/>
      <c r="XFD538" s="27"/>
    </row>
    <row r="539" s="42" customFormat="true" ht="14.15" hidden="false" customHeight="true" outlineLevel="0" collapsed="false">
      <c r="A539" s="28" t="s">
        <v>3621</v>
      </c>
      <c r="B539" s="29" t="s">
        <v>1455</v>
      </c>
      <c r="C539" s="29" t="s">
        <v>3622</v>
      </c>
      <c r="D539" s="30" t="s">
        <v>244</v>
      </c>
      <c r="E539" s="30" t="s">
        <v>245</v>
      </c>
      <c r="F539" s="32" t="n">
        <v>38</v>
      </c>
      <c r="G539" s="31" t="s">
        <v>215</v>
      </c>
      <c r="H539" s="31" t="n">
        <v>1</v>
      </c>
      <c r="I539" s="31" t="s">
        <v>77</v>
      </c>
      <c r="J539" s="29" t="s">
        <v>580</v>
      </c>
      <c r="K539" s="29" t="s">
        <v>581</v>
      </c>
      <c r="L539" s="32" t="n">
        <v>63</v>
      </c>
      <c r="M539" s="33" t="s">
        <v>80</v>
      </c>
      <c r="N539" s="34" t="n">
        <v>92200</v>
      </c>
      <c r="O539" s="35" t="s">
        <v>81</v>
      </c>
      <c r="P539" s="36" t="s">
        <v>3623</v>
      </c>
      <c r="Q539" s="36" t="n">
        <v>39</v>
      </c>
      <c r="R539" s="32" t="n">
        <v>70</v>
      </c>
      <c r="S539" s="32" t="n">
        <v>3</v>
      </c>
      <c r="T539" s="32"/>
      <c r="U539" s="32"/>
      <c r="V539" s="37"/>
      <c r="W539" s="32"/>
      <c r="X539" s="34"/>
      <c r="Y539" s="34"/>
      <c r="Z539" s="32"/>
      <c r="AA539" s="32" t="s">
        <v>3624</v>
      </c>
      <c r="AB539" s="32" t="s">
        <v>3625</v>
      </c>
      <c r="AC539" s="38" t="str">
        <f aca="false">HYPERLINK("https://biocodex6--c.vf.force.com/0014L00000KFLe8QAH", "DELOMENIE MYRIAM")</f>
        <v>DELOMENIE MYRIAM</v>
      </c>
      <c r="AD539" s="38" t="str">
        <f aca="false">HYPERLINK("https://annuairesante.ameli.fr/professionnels-de-sante/recherche/fiche-detaillee-B7c1lTE1MDOx.html", "DELOMENIE MYRIAM")</f>
        <v>DELOMENIE MYRIAM</v>
      </c>
      <c r="AE539" s="39"/>
      <c r="AF539" s="40"/>
      <c r="AG539" s="41"/>
      <c r="AH539" s="32"/>
      <c r="AI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XEY539" s="27"/>
      <c r="XEZ539" s="27"/>
      <c r="XFA539" s="27"/>
      <c r="XFB539" s="27"/>
      <c r="XFC539" s="27"/>
      <c r="XFD539" s="27"/>
    </row>
    <row r="540" s="42" customFormat="true" ht="14.15" hidden="false" customHeight="true" outlineLevel="0" collapsed="false">
      <c r="A540" s="28" t="s">
        <v>3626</v>
      </c>
      <c r="B540" s="29" t="s">
        <v>353</v>
      </c>
      <c r="C540" s="29" t="s">
        <v>3627</v>
      </c>
      <c r="D540" s="30" t="s">
        <v>244</v>
      </c>
      <c r="E540" s="30" t="s">
        <v>245</v>
      </c>
      <c r="F540" s="32" t="n">
        <v>74</v>
      </c>
      <c r="G540" s="31" t="s">
        <v>215</v>
      </c>
      <c r="H540" s="31" t="n">
        <v>1</v>
      </c>
      <c r="I540" s="31" t="s">
        <v>387</v>
      </c>
      <c r="J540" s="29"/>
      <c r="K540" s="29" t="s">
        <v>2418</v>
      </c>
      <c r="L540" s="32" t="n">
        <v>35</v>
      </c>
      <c r="M540" s="33" t="s">
        <v>2419</v>
      </c>
      <c r="N540" s="34" t="n">
        <v>75016</v>
      </c>
      <c r="O540" s="35" t="s">
        <v>55</v>
      </c>
      <c r="P540" s="36" t="s">
        <v>3628</v>
      </c>
      <c r="Q540" s="36" t="n">
        <v>3</v>
      </c>
      <c r="R540" s="32" t="n">
        <v>69</v>
      </c>
      <c r="S540" s="32" t="n">
        <v>3</v>
      </c>
      <c r="T540" s="32"/>
      <c r="U540" s="32"/>
      <c r="V540" s="37"/>
      <c r="W540" s="32"/>
      <c r="X540" s="34"/>
      <c r="Y540" s="34"/>
      <c r="Z540" s="32" t="s">
        <v>3629</v>
      </c>
      <c r="AA540" s="32" t="s">
        <v>3630</v>
      </c>
      <c r="AB540" s="32" t="s">
        <v>3631</v>
      </c>
      <c r="AC540" s="38" t="str">
        <f aca="false">HYPERLINK("https://biocodex6--c.vf.force.com/0014L00000KG2WrQAL", "TAMBORINI ALAIN")</f>
        <v>TAMBORINI ALAIN</v>
      </c>
      <c r="AD540" s="38" t="str">
        <f aca="false">HYPERLINK("https://annuairesante.ameli.fr/professionnels-de-sante/recherche/fiche-detaillee-B7c1kTQxMDqw.html", "TAMBORINI ALAIN")</f>
        <v>TAMBORINI ALAIN</v>
      </c>
      <c r="AE540" s="39"/>
      <c r="AF540" s="40"/>
      <c r="AG540" s="41"/>
      <c r="AH540" s="32"/>
      <c r="AI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XEY540" s="27"/>
      <c r="XEZ540" s="27"/>
      <c r="XFA540" s="27"/>
      <c r="XFB540" s="27"/>
      <c r="XFC540" s="27"/>
      <c r="XFD540" s="27"/>
    </row>
    <row r="541" s="42" customFormat="true" ht="14.15" hidden="false" customHeight="true" outlineLevel="0" collapsed="false">
      <c r="A541" s="28" t="s">
        <v>3632</v>
      </c>
      <c r="B541" s="29" t="s">
        <v>3633</v>
      </c>
      <c r="C541" s="29" t="s">
        <v>3634</v>
      </c>
      <c r="D541" s="30" t="s">
        <v>50</v>
      </c>
      <c r="E541" s="30" t="s">
        <v>245</v>
      </c>
      <c r="F541" s="32" t="n">
        <v>38</v>
      </c>
      <c r="G541" s="31" t="s">
        <v>98</v>
      </c>
      <c r="H541" s="31" t="n">
        <v>1</v>
      </c>
      <c r="I541" s="31" t="s">
        <v>233</v>
      </c>
      <c r="J541" s="29"/>
      <c r="K541" s="29" t="s">
        <v>3635</v>
      </c>
      <c r="L541" s="32" t="n">
        <v>56</v>
      </c>
      <c r="M541" s="33" t="s">
        <v>2742</v>
      </c>
      <c r="N541" s="34" t="n">
        <v>75015</v>
      </c>
      <c r="O541" s="35" t="s">
        <v>55</v>
      </c>
      <c r="P541" s="36" t="s">
        <v>3636</v>
      </c>
      <c r="Q541" s="36" t="n">
        <v>3</v>
      </c>
      <c r="R541" s="32" t="n">
        <v>69</v>
      </c>
      <c r="S541" s="32" t="n">
        <v>3</v>
      </c>
      <c r="T541" s="32"/>
      <c r="U541" s="32"/>
      <c r="V541" s="37"/>
      <c r="W541" s="32"/>
      <c r="X541" s="34"/>
      <c r="Y541" s="34"/>
      <c r="Z541" s="32"/>
      <c r="AA541" s="32" t="s">
        <v>3637</v>
      </c>
      <c r="AB541" s="32" t="s">
        <v>3638</v>
      </c>
      <c r="AC541" s="38" t="str">
        <f aca="false">HYPERLINK("https://biocodex6--c.vf.force.com/0014L00000KFORiQAP", "LE HENAFF AUDE")</f>
        <v>LE HENAFF AUDE</v>
      </c>
      <c r="AD541" s="38" t="str">
        <f aca="false">HYPERLINK("https://annuairesante.ameli.fr/professionnels-de-sante/recherche/fiche-detaillee-B7c1kjs1MTKx.html", "LE HENAFF AUDE")</f>
        <v>LE HENAFF AUDE</v>
      </c>
      <c r="AE541" s="39"/>
      <c r="AF541" s="40"/>
      <c r="AG541" s="41"/>
      <c r="AH541" s="32"/>
      <c r="AI541" s="32"/>
      <c r="AL541" s="32"/>
      <c r="AM541" s="32"/>
      <c r="AN541" s="32"/>
      <c r="AO541" s="43" t="s">
        <v>126</v>
      </c>
      <c r="AP541" s="32"/>
      <c r="AQ541" s="32"/>
      <c r="AR541" s="43" t="s">
        <v>657</v>
      </c>
      <c r="AS541" s="43" t="s">
        <v>137</v>
      </c>
      <c r="AT541" s="43" t="s">
        <v>657</v>
      </c>
      <c r="AU541" s="43" t="s">
        <v>126</v>
      </c>
      <c r="XEY541" s="27"/>
      <c r="XEZ541" s="27"/>
      <c r="XFA541" s="27"/>
      <c r="XFB541" s="27"/>
      <c r="XFC541" s="27"/>
      <c r="XFD541" s="27"/>
    </row>
    <row r="542" s="42" customFormat="true" ht="14.15" hidden="false" customHeight="true" outlineLevel="0" collapsed="false">
      <c r="A542" s="28" t="s">
        <v>3639</v>
      </c>
      <c r="B542" s="29" t="s">
        <v>3640</v>
      </c>
      <c r="C542" s="29" t="s">
        <v>3641</v>
      </c>
      <c r="D542" s="30" t="s">
        <v>50</v>
      </c>
      <c r="E542" s="31"/>
      <c r="F542" s="32" t="n">
        <v>32</v>
      </c>
      <c r="G542" s="31"/>
      <c r="H542" s="31" t="n">
        <v>1</v>
      </c>
      <c r="I542" s="31" t="s">
        <v>233</v>
      </c>
      <c r="J542" s="29"/>
      <c r="K542" s="29" t="s">
        <v>3642</v>
      </c>
      <c r="L542" s="32" t="n">
        <v>39</v>
      </c>
      <c r="M542" s="33" t="s">
        <v>2788</v>
      </c>
      <c r="N542" s="34" t="n">
        <v>75015</v>
      </c>
      <c r="O542" s="35" t="s">
        <v>55</v>
      </c>
      <c r="P542" s="36"/>
      <c r="Q542" s="36" t="n">
        <v>2</v>
      </c>
      <c r="R542" s="32" t="n">
        <v>69</v>
      </c>
      <c r="S542" s="32" t="n">
        <v>3</v>
      </c>
      <c r="T542" s="32"/>
      <c r="U542" s="32" t="n">
        <v>3</v>
      </c>
      <c r="V542" s="37"/>
      <c r="W542" s="32" t="n">
        <v>3</v>
      </c>
      <c r="X542" s="34"/>
      <c r="Y542" s="34" t="n">
        <v>1</v>
      </c>
      <c r="Z542" s="32"/>
      <c r="AA542" s="32" t="s">
        <v>3643</v>
      </c>
      <c r="AB542" s="32"/>
      <c r="AC542" s="38" t="str">
        <f aca="false">HYPERLINK("https://biocodex6--c.vf.force.com/0014L00000KGED7QAP", "DURET MARIE CHARLOTTE")</f>
        <v>DURET MARIE CHARLOTTE</v>
      </c>
      <c r="AD542" s="38"/>
      <c r="AE542" s="39"/>
      <c r="AF542" s="40"/>
      <c r="AG542" s="41"/>
      <c r="AH542" s="32"/>
      <c r="AI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XEY542" s="27"/>
      <c r="XEZ542" s="27"/>
      <c r="XFA542" s="27"/>
      <c r="XFB542" s="27"/>
      <c r="XFC542" s="27"/>
      <c r="XFD542" s="27"/>
    </row>
    <row r="543" s="42" customFormat="true" ht="14.15" hidden="false" customHeight="true" outlineLevel="0" collapsed="false">
      <c r="A543" s="28" t="s">
        <v>3644</v>
      </c>
      <c r="B543" s="29" t="s">
        <v>3454</v>
      </c>
      <c r="C543" s="29" t="s">
        <v>3645</v>
      </c>
      <c r="D543" s="30" t="s">
        <v>50</v>
      </c>
      <c r="E543" s="31"/>
      <c r="F543" s="32" t="n">
        <v>0</v>
      </c>
      <c r="G543" s="31" t="s">
        <v>98</v>
      </c>
      <c r="H543" s="31" t="n">
        <v>1</v>
      </c>
      <c r="I543" s="31" t="s">
        <v>572</v>
      </c>
      <c r="J543" s="29"/>
      <c r="K543" s="29" t="s">
        <v>3646</v>
      </c>
      <c r="L543" s="32" t="n">
        <v>12</v>
      </c>
      <c r="M543" s="33" t="s">
        <v>3647</v>
      </c>
      <c r="N543" s="34" t="n">
        <v>75008</v>
      </c>
      <c r="O543" s="35" t="s">
        <v>55</v>
      </c>
      <c r="P543" s="36" t="s">
        <v>3648</v>
      </c>
      <c r="Q543" s="36" t="n">
        <v>1</v>
      </c>
      <c r="R543" s="32" t="n">
        <v>64</v>
      </c>
      <c r="S543" s="32" t="n">
        <v>3</v>
      </c>
      <c r="T543" s="32"/>
      <c r="U543" s="32"/>
      <c r="V543" s="37"/>
      <c r="W543" s="32"/>
      <c r="X543" s="34"/>
      <c r="Y543" s="34"/>
      <c r="Z543" s="32"/>
      <c r="AA543" s="32" t="s">
        <v>3649</v>
      </c>
      <c r="AB543" s="32" t="s">
        <v>3650</v>
      </c>
      <c r="AC543" s="38" t="str">
        <f aca="false">HYPERLINK("https://biocodex6--c.vf.force.com/0014L00000KFyawQAD", "RENAUDON DELPHINE")</f>
        <v>RENAUDON DELPHINE</v>
      </c>
      <c r="AD543" s="38" t="str">
        <f aca="false">HYPERLINK("https://annuairesante.ameli.fr/professionnels-de-sante/recherche/fiche-detaillee-B7c1kjs0Nzu3.html", "RENAUDON DELPHINE")</f>
        <v>RENAUDON DELPHINE</v>
      </c>
      <c r="AE543" s="39"/>
      <c r="AF543" s="40"/>
      <c r="AG543" s="41"/>
      <c r="AH543" s="32"/>
      <c r="AI543" s="32"/>
      <c r="AL543" s="43" t="s">
        <v>909</v>
      </c>
      <c r="AM543" s="43" t="s">
        <v>1292</v>
      </c>
      <c r="AN543" s="43" t="s">
        <v>909</v>
      </c>
      <c r="AO543" s="43" t="s">
        <v>1292</v>
      </c>
      <c r="AP543" s="32"/>
      <c r="AQ543" s="32"/>
      <c r="AR543" s="43" t="s">
        <v>909</v>
      </c>
      <c r="AS543" s="43" t="s">
        <v>1292</v>
      </c>
      <c r="AT543" s="43" t="s">
        <v>909</v>
      </c>
      <c r="AU543" s="43" t="s">
        <v>1292</v>
      </c>
      <c r="XEY543" s="27"/>
      <c r="XEZ543" s="27"/>
      <c r="XFA543" s="27"/>
      <c r="XFB543" s="27"/>
      <c r="XFC543" s="27"/>
      <c r="XFD543" s="27"/>
    </row>
    <row r="544" s="42" customFormat="true" ht="14.15" hidden="false" customHeight="true" outlineLevel="0" collapsed="false">
      <c r="A544" s="28" t="s">
        <v>3651</v>
      </c>
      <c r="B544" s="29" t="s">
        <v>3346</v>
      </c>
      <c r="C544" s="29" t="s">
        <v>3652</v>
      </c>
      <c r="D544" s="30" t="s">
        <v>244</v>
      </c>
      <c r="E544" s="30" t="s">
        <v>245</v>
      </c>
      <c r="F544" s="32" t="n">
        <v>38</v>
      </c>
      <c r="G544" s="31" t="s">
        <v>215</v>
      </c>
      <c r="H544" s="31" t="n">
        <v>2</v>
      </c>
      <c r="I544" s="31" t="s">
        <v>173</v>
      </c>
      <c r="J544" s="29"/>
      <c r="K544" s="29" t="s">
        <v>3653</v>
      </c>
      <c r="L544" s="32" t="n">
        <v>121</v>
      </c>
      <c r="M544" s="33" t="s">
        <v>3654</v>
      </c>
      <c r="N544" s="34" t="n">
        <v>75016</v>
      </c>
      <c r="O544" s="35" t="s">
        <v>55</v>
      </c>
      <c r="P544" s="36" t="s">
        <v>692</v>
      </c>
      <c r="Q544" s="36" t="n">
        <v>1</v>
      </c>
      <c r="R544" s="32" t="n">
        <v>64</v>
      </c>
      <c r="S544" s="32" t="n">
        <v>3</v>
      </c>
      <c r="T544" s="32"/>
      <c r="U544" s="32"/>
      <c r="V544" s="37" t="n">
        <v>3</v>
      </c>
      <c r="W544" s="32"/>
      <c r="X544" s="34"/>
      <c r="Y544" s="34"/>
      <c r="Z544" s="32"/>
      <c r="AA544" s="32" t="s">
        <v>3655</v>
      </c>
      <c r="AB544" s="32" t="s">
        <v>3656</v>
      </c>
      <c r="AC544" s="38" t="str">
        <f aca="false">HYPERLINK("https://biocodex6--c.vf.force.com/0014L00000KFLcjQAH", "LEPAGE JULIEN")</f>
        <v>LEPAGE JULIEN</v>
      </c>
      <c r="AD544" s="38" t="str">
        <f aca="false">HYPERLINK("https://annuairesante.ameli.fr/professionnels-de-sante/recherche/fiche-detaillee-B7c1kjY0Nzuy.html", "LEPAGE JULIEN")</f>
        <v>LEPAGE JULIEN</v>
      </c>
      <c r="AE544" s="39"/>
      <c r="AF544" s="40"/>
      <c r="AG544" s="41"/>
      <c r="AH544" s="32"/>
      <c r="AI544" s="32"/>
      <c r="AL544" s="43" t="s">
        <v>338</v>
      </c>
      <c r="AM544" s="32"/>
      <c r="AN544" s="32"/>
      <c r="AO544" s="32"/>
      <c r="AP544" s="32"/>
      <c r="AQ544" s="43" t="s">
        <v>661</v>
      </c>
      <c r="AR544" s="32"/>
      <c r="AS544" s="43" t="s">
        <v>661</v>
      </c>
      <c r="AT544" s="43" t="s">
        <v>338</v>
      </c>
      <c r="AU544" s="32"/>
      <c r="XEY544" s="27"/>
      <c r="XEZ544" s="27"/>
      <c r="XFA544" s="27"/>
      <c r="XFB544" s="27"/>
      <c r="XFC544" s="27"/>
      <c r="XFD544" s="27"/>
    </row>
    <row r="545" s="42" customFormat="true" ht="14.15" hidden="false" customHeight="true" outlineLevel="0" collapsed="false">
      <c r="A545" s="28" t="s">
        <v>3657</v>
      </c>
      <c r="B545" s="29" t="s">
        <v>3658</v>
      </c>
      <c r="C545" s="29" t="s">
        <v>3659</v>
      </c>
      <c r="D545" s="30" t="s">
        <v>172</v>
      </c>
      <c r="E545" s="30" t="s">
        <v>818</v>
      </c>
      <c r="F545" s="32" t="n">
        <v>67</v>
      </c>
      <c r="G545" s="31"/>
      <c r="H545" s="31" t="n">
        <v>1</v>
      </c>
      <c r="I545" s="31" t="s">
        <v>197</v>
      </c>
      <c r="J545" s="29"/>
      <c r="K545" s="29" t="s">
        <v>3660</v>
      </c>
      <c r="L545" s="32" t="n">
        <v>43</v>
      </c>
      <c r="M545" s="33" t="s">
        <v>3661</v>
      </c>
      <c r="N545" s="34" t="n">
        <v>75017</v>
      </c>
      <c r="O545" s="35" t="s">
        <v>55</v>
      </c>
      <c r="P545" s="36" t="s">
        <v>3662</v>
      </c>
      <c r="Q545" s="36" t="n">
        <v>2</v>
      </c>
      <c r="R545" s="32" t="n">
        <v>62</v>
      </c>
      <c r="S545" s="32" t="n">
        <v>3</v>
      </c>
      <c r="T545" s="43" t="s">
        <v>3663</v>
      </c>
      <c r="U545" s="32"/>
      <c r="V545" s="37" t="n">
        <v>3</v>
      </c>
      <c r="W545" s="32"/>
      <c r="X545" s="34"/>
      <c r="Y545" s="34"/>
      <c r="Z545" s="32"/>
      <c r="AA545" s="32" t="s">
        <v>3664</v>
      </c>
      <c r="AB545" s="32"/>
      <c r="AC545" s="38" t="str">
        <f aca="false">HYPERLINK("https://biocodex6--c.vf.force.com/0014L00000KFQP0QAP", "ANASTASSIOU EVANGELOS")</f>
        <v>ANASTASSIOU EVANGELOS</v>
      </c>
      <c r="AD545" s="38"/>
      <c r="AE545" s="39"/>
      <c r="AF545" s="40"/>
      <c r="AG545" s="41"/>
      <c r="AH545" s="32"/>
      <c r="AI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XEY545" s="27"/>
      <c r="XEZ545" s="27"/>
      <c r="XFA545" s="27"/>
      <c r="XFB545" s="27"/>
      <c r="XFC545" s="27"/>
      <c r="XFD545" s="27"/>
    </row>
    <row r="546" s="42" customFormat="true" ht="14.15" hidden="false" customHeight="true" outlineLevel="0" collapsed="false">
      <c r="A546" s="28" t="s">
        <v>3665</v>
      </c>
      <c r="B546" s="29" t="s">
        <v>2589</v>
      </c>
      <c r="C546" s="29" t="s">
        <v>3666</v>
      </c>
      <c r="D546" s="30" t="s">
        <v>112</v>
      </c>
      <c r="E546" s="30" t="s">
        <v>452</v>
      </c>
      <c r="F546" s="32" t="n">
        <v>55</v>
      </c>
      <c r="G546" s="31"/>
      <c r="H546" s="31" t="n">
        <v>2</v>
      </c>
      <c r="I546" s="31" t="s">
        <v>51</v>
      </c>
      <c r="J546" s="29" t="s">
        <v>52</v>
      </c>
      <c r="K546" s="29" t="s">
        <v>53</v>
      </c>
      <c r="L546" s="32" t="n">
        <v>149</v>
      </c>
      <c r="M546" s="33" t="s">
        <v>54</v>
      </c>
      <c r="N546" s="34" t="n">
        <v>75015</v>
      </c>
      <c r="O546" s="35" t="s">
        <v>55</v>
      </c>
      <c r="P546" s="36" t="s">
        <v>3667</v>
      </c>
      <c r="Q546" s="36" t="n">
        <v>236</v>
      </c>
      <c r="R546" s="32" t="n">
        <v>61</v>
      </c>
      <c r="S546" s="32" t="n">
        <v>3</v>
      </c>
      <c r="T546" s="32"/>
      <c r="U546" s="32"/>
      <c r="V546" s="37"/>
      <c r="W546" s="32"/>
      <c r="X546" s="34"/>
      <c r="Y546" s="34"/>
      <c r="Z546" s="32"/>
      <c r="AA546" s="32" t="s">
        <v>3668</v>
      </c>
      <c r="AB546" s="32"/>
      <c r="AC546" s="38" t="str">
        <f aca="false">HYPERLINK("https://biocodex6--c.vf.force.com/0014L00000KFSduQAH", "BELFAR BERGOUNIOUX SAMIRA")</f>
        <v>BELFAR BERGOUNIOUX SAMIRA</v>
      </c>
      <c r="AD546" s="38"/>
      <c r="AE546" s="39"/>
      <c r="AF546" s="40"/>
      <c r="AG546" s="41"/>
      <c r="AH546" s="32"/>
      <c r="AI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XEY546" s="27"/>
      <c r="XEZ546" s="27"/>
      <c r="XFA546" s="27"/>
      <c r="XFB546" s="27"/>
      <c r="XFC546" s="27"/>
      <c r="XFD546" s="27"/>
    </row>
    <row r="547" s="42" customFormat="true" ht="14.15" hidden="false" customHeight="true" outlineLevel="0" collapsed="false">
      <c r="A547" s="28" t="s">
        <v>3669</v>
      </c>
      <c r="B547" s="29" t="s">
        <v>3670</v>
      </c>
      <c r="C547" s="29" t="s">
        <v>3671</v>
      </c>
      <c r="D547" s="30" t="s">
        <v>244</v>
      </c>
      <c r="E547" s="30" t="s">
        <v>245</v>
      </c>
      <c r="F547" s="32" t="n">
        <v>38</v>
      </c>
      <c r="G547" s="31"/>
      <c r="H547" s="31" t="n">
        <v>1</v>
      </c>
      <c r="I547" s="31" t="s">
        <v>99</v>
      </c>
      <c r="J547" s="29" t="s">
        <v>595</v>
      </c>
      <c r="K547" s="29" t="s">
        <v>596</v>
      </c>
      <c r="L547" s="32" t="n">
        <v>20</v>
      </c>
      <c r="M547" s="33" t="s">
        <v>597</v>
      </c>
      <c r="N547" s="34" t="n">
        <v>75015</v>
      </c>
      <c r="O547" s="35" t="s">
        <v>55</v>
      </c>
      <c r="P547" s="36" t="s">
        <v>2773</v>
      </c>
      <c r="Q547" s="36" t="n">
        <v>90</v>
      </c>
      <c r="R547" s="32" t="n">
        <v>59</v>
      </c>
      <c r="S547" s="32" t="n">
        <v>3</v>
      </c>
      <c r="T547" s="32"/>
      <c r="U547" s="32"/>
      <c r="V547" s="37"/>
      <c r="W547" s="32"/>
      <c r="X547" s="34"/>
      <c r="Y547" s="34"/>
      <c r="Z547" s="32"/>
      <c r="AA547" s="32" t="s">
        <v>3672</v>
      </c>
      <c r="AB547" s="32"/>
      <c r="AC547" s="38" t="str">
        <f aca="false">HYPERLINK("https://biocodex6--c.vf.force.com/0014L00000KFOBMQA5", "KOUAL MERIEM")</f>
        <v>KOUAL MERIEM</v>
      </c>
      <c r="AD547" s="38"/>
      <c r="AE547" s="39" t="n">
        <v>45236.5208333333</v>
      </c>
      <c r="AF547" s="40"/>
      <c r="AG547" s="41"/>
      <c r="AH547" s="32"/>
      <c r="AI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XEY547" s="27"/>
      <c r="XEZ547" s="27"/>
      <c r="XFA547" s="27"/>
      <c r="XFB547" s="27"/>
      <c r="XFC547" s="27"/>
      <c r="XFD547" s="27"/>
    </row>
    <row r="548" s="42" customFormat="true" ht="14.15" hidden="false" customHeight="true" outlineLevel="0" collapsed="false">
      <c r="A548" s="28" t="s">
        <v>3673</v>
      </c>
      <c r="B548" s="29" t="s">
        <v>3674</v>
      </c>
      <c r="C548" s="29" t="s">
        <v>3675</v>
      </c>
      <c r="D548" s="30" t="s">
        <v>172</v>
      </c>
      <c r="E548" s="30" t="s">
        <v>255</v>
      </c>
      <c r="F548" s="32" t="n">
        <v>60</v>
      </c>
      <c r="G548" s="31"/>
      <c r="H548" s="31" t="n">
        <v>1</v>
      </c>
      <c r="I548" s="31" t="s">
        <v>119</v>
      </c>
      <c r="J548" s="29"/>
      <c r="K548" s="29" t="s">
        <v>3676</v>
      </c>
      <c r="L548" s="32" t="n">
        <v>33</v>
      </c>
      <c r="M548" s="33" t="s">
        <v>3677</v>
      </c>
      <c r="N548" s="34" t="n">
        <v>75007</v>
      </c>
      <c r="O548" s="35" t="s">
        <v>55</v>
      </c>
      <c r="P548" s="36" t="s">
        <v>3678</v>
      </c>
      <c r="Q548" s="36" t="n">
        <v>1</v>
      </c>
      <c r="R548" s="32" t="n">
        <v>56</v>
      </c>
      <c r="S548" s="32" t="n">
        <v>3</v>
      </c>
      <c r="T548" s="43" t="s">
        <v>316</v>
      </c>
      <c r="U548" s="32"/>
      <c r="V548" s="37"/>
      <c r="W548" s="32"/>
      <c r="X548" s="34"/>
      <c r="Y548" s="34"/>
      <c r="Z548" s="36"/>
      <c r="AA548" s="32" t="s">
        <v>3679</v>
      </c>
      <c r="AB548" s="32"/>
      <c r="AC548" s="38" t="str">
        <f aca="false">HYPERLINK("https://biocodex6--c.vf.force.com/0014L00000KFreJQAT", "MASSOU DIT BOURDET JEAN MICHEL")</f>
        <v>MASSOU DIT BOURDET JEAN MICHEL</v>
      </c>
      <c r="AD548" s="38"/>
      <c r="AE548" s="39"/>
      <c r="AF548" s="40"/>
      <c r="AG548" s="41"/>
      <c r="AH548" s="32" t="s">
        <v>179</v>
      </c>
      <c r="AI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XEY548" s="27"/>
      <c r="XEZ548" s="27"/>
      <c r="XFA548" s="27"/>
      <c r="XFB548" s="27"/>
      <c r="XFC548" s="27"/>
      <c r="XFD548" s="27"/>
    </row>
    <row r="549" s="42" customFormat="true" ht="14.15" hidden="false" customHeight="true" outlineLevel="0" collapsed="false">
      <c r="A549" s="28" t="s">
        <v>3680</v>
      </c>
      <c r="B549" s="29" t="s">
        <v>3681</v>
      </c>
      <c r="C549" s="29" t="s">
        <v>3682</v>
      </c>
      <c r="D549" s="30" t="s">
        <v>244</v>
      </c>
      <c r="E549" s="30" t="s">
        <v>245</v>
      </c>
      <c r="F549" s="32" t="n">
        <v>40</v>
      </c>
      <c r="G549" s="31"/>
      <c r="H549" s="31" t="n">
        <v>1</v>
      </c>
      <c r="I549" s="31" t="s">
        <v>99</v>
      </c>
      <c r="J549" s="29" t="s">
        <v>595</v>
      </c>
      <c r="K549" s="29" t="s">
        <v>596</v>
      </c>
      <c r="L549" s="32" t="n">
        <v>20</v>
      </c>
      <c r="M549" s="33" t="s">
        <v>597</v>
      </c>
      <c r="N549" s="34" t="n">
        <v>75015</v>
      </c>
      <c r="O549" s="35" t="s">
        <v>55</v>
      </c>
      <c r="P549" s="36" t="s">
        <v>2773</v>
      </c>
      <c r="Q549" s="36" t="n">
        <v>90</v>
      </c>
      <c r="R549" s="32" t="n">
        <v>52</v>
      </c>
      <c r="S549" s="32" t="n">
        <v>3</v>
      </c>
      <c r="T549" s="32"/>
      <c r="U549" s="32"/>
      <c r="V549" s="37"/>
      <c r="W549" s="32"/>
      <c r="X549" s="34"/>
      <c r="Y549" s="34"/>
      <c r="Z549" s="32"/>
      <c r="AA549" s="32" t="s">
        <v>3683</v>
      </c>
      <c r="AB549" s="32"/>
      <c r="AC549" s="38" t="str">
        <f aca="false">HYPERLINK("https://biocodex6--c.vf.force.com/0014L00000KFSP9QAP", "AZAIS HENRI FERDINAND")</f>
        <v>AZAIS HENRI FERDINAND</v>
      </c>
      <c r="AD549" s="38"/>
      <c r="AE549" s="39"/>
      <c r="AF549" s="40"/>
      <c r="AG549" s="41"/>
      <c r="AH549" s="32"/>
      <c r="AI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XEY549" s="27"/>
      <c r="XEZ549" s="27"/>
      <c r="XFA549" s="27"/>
      <c r="XFB549" s="27"/>
      <c r="XFC549" s="27"/>
      <c r="XFD549" s="27"/>
    </row>
    <row r="550" s="42" customFormat="true" ht="14.15" hidden="false" customHeight="true" outlineLevel="0" collapsed="false">
      <c r="A550" s="28" t="s">
        <v>3684</v>
      </c>
      <c r="B550" s="29" t="s">
        <v>3685</v>
      </c>
      <c r="C550" s="29" t="s">
        <v>3686</v>
      </c>
      <c r="D550" s="30" t="s">
        <v>1103</v>
      </c>
      <c r="E550" s="31"/>
      <c r="F550" s="32" t="n">
        <v>49</v>
      </c>
      <c r="G550" s="31"/>
      <c r="H550" s="31" t="n">
        <v>1</v>
      </c>
      <c r="I550" s="31" t="s">
        <v>119</v>
      </c>
      <c r="J550" s="29"/>
      <c r="K550" s="29" t="s">
        <v>1220</v>
      </c>
      <c r="L550" s="32" t="n">
        <v>199</v>
      </c>
      <c r="M550" s="33" t="s">
        <v>1221</v>
      </c>
      <c r="N550" s="34" t="n">
        <v>75007</v>
      </c>
      <c r="O550" s="35" t="s">
        <v>55</v>
      </c>
      <c r="P550" s="36" t="s">
        <v>3687</v>
      </c>
      <c r="Q550" s="36" t="n">
        <v>4</v>
      </c>
      <c r="R550" s="32" t="n">
        <v>51</v>
      </c>
      <c r="S550" s="32" t="n">
        <v>3</v>
      </c>
      <c r="T550" s="43" t="s">
        <v>316</v>
      </c>
      <c r="U550" s="32"/>
      <c r="V550" s="37"/>
      <c r="W550" s="32"/>
      <c r="X550" s="34"/>
      <c r="Y550" s="34"/>
      <c r="Z550" s="36"/>
      <c r="AA550" s="32" t="s">
        <v>3688</v>
      </c>
      <c r="AB550" s="32"/>
      <c r="AC550" s="38" t="str">
        <f aca="false">HYPERLINK("https://biocodex6--c.vf.force.com/0014L00000KFr81QAD", "MAREY PASCALINE")</f>
        <v>MAREY PASCALINE</v>
      </c>
      <c r="AD550" s="38"/>
      <c r="AE550" s="39"/>
      <c r="AF550" s="40"/>
      <c r="AG550" s="41"/>
      <c r="AH550" s="32" t="s">
        <v>179</v>
      </c>
      <c r="AI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XEY550" s="27"/>
      <c r="XEZ550" s="27"/>
      <c r="XFA550" s="27"/>
      <c r="XFB550" s="27"/>
      <c r="XFC550" s="27"/>
      <c r="XFD550" s="27"/>
    </row>
    <row r="551" s="42" customFormat="true" ht="14.15" hidden="false" customHeight="true" outlineLevel="0" collapsed="false">
      <c r="A551" s="28" t="s">
        <v>3689</v>
      </c>
      <c r="B551" s="29" t="s">
        <v>3690</v>
      </c>
      <c r="C551" s="29" t="s">
        <v>3691</v>
      </c>
      <c r="D551" s="30" t="s">
        <v>172</v>
      </c>
      <c r="E551" s="30" t="s">
        <v>245</v>
      </c>
      <c r="F551" s="32" t="n">
        <v>38</v>
      </c>
      <c r="G551" s="31"/>
      <c r="H551" s="31" t="n">
        <v>1</v>
      </c>
      <c r="I551" s="31" t="s">
        <v>197</v>
      </c>
      <c r="J551" s="29" t="s">
        <v>1915</v>
      </c>
      <c r="K551" s="29" t="s">
        <v>1916</v>
      </c>
      <c r="L551" s="32" t="n">
        <v>17</v>
      </c>
      <c r="M551" s="33" t="s">
        <v>1917</v>
      </c>
      <c r="N551" s="34" t="n">
        <v>75017</v>
      </c>
      <c r="O551" s="35" t="s">
        <v>55</v>
      </c>
      <c r="P551" s="36" t="s">
        <v>1918</v>
      </c>
      <c r="Q551" s="36" t="n">
        <v>12</v>
      </c>
      <c r="R551" s="32" t="n">
        <v>41</v>
      </c>
      <c r="S551" s="32" t="n">
        <v>3</v>
      </c>
      <c r="T551" s="43" t="s">
        <v>316</v>
      </c>
      <c r="U551" s="32"/>
      <c r="V551" s="37"/>
      <c r="W551" s="32"/>
      <c r="X551" s="34"/>
      <c r="Y551" s="34"/>
      <c r="Z551" s="36"/>
      <c r="AA551" s="32" t="s">
        <v>3692</v>
      </c>
      <c r="AB551" s="32"/>
      <c r="AC551" s="38" t="str">
        <f aca="false">HYPERLINK("https://biocodex6--c.vf.force.com/0014L00000KFM3tQAH", "LE QUERE YANN")</f>
        <v>LE QUERE YANN</v>
      </c>
      <c r="AD551" s="38"/>
      <c r="AE551" s="39"/>
      <c r="AF551" s="40"/>
      <c r="AG551" s="41"/>
      <c r="AH551" s="32" t="s">
        <v>179</v>
      </c>
      <c r="AI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XEY551" s="27"/>
      <c r="XEZ551" s="27"/>
      <c r="XFA551" s="27"/>
      <c r="XFB551" s="27"/>
      <c r="XFC551" s="27"/>
      <c r="XFD551" s="27"/>
    </row>
    <row r="552" s="42" customFormat="true" ht="14.15" hidden="false" customHeight="true" outlineLevel="0" collapsed="false">
      <c r="A552" s="28" t="s">
        <v>3693</v>
      </c>
      <c r="B552" s="29" t="s">
        <v>612</v>
      </c>
      <c r="C552" s="29" t="s">
        <v>3694</v>
      </c>
      <c r="D552" s="30" t="s">
        <v>172</v>
      </c>
      <c r="E552" s="31"/>
      <c r="F552" s="32" t="n">
        <v>55</v>
      </c>
      <c r="G552" s="31"/>
      <c r="H552" s="31" t="n">
        <v>1</v>
      </c>
      <c r="I552" s="31" t="s">
        <v>197</v>
      </c>
      <c r="J552" s="29" t="s">
        <v>1915</v>
      </c>
      <c r="K552" s="29" t="s">
        <v>1916</v>
      </c>
      <c r="L552" s="32" t="n">
        <v>17</v>
      </c>
      <c r="M552" s="33" t="s">
        <v>1917</v>
      </c>
      <c r="N552" s="34" t="n">
        <v>75017</v>
      </c>
      <c r="O552" s="35" t="s">
        <v>55</v>
      </c>
      <c r="P552" s="36" t="s">
        <v>1918</v>
      </c>
      <c r="Q552" s="36" t="n">
        <v>12</v>
      </c>
      <c r="R552" s="32" t="n">
        <v>38</v>
      </c>
      <c r="S552" s="32" t="n">
        <v>3</v>
      </c>
      <c r="T552" s="43" t="s">
        <v>316</v>
      </c>
      <c r="U552" s="32"/>
      <c r="V552" s="37"/>
      <c r="W552" s="32"/>
      <c r="X552" s="34"/>
      <c r="Y552" s="34"/>
      <c r="Z552" s="36"/>
      <c r="AA552" s="32" t="s">
        <v>3695</v>
      </c>
      <c r="AB552" s="32"/>
      <c r="AC552" s="38" t="str">
        <f aca="false">HYPERLINK("https://biocodex6--c.vf.force.com/0014L00000KFZOBQA5", "DUCROIX CORINNE")</f>
        <v>DUCROIX CORINNE</v>
      </c>
      <c r="AD552" s="38"/>
      <c r="AE552" s="39"/>
      <c r="AF552" s="40"/>
      <c r="AG552" s="41"/>
      <c r="AH552" s="32" t="s">
        <v>179</v>
      </c>
      <c r="AI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XEY552" s="27"/>
      <c r="XEZ552" s="27"/>
      <c r="XFA552" s="27"/>
      <c r="XFB552" s="27"/>
      <c r="XFC552" s="27"/>
      <c r="XFD552" s="27"/>
    </row>
    <row r="553" s="42" customFormat="true" ht="14.15" hidden="false" customHeight="true" outlineLevel="0" collapsed="false">
      <c r="A553" s="28" t="s">
        <v>3696</v>
      </c>
      <c r="B553" s="29" t="s">
        <v>3697</v>
      </c>
      <c r="C553" s="29" t="s">
        <v>3698</v>
      </c>
      <c r="D553" s="30" t="s">
        <v>172</v>
      </c>
      <c r="E553" s="31"/>
      <c r="F553" s="32" t="n">
        <v>45</v>
      </c>
      <c r="G553" s="31"/>
      <c r="H553" s="31" t="n">
        <v>1</v>
      </c>
      <c r="I553" s="31" t="s">
        <v>233</v>
      </c>
      <c r="J553" s="29"/>
      <c r="K553" s="29" t="s">
        <v>2822</v>
      </c>
      <c r="L553" s="32" t="n">
        <v>3</v>
      </c>
      <c r="M553" s="33" t="s">
        <v>2823</v>
      </c>
      <c r="N553" s="34" t="n">
        <v>75015</v>
      </c>
      <c r="O553" s="35" t="s">
        <v>55</v>
      </c>
      <c r="P553" s="36" t="s">
        <v>3699</v>
      </c>
      <c r="Q553" s="36" t="n">
        <v>5</v>
      </c>
      <c r="R553" s="32" t="n">
        <v>36</v>
      </c>
      <c r="S553" s="32" t="n">
        <v>3</v>
      </c>
      <c r="T553" s="43" t="s">
        <v>316</v>
      </c>
      <c r="U553" s="32"/>
      <c r="V553" s="37"/>
      <c r="W553" s="32"/>
      <c r="X553" s="34"/>
      <c r="Y553" s="34"/>
      <c r="Z553" s="32"/>
      <c r="AA553" s="32" t="s">
        <v>3700</v>
      </c>
      <c r="AB553" s="32"/>
      <c r="AC553" s="38" t="str">
        <f aca="false">HYPERLINK("https://biocodex6--c.vf.force.com/0014L00000KFqHaQAL", "MEILLAND ALIX")</f>
        <v>MEILLAND ALIX</v>
      </c>
      <c r="AD553" s="38"/>
      <c r="AE553" s="39"/>
      <c r="AF553" s="40"/>
      <c r="AG553" s="41"/>
      <c r="AH553" s="32"/>
      <c r="AI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XEY553" s="27"/>
      <c r="XEZ553" s="27"/>
      <c r="XFA553" s="27"/>
      <c r="XFB553" s="27"/>
      <c r="XFC553" s="27"/>
      <c r="XFD553" s="27"/>
    </row>
    <row r="554" s="42" customFormat="true" ht="14.15" hidden="false" customHeight="true" outlineLevel="0" collapsed="false">
      <c r="A554" s="28" t="s">
        <v>3701</v>
      </c>
      <c r="B554" s="29" t="s">
        <v>3702</v>
      </c>
      <c r="C554" s="29" t="s">
        <v>3703</v>
      </c>
      <c r="D554" s="30" t="s">
        <v>172</v>
      </c>
      <c r="E554" s="31"/>
      <c r="F554" s="32"/>
      <c r="G554" s="31"/>
      <c r="H554" s="31" t="n">
        <v>1</v>
      </c>
      <c r="I554" s="31" t="s">
        <v>77</v>
      </c>
      <c r="J554" s="29" t="s">
        <v>3704</v>
      </c>
      <c r="K554" s="29" t="s">
        <v>3705</v>
      </c>
      <c r="L554" s="32" t="n">
        <v>40</v>
      </c>
      <c r="M554" s="33" t="s">
        <v>3706</v>
      </c>
      <c r="N554" s="34" t="n">
        <v>92200</v>
      </c>
      <c r="O554" s="35" t="s">
        <v>81</v>
      </c>
      <c r="P554" s="36" t="s">
        <v>3707</v>
      </c>
      <c r="Q554" s="36" t="n">
        <v>4</v>
      </c>
      <c r="R554" s="32" t="n">
        <v>34</v>
      </c>
      <c r="S554" s="32" t="n">
        <v>3</v>
      </c>
      <c r="T554" s="43" t="s">
        <v>316</v>
      </c>
      <c r="U554" s="32"/>
      <c r="V554" s="37"/>
      <c r="W554" s="32"/>
      <c r="X554" s="34"/>
      <c r="Y554" s="34"/>
      <c r="Z554" s="32"/>
      <c r="AA554" s="32" t="s">
        <v>3708</v>
      </c>
      <c r="AB554" s="32"/>
      <c r="AC554" s="38" t="str">
        <f aca="false">HYPERLINK("https://biocodex6--c.vf.force.com/0014L00000KGAgoQAH", "AZAIZ DJAMEL")</f>
        <v>AZAIZ DJAMEL</v>
      </c>
      <c r="AD554" s="38"/>
      <c r="AE554" s="39"/>
      <c r="AF554" s="40"/>
      <c r="AG554" s="41"/>
      <c r="AH554" s="32"/>
      <c r="AI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XEY554" s="27"/>
      <c r="XEZ554" s="27"/>
      <c r="XFA554" s="27"/>
      <c r="XFB554" s="27"/>
      <c r="XFC554" s="27"/>
      <c r="XFD554" s="27"/>
    </row>
    <row r="555" s="42" customFormat="true" ht="14.15" hidden="false" customHeight="true" outlineLevel="0" collapsed="false">
      <c r="A555" s="28" t="s">
        <v>3709</v>
      </c>
      <c r="B555" s="29" t="s">
        <v>3710</v>
      </c>
      <c r="C555" s="29" t="s">
        <v>3711</v>
      </c>
      <c r="D555" s="30" t="s">
        <v>172</v>
      </c>
      <c r="E555" s="31"/>
      <c r="F555" s="32" t="n">
        <v>46</v>
      </c>
      <c r="G555" s="31"/>
      <c r="H555" s="31" t="n">
        <v>1</v>
      </c>
      <c r="I555" s="31" t="s">
        <v>119</v>
      </c>
      <c r="J555" s="29"/>
      <c r="K555" s="29" t="s">
        <v>3712</v>
      </c>
      <c r="L555" s="32" t="n">
        <v>65</v>
      </c>
      <c r="M555" s="33" t="s">
        <v>3713</v>
      </c>
      <c r="N555" s="34" t="n">
        <v>75007</v>
      </c>
      <c r="O555" s="35" t="s">
        <v>55</v>
      </c>
      <c r="P555" s="36" t="s">
        <v>3714</v>
      </c>
      <c r="Q555" s="36" t="n">
        <v>4</v>
      </c>
      <c r="R555" s="32" t="n">
        <v>32</v>
      </c>
      <c r="S555" s="32" t="n">
        <v>3</v>
      </c>
      <c r="T555" s="43" t="s">
        <v>1107</v>
      </c>
      <c r="U555" s="32" t="n">
        <v>3</v>
      </c>
      <c r="V555" s="37" t="n">
        <v>3</v>
      </c>
      <c r="W555" s="32"/>
      <c r="X555" s="34"/>
      <c r="Y555" s="34"/>
      <c r="Z555" s="36"/>
      <c r="AA555" s="32" t="s">
        <v>3715</v>
      </c>
      <c r="AB555" s="36"/>
      <c r="AC555" s="38" t="str">
        <f aca="false">HYPERLINK("https://biocodex6--c.vf.force.com/0014L00000KFRUEQA5", "ALBOU ANTHONY")</f>
        <v>ALBOU ANTHONY</v>
      </c>
      <c r="AD555" s="38"/>
      <c r="AE555" s="39"/>
      <c r="AF555" s="40"/>
      <c r="AG555" s="41"/>
      <c r="AH555" s="32" t="s">
        <v>179</v>
      </c>
      <c r="AI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XEY555" s="27"/>
      <c r="XEZ555" s="27"/>
      <c r="XFA555" s="27"/>
      <c r="XFB555" s="27"/>
      <c r="XFC555" s="27"/>
      <c r="XFD555" s="27"/>
    </row>
    <row r="556" s="42" customFormat="true" ht="14.15" hidden="false" customHeight="true" outlineLevel="0" collapsed="false">
      <c r="A556" s="28" t="s">
        <v>3716</v>
      </c>
      <c r="B556" s="29" t="s">
        <v>1438</v>
      </c>
      <c r="C556" s="29" t="s">
        <v>3717</v>
      </c>
      <c r="D556" s="30" t="s">
        <v>172</v>
      </c>
      <c r="E556" s="31"/>
      <c r="F556" s="32" t="n">
        <v>37</v>
      </c>
      <c r="G556" s="31"/>
      <c r="H556" s="31" t="n">
        <v>1</v>
      </c>
      <c r="I556" s="31" t="s">
        <v>435</v>
      </c>
      <c r="J556" s="29" t="s">
        <v>2202</v>
      </c>
      <c r="K556" s="29" t="s">
        <v>2203</v>
      </c>
      <c r="L556" s="32" t="n">
        <v>2</v>
      </c>
      <c r="M556" s="33" t="s">
        <v>2204</v>
      </c>
      <c r="N556" s="34" t="n">
        <v>75016</v>
      </c>
      <c r="O556" s="35" t="s">
        <v>55</v>
      </c>
      <c r="P556" s="36" t="s">
        <v>2205</v>
      </c>
      <c r="Q556" s="36" t="n">
        <v>5</v>
      </c>
      <c r="R556" s="32" t="n">
        <v>24</v>
      </c>
      <c r="S556" s="32" t="n">
        <v>3</v>
      </c>
      <c r="T556" s="43" t="s">
        <v>316</v>
      </c>
      <c r="U556" s="32"/>
      <c r="V556" s="37"/>
      <c r="W556" s="32"/>
      <c r="X556" s="34"/>
      <c r="Y556" s="34"/>
      <c r="Z556" s="36"/>
      <c r="AA556" s="32" t="s">
        <v>3718</v>
      </c>
      <c r="AB556" s="32"/>
      <c r="AC556" s="38" t="str">
        <f aca="false">HYPERLINK("https://biocodex6--c.vf.force.com/0014L00000KG99jQAD", "GRAIGNIC JULIE")</f>
        <v>GRAIGNIC JULIE</v>
      </c>
      <c r="AD556" s="38"/>
      <c r="AE556" s="39"/>
      <c r="AF556" s="40"/>
      <c r="AG556" s="41"/>
      <c r="AH556" s="32" t="s">
        <v>179</v>
      </c>
      <c r="AI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XEY556" s="27"/>
      <c r="XEZ556" s="27"/>
      <c r="XFA556" s="27"/>
      <c r="XFB556" s="27"/>
      <c r="XFC556" s="27"/>
      <c r="XFD556" s="27"/>
    </row>
    <row r="557" s="42" customFormat="true" ht="14.15" hidden="false" customHeight="true" outlineLevel="0" collapsed="false">
      <c r="A557" s="28" t="s">
        <v>3719</v>
      </c>
      <c r="B557" s="29" t="s">
        <v>2880</v>
      </c>
      <c r="C557" s="29" t="s">
        <v>3720</v>
      </c>
      <c r="D557" s="30" t="s">
        <v>50</v>
      </c>
      <c r="E557" s="31"/>
      <c r="F557" s="32" t="n">
        <v>84</v>
      </c>
      <c r="G557" s="31"/>
      <c r="H557" s="31" t="n">
        <v>1</v>
      </c>
      <c r="I557" s="31" t="s">
        <v>51</v>
      </c>
      <c r="J557" s="29" t="s">
        <v>52</v>
      </c>
      <c r="K557" s="29" t="s">
        <v>53</v>
      </c>
      <c r="L557" s="32" t="n">
        <v>149</v>
      </c>
      <c r="M557" s="33" t="s">
        <v>54</v>
      </c>
      <c r="N557" s="34" t="n">
        <v>75015</v>
      </c>
      <c r="O557" s="35" t="s">
        <v>55</v>
      </c>
      <c r="P557" s="36" t="s">
        <v>3721</v>
      </c>
      <c r="Q557" s="36" t="n">
        <v>236</v>
      </c>
      <c r="R557" s="32" t="n">
        <v>11</v>
      </c>
      <c r="S557" s="32" t="n">
        <v>3</v>
      </c>
      <c r="T557" s="32"/>
      <c r="U557" s="32"/>
      <c r="V557" s="37"/>
      <c r="W557" s="32"/>
      <c r="X557" s="34"/>
      <c r="Y557" s="34"/>
      <c r="Z557" s="32"/>
      <c r="AA557" s="32" t="s">
        <v>3722</v>
      </c>
      <c r="AB557" s="32"/>
      <c r="AC557" s="38" t="str">
        <f aca="false">HYPERLINK("https://biocodex6--c.vf.force.com/0014L00000KG4R4QAL", "VARET BRUNO")</f>
        <v>VARET BRUNO</v>
      </c>
      <c r="AD557" s="38"/>
      <c r="AE557" s="39"/>
      <c r="AF557" s="40"/>
      <c r="AG557" s="41"/>
      <c r="AH557" s="32"/>
      <c r="AI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XEY557" s="27"/>
      <c r="XEZ557" s="27"/>
      <c r="XFA557" s="27"/>
      <c r="XFB557" s="27"/>
      <c r="XFC557" s="27"/>
      <c r="XFD557" s="27"/>
    </row>
    <row r="558" s="42" customFormat="true" ht="14.15" hidden="false" customHeight="true" outlineLevel="0" collapsed="false">
      <c r="A558" s="28" t="s">
        <v>3723</v>
      </c>
      <c r="B558" s="29" t="s">
        <v>3724</v>
      </c>
      <c r="C558" s="29" t="s">
        <v>3725</v>
      </c>
      <c r="D558" s="30" t="s">
        <v>112</v>
      </c>
      <c r="E558" s="31"/>
      <c r="F558" s="32" t="n">
        <v>0</v>
      </c>
      <c r="G558" s="31"/>
      <c r="H558" s="31" t="n">
        <v>1</v>
      </c>
      <c r="I558" s="31" t="s">
        <v>51</v>
      </c>
      <c r="J558" s="29" t="s">
        <v>52</v>
      </c>
      <c r="K558" s="29" t="s">
        <v>53</v>
      </c>
      <c r="L558" s="32" t="n">
        <v>149</v>
      </c>
      <c r="M558" s="33" t="s">
        <v>54</v>
      </c>
      <c r="N558" s="34" t="n">
        <v>75015</v>
      </c>
      <c r="O558" s="35" t="s">
        <v>55</v>
      </c>
      <c r="P558" s="36" t="s">
        <v>933</v>
      </c>
      <c r="Q558" s="36" t="n">
        <v>236</v>
      </c>
      <c r="R558" s="32" t="n">
        <v>11</v>
      </c>
      <c r="S558" s="32" t="n">
        <v>3</v>
      </c>
      <c r="T558" s="32"/>
      <c r="U558" s="32"/>
      <c r="V558" s="37"/>
      <c r="W558" s="32"/>
      <c r="X558" s="34"/>
      <c r="Y558" s="34"/>
      <c r="Z558" s="36"/>
      <c r="AA558" s="32" t="s">
        <v>3726</v>
      </c>
      <c r="AB558" s="32"/>
      <c r="AC558" s="38" t="str">
        <f aca="false">HYPERLINK("https://biocodex6--c.vf.force.com/0014L00000huw0AQAQ", "DEHOUX LAURENE")</f>
        <v>DEHOUX LAURENE</v>
      </c>
      <c r="AD558" s="38"/>
      <c r="AE558" s="39"/>
      <c r="AF558" s="40"/>
      <c r="AG558" s="41"/>
      <c r="AH558" s="32" t="s">
        <v>179</v>
      </c>
      <c r="AI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XEY558" s="27"/>
      <c r="XEZ558" s="27"/>
      <c r="XFA558" s="27"/>
      <c r="XFB558" s="27"/>
      <c r="XFC558" s="27"/>
      <c r="XFD558" s="27"/>
    </row>
    <row r="559" s="42" customFormat="true" ht="14.15" hidden="false" customHeight="true" outlineLevel="0" collapsed="false">
      <c r="A559" s="28" t="s">
        <v>2887</v>
      </c>
      <c r="B559" s="29" t="s">
        <v>3727</v>
      </c>
      <c r="C559" s="29" t="s">
        <v>3728</v>
      </c>
      <c r="D559" s="30" t="s">
        <v>112</v>
      </c>
      <c r="E559" s="31"/>
      <c r="F559" s="32" t="n">
        <v>0</v>
      </c>
      <c r="G559" s="31"/>
      <c r="H559" s="31" t="n">
        <v>1</v>
      </c>
      <c r="I559" s="31" t="s">
        <v>51</v>
      </c>
      <c r="J559" s="29" t="s">
        <v>52</v>
      </c>
      <c r="K559" s="29" t="s">
        <v>53</v>
      </c>
      <c r="L559" s="32" t="n">
        <v>149</v>
      </c>
      <c r="M559" s="33" t="s">
        <v>54</v>
      </c>
      <c r="N559" s="34" t="n">
        <v>75015</v>
      </c>
      <c r="O559" s="35" t="s">
        <v>55</v>
      </c>
      <c r="P559" s="36" t="s">
        <v>2858</v>
      </c>
      <c r="Q559" s="36" t="n">
        <v>236</v>
      </c>
      <c r="R559" s="32"/>
      <c r="S559" s="32" t="n">
        <v>3</v>
      </c>
      <c r="T559" s="32"/>
      <c r="U559" s="32"/>
      <c r="V559" s="37"/>
      <c r="W559" s="32"/>
      <c r="X559" s="34"/>
      <c r="Y559" s="34"/>
      <c r="Z559" s="36"/>
      <c r="AA559" s="32"/>
      <c r="AB559" s="32"/>
      <c r="AC559" s="38"/>
      <c r="AD559" s="38"/>
      <c r="AE559" s="39"/>
      <c r="AF559" s="40"/>
      <c r="AG559" s="45"/>
      <c r="AH559" s="32" t="s">
        <v>179</v>
      </c>
      <c r="AI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XEY559" s="27"/>
      <c r="XEZ559" s="27"/>
      <c r="XFA559" s="27"/>
      <c r="XFB559" s="27"/>
      <c r="XFC559" s="27"/>
      <c r="XFD559" s="27"/>
    </row>
    <row r="560" s="42" customFormat="true" ht="14.15" hidden="false" customHeight="true" outlineLevel="0" collapsed="false">
      <c r="A560" s="28" t="s">
        <v>3729</v>
      </c>
      <c r="B560" s="29" t="s">
        <v>1859</v>
      </c>
      <c r="C560" s="29" t="s">
        <v>3730</v>
      </c>
      <c r="D560" s="30" t="s">
        <v>244</v>
      </c>
      <c r="E560" s="30" t="s">
        <v>245</v>
      </c>
      <c r="F560" s="32" t="n">
        <v>36</v>
      </c>
      <c r="G560" s="31"/>
      <c r="H560" s="31" t="n">
        <v>1</v>
      </c>
      <c r="I560" s="31" t="s">
        <v>435</v>
      </c>
      <c r="J560" s="29"/>
      <c r="K560" s="29" t="s">
        <v>3731</v>
      </c>
      <c r="L560" s="32" t="n">
        <v>29</v>
      </c>
      <c r="M560" s="33" t="s">
        <v>2211</v>
      </c>
      <c r="N560" s="34" t="n">
        <v>75016</v>
      </c>
      <c r="O560" s="35" t="s">
        <v>55</v>
      </c>
      <c r="P560" s="36" t="s">
        <v>3732</v>
      </c>
      <c r="Q560" s="36" t="n">
        <v>2</v>
      </c>
      <c r="R560" s="32"/>
      <c r="S560" s="32" t="n">
        <v>3</v>
      </c>
      <c r="T560" s="32"/>
      <c r="U560" s="32"/>
      <c r="V560" s="37" t="n">
        <v>3</v>
      </c>
      <c r="W560" s="32"/>
      <c r="X560" s="34"/>
      <c r="Y560" s="34"/>
      <c r="Z560" s="32"/>
      <c r="AA560" s="32" t="s">
        <v>3733</v>
      </c>
      <c r="AB560" s="32"/>
      <c r="AC560" s="38" t="str">
        <f aca="false">HYPERLINK("https://biocodex6--c.vf.force.com/0014L00000KG9fIQAT", "BENZEKRI CHLOE")</f>
        <v>BENZEKRI CHLOE</v>
      </c>
      <c r="AD560" s="38"/>
      <c r="AE560" s="39" t="n">
        <v>45226.6666666667</v>
      </c>
      <c r="AF560" s="40"/>
      <c r="AG560" s="41"/>
      <c r="AH560" s="32"/>
      <c r="AI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XEY560" s="27"/>
      <c r="XEZ560" s="27"/>
      <c r="XFA560" s="27"/>
      <c r="XFB560" s="27"/>
      <c r="XFC560" s="27"/>
      <c r="XFD560" s="27"/>
    </row>
    <row r="561" s="42" customFormat="true" ht="14.15" hidden="false" customHeight="true" outlineLevel="0" collapsed="false">
      <c r="A561" s="28" t="s">
        <v>3734</v>
      </c>
      <c r="B561" s="29" t="s">
        <v>3735</v>
      </c>
      <c r="C561" s="29" t="s">
        <v>3736</v>
      </c>
      <c r="D561" s="30" t="s">
        <v>50</v>
      </c>
      <c r="E561" s="31"/>
      <c r="F561" s="32" t="n">
        <v>36</v>
      </c>
      <c r="G561" s="31" t="s">
        <v>98</v>
      </c>
      <c r="H561" s="31" t="n">
        <v>1</v>
      </c>
      <c r="I561" s="31" t="s">
        <v>99</v>
      </c>
      <c r="J561" s="29"/>
      <c r="K561" s="29" t="s">
        <v>2458</v>
      </c>
      <c r="L561" s="32" t="n">
        <v>83</v>
      </c>
      <c r="M561" s="33" t="s">
        <v>1002</v>
      </c>
      <c r="N561" s="34" t="n">
        <v>75015</v>
      </c>
      <c r="O561" s="35" t="s">
        <v>55</v>
      </c>
      <c r="P561" s="36" t="s">
        <v>3737</v>
      </c>
      <c r="Q561" s="36" t="n">
        <v>3</v>
      </c>
      <c r="R561" s="32"/>
      <c r="S561" s="32" t="n">
        <v>3</v>
      </c>
      <c r="T561" s="32"/>
      <c r="U561" s="32"/>
      <c r="V561" s="37"/>
      <c r="W561" s="32"/>
      <c r="X561" s="34"/>
      <c r="Y561" s="34"/>
      <c r="Z561" s="32"/>
      <c r="AA561" s="32" t="s">
        <v>3738</v>
      </c>
      <c r="AB561" s="32" t="s">
        <v>3739</v>
      </c>
      <c r="AC561" s="38" t="str">
        <f aca="false">HYPERLINK("https://biocodex6--c.vf.force.com/0014L00000KI8SnQAL", "DE VERGNES OMBELINE")</f>
        <v>DE VERGNES OMBELINE</v>
      </c>
      <c r="AD561" s="38" t="str">
        <f aca="false">HYPERLINK("https://annuairesante.ameli.fr/professionnels-de-sante/recherche/fiche-detaillee-B7c1kzY0Mjux.html", "DE VERGNES OMBELINE")</f>
        <v>DE VERGNES OMBELINE</v>
      </c>
      <c r="AE561" s="39"/>
      <c r="AF561" s="40"/>
      <c r="AG561" s="41"/>
      <c r="AH561" s="32"/>
      <c r="AI561" s="32"/>
      <c r="AL561" s="43" t="s">
        <v>657</v>
      </c>
      <c r="AM561" s="43" t="s">
        <v>262</v>
      </c>
      <c r="AN561" s="43" t="s">
        <v>657</v>
      </c>
      <c r="AO561" s="43" t="s">
        <v>137</v>
      </c>
      <c r="AP561" s="43" t="s">
        <v>85</v>
      </c>
      <c r="AQ561" s="32"/>
      <c r="AR561" s="43" t="s">
        <v>657</v>
      </c>
      <c r="AS561" s="43" t="s">
        <v>137</v>
      </c>
      <c r="AT561" s="43" t="s">
        <v>657</v>
      </c>
      <c r="AU561" s="43" t="s">
        <v>476</v>
      </c>
      <c r="XEY561" s="27"/>
      <c r="XEZ561" s="27"/>
      <c r="XFA561" s="27"/>
      <c r="XFB561" s="27"/>
      <c r="XFC561" s="27"/>
      <c r="XFD561" s="27"/>
    </row>
    <row r="562" s="42" customFormat="true" ht="14.15" hidden="false" customHeight="true" outlineLevel="0" collapsed="false">
      <c r="A562" s="28" t="s">
        <v>3740</v>
      </c>
      <c r="B562" s="29" t="s">
        <v>3741</v>
      </c>
      <c r="C562" s="29" t="s">
        <v>3742</v>
      </c>
      <c r="D562" s="30" t="s">
        <v>112</v>
      </c>
      <c r="E562" s="31"/>
      <c r="F562" s="32" t="n">
        <v>32</v>
      </c>
      <c r="G562" s="31"/>
      <c r="H562" s="31" t="n">
        <v>1</v>
      </c>
      <c r="I562" s="31" t="s">
        <v>51</v>
      </c>
      <c r="J562" s="29" t="s">
        <v>52</v>
      </c>
      <c r="K562" s="29" t="s">
        <v>53</v>
      </c>
      <c r="L562" s="32" t="n">
        <v>149</v>
      </c>
      <c r="M562" s="33" t="s">
        <v>54</v>
      </c>
      <c r="N562" s="34" t="n">
        <v>75015</v>
      </c>
      <c r="O562" s="35" t="s">
        <v>55</v>
      </c>
      <c r="P562" s="36" t="s">
        <v>933</v>
      </c>
      <c r="Q562" s="36" t="n">
        <v>236</v>
      </c>
      <c r="R562" s="32"/>
      <c r="S562" s="32" t="n">
        <v>3</v>
      </c>
      <c r="T562" s="32"/>
      <c r="U562" s="32"/>
      <c r="V562" s="37"/>
      <c r="W562" s="32"/>
      <c r="X562" s="34"/>
      <c r="Y562" s="34"/>
      <c r="Z562" s="36"/>
      <c r="AA562" s="32" t="s">
        <v>3743</v>
      </c>
      <c r="AB562" s="32"/>
      <c r="AC562" s="38" t="str">
        <f aca="false">HYPERLINK("https://biocodex6--c.vf.force.com/0014L00000NADdsQAH", "PREVOT MAUD")</f>
        <v>PREVOT MAUD</v>
      </c>
      <c r="AD562" s="38"/>
      <c r="AE562" s="39"/>
      <c r="AF562" s="40"/>
      <c r="AG562" s="41"/>
      <c r="AH562" s="32" t="s">
        <v>179</v>
      </c>
      <c r="AI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XEY562" s="27"/>
      <c r="XEZ562" s="27"/>
      <c r="XFA562" s="27"/>
      <c r="XFB562" s="27"/>
      <c r="XFC562" s="27"/>
      <c r="XFD562" s="27"/>
    </row>
    <row r="563" s="42" customFormat="true" ht="14.15" hidden="false" customHeight="true" outlineLevel="0" collapsed="false">
      <c r="A563" s="28" t="s">
        <v>3744</v>
      </c>
      <c r="B563" s="29" t="s">
        <v>3745</v>
      </c>
      <c r="C563" s="29" t="s">
        <v>3746</v>
      </c>
      <c r="D563" s="30" t="s">
        <v>112</v>
      </c>
      <c r="E563" s="31"/>
      <c r="F563" s="32" t="n">
        <v>32</v>
      </c>
      <c r="G563" s="31"/>
      <c r="H563" s="31" t="n">
        <v>1</v>
      </c>
      <c r="I563" s="31" t="s">
        <v>51</v>
      </c>
      <c r="J563" s="29" t="s">
        <v>52</v>
      </c>
      <c r="K563" s="29" t="s">
        <v>53</v>
      </c>
      <c r="L563" s="32" t="n">
        <v>149</v>
      </c>
      <c r="M563" s="33" t="s">
        <v>54</v>
      </c>
      <c r="N563" s="34" t="n">
        <v>75015</v>
      </c>
      <c r="O563" s="35" t="s">
        <v>55</v>
      </c>
      <c r="P563" s="36" t="s">
        <v>1949</v>
      </c>
      <c r="Q563" s="36" t="n">
        <v>236</v>
      </c>
      <c r="R563" s="32"/>
      <c r="S563" s="32" t="n">
        <v>3</v>
      </c>
      <c r="T563" s="32"/>
      <c r="U563" s="32"/>
      <c r="V563" s="37"/>
      <c r="W563" s="32"/>
      <c r="X563" s="34"/>
      <c r="Y563" s="34"/>
      <c r="Z563" s="32"/>
      <c r="AA563" s="32" t="s">
        <v>3747</v>
      </c>
      <c r="AB563" s="32"/>
      <c r="AC563" s="38" t="str">
        <f aca="false">HYPERLINK("https://biocodex6--c.vf.force.com/0014L00000KHrPyQAL", "HILY MANON")</f>
        <v>HILY MANON</v>
      </c>
      <c r="AD563" s="38"/>
      <c r="AE563" s="39"/>
      <c r="AF563" s="40"/>
      <c r="AG563" s="41"/>
      <c r="AH563" s="32"/>
      <c r="AI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XEY563" s="27"/>
      <c r="XEZ563" s="27"/>
      <c r="XFA563" s="27"/>
      <c r="XFB563" s="27"/>
      <c r="XFC563" s="27"/>
      <c r="XFD563" s="27"/>
    </row>
    <row r="564" s="42" customFormat="true" ht="14.15" hidden="false" customHeight="true" outlineLevel="0" collapsed="false">
      <c r="A564" s="28" t="s">
        <v>3748</v>
      </c>
      <c r="B564" s="29" t="s">
        <v>3749</v>
      </c>
      <c r="C564" s="29" t="s">
        <v>3750</v>
      </c>
      <c r="D564" s="30" t="s">
        <v>50</v>
      </c>
      <c r="E564" s="31"/>
      <c r="F564" s="32" t="n">
        <v>34</v>
      </c>
      <c r="G564" s="31" t="s">
        <v>98</v>
      </c>
      <c r="H564" s="31" t="n">
        <v>1</v>
      </c>
      <c r="I564" s="31" t="s">
        <v>435</v>
      </c>
      <c r="J564" s="29"/>
      <c r="K564" s="29" t="s">
        <v>3163</v>
      </c>
      <c r="L564" s="32" t="n">
        <v>23</v>
      </c>
      <c r="M564" s="33" t="s">
        <v>3164</v>
      </c>
      <c r="N564" s="34" t="n">
        <v>75016</v>
      </c>
      <c r="O564" s="35" t="s">
        <v>55</v>
      </c>
      <c r="P564" s="36" t="s">
        <v>3751</v>
      </c>
      <c r="Q564" s="36" t="n">
        <v>2</v>
      </c>
      <c r="R564" s="32"/>
      <c r="S564" s="32" t="n">
        <v>3</v>
      </c>
      <c r="T564" s="32"/>
      <c r="U564" s="32"/>
      <c r="V564" s="37"/>
      <c r="W564" s="32"/>
      <c r="X564" s="34"/>
      <c r="Y564" s="34"/>
      <c r="Z564" s="32"/>
      <c r="AA564" s="32" t="s">
        <v>3752</v>
      </c>
      <c r="AB564" s="32" t="s">
        <v>3753</v>
      </c>
      <c r="AC564" s="38" t="str">
        <f aca="false">HYPERLINK("https://biocodex6--c.vf.force.com/0014L00000kTco1QAC", "SCHLANG MERYL")</f>
        <v>SCHLANG MERYL</v>
      </c>
      <c r="AD564" s="38" t="str">
        <f aca="false">HYPERLINK("https://annuairesante.ameli.fr/professionnels-de-sante/recherche/fiche-detaillee-B7c1kzE3Nja7.html", "SCHLANG MERYL")</f>
        <v>SCHLANG MERYL</v>
      </c>
      <c r="AE564" s="39"/>
      <c r="AF564" s="40"/>
      <c r="AG564" s="41"/>
      <c r="AH564" s="32"/>
      <c r="AI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XEY564" s="27"/>
      <c r="XEZ564" s="27"/>
      <c r="XFA564" s="27"/>
      <c r="XFB564" s="27"/>
      <c r="XFC564" s="27"/>
      <c r="XFD564" s="27"/>
    </row>
    <row r="565" s="42" customFormat="true" ht="14.15" hidden="false" customHeight="true" outlineLevel="0" collapsed="false">
      <c r="A565" s="28" t="s">
        <v>3754</v>
      </c>
      <c r="B565" s="29" t="s">
        <v>1438</v>
      </c>
      <c r="C565" s="29" t="s">
        <v>3755</v>
      </c>
      <c r="D565" s="30" t="s">
        <v>244</v>
      </c>
      <c r="E565" s="30" t="s">
        <v>2740</v>
      </c>
      <c r="F565" s="32" t="n">
        <v>31</v>
      </c>
      <c r="G565" s="31" t="s">
        <v>215</v>
      </c>
      <c r="H565" s="31" t="n">
        <v>1</v>
      </c>
      <c r="I565" s="31" t="s">
        <v>435</v>
      </c>
      <c r="J565" s="29"/>
      <c r="K565" s="29" t="s">
        <v>3756</v>
      </c>
      <c r="L565" s="32" t="n">
        <v>17</v>
      </c>
      <c r="M565" s="33" t="s">
        <v>3757</v>
      </c>
      <c r="N565" s="34" t="n">
        <v>75016</v>
      </c>
      <c r="O565" s="35" t="s">
        <v>55</v>
      </c>
      <c r="P565" s="36" t="s">
        <v>3758</v>
      </c>
      <c r="Q565" s="36" t="n">
        <v>2</v>
      </c>
      <c r="R565" s="32"/>
      <c r="S565" s="32" t="n">
        <v>3</v>
      </c>
      <c r="T565" s="32"/>
      <c r="U565" s="32"/>
      <c r="V565" s="37" t="n">
        <v>3</v>
      </c>
      <c r="W565" s="32"/>
      <c r="X565" s="34"/>
      <c r="Y565" s="34"/>
      <c r="Z565" s="32"/>
      <c r="AA565" s="32" t="s">
        <v>3759</v>
      </c>
      <c r="AB565" s="32" t="s">
        <v>3760</v>
      </c>
      <c r="AC565" s="38" t="str">
        <f aca="false">HYPERLINK("https://biocodex6--c.vf.force.com/0014L00000KGIiIQAX", "LABROSSE JULIE")</f>
        <v>LABROSSE JULIE</v>
      </c>
      <c r="AD565" s="38" t="str">
        <f aca="false">HYPERLINK("https://annuairesante.ameli.fr/professionnels-de-sante/recherche/fiche-detaillee-B7c1kzYzNjG7.html", "LABROSSE JULIE")</f>
        <v>LABROSSE JULIE</v>
      </c>
      <c r="AE565" s="39"/>
      <c r="AF565" s="40"/>
      <c r="AG565" s="41"/>
      <c r="AH565" s="32"/>
      <c r="AI565" s="32"/>
      <c r="AL565" s="43" t="s">
        <v>1054</v>
      </c>
      <c r="AM565" s="43" t="s">
        <v>661</v>
      </c>
      <c r="AN565" s="43" t="s">
        <v>1054</v>
      </c>
      <c r="AO565" s="43" t="s">
        <v>661</v>
      </c>
      <c r="AP565" s="43" t="s">
        <v>1054</v>
      </c>
      <c r="AQ565" s="43" t="s">
        <v>661</v>
      </c>
      <c r="AR565" s="43" t="s">
        <v>3761</v>
      </c>
      <c r="AS565" s="32"/>
      <c r="AT565" s="43" t="s">
        <v>1054</v>
      </c>
      <c r="AU565" s="43" t="s">
        <v>661</v>
      </c>
      <c r="XEY565" s="27"/>
      <c r="XEZ565" s="27"/>
      <c r="XFA565" s="27"/>
      <c r="XFB565" s="27"/>
      <c r="XFC565" s="27"/>
      <c r="XFD565" s="27"/>
    </row>
    <row r="566" s="42" customFormat="true" ht="14.15" hidden="false" customHeight="true" outlineLevel="0" collapsed="false">
      <c r="A566" s="28" t="s">
        <v>3762</v>
      </c>
      <c r="B566" s="29" t="s">
        <v>3763</v>
      </c>
      <c r="C566" s="29" t="s">
        <v>3764</v>
      </c>
      <c r="D566" s="30" t="s">
        <v>50</v>
      </c>
      <c r="E566" s="31"/>
      <c r="F566" s="32" t="n">
        <v>32</v>
      </c>
      <c r="G566" s="31" t="s">
        <v>98</v>
      </c>
      <c r="H566" s="31" t="n">
        <v>1</v>
      </c>
      <c r="I566" s="31" t="s">
        <v>62</v>
      </c>
      <c r="J566" s="29"/>
      <c r="K566" s="29" t="s">
        <v>2615</v>
      </c>
      <c r="L566" s="32" t="n">
        <v>81</v>
      </c>
      <c r="M566" s="33" t="s">
        <v>2616</v>
      </c>
      <c r="N566" s="34" t="n">
        <v>75017</v>
      </c>
      <c r="O566" s="35" t="s">
        <v>55</v>
      </c>
      <c r="P566" s="36" t="s">
        <v>2617</v>
      </c>
      <c r="Q566" s="36" t="n">
        <v>3</v>
      </c>
      <c r="R566" s="32"/>
      <c r="S566" s="32" t="n">
        <v>3</v>
      </c>
      <c r="T566" s="32"/>
      <c r="U566" s="32"/>
      <c r="V566" s="37"/>
      <c r="W566" s="32"/>
      <c r="X566" s="34"/>
      <c r="Y566" s="34"/>
      <c r="Z566" s="32"/>
      <c r="AA566" s="32" t="s">
        <v>3765</v>
      </c>
      <c r="AB566" s="32" t="s">
        <v>3766</v>
      </c>
      <c r="AC566" s="38" t="str">
        <f aca="false">HYPERLINK("https://biocodex6--c.vf.force.com/0014L00000KGKQrQAP", "AUGER CLEMENCE")</f>
        <v>AUGER CLEMENCE</v>
      </c>
      <c r="AD566" s="38" t="str">
        <f aca="false">HYPERLINK("https://annuairesante.ameli.fr/professionnels-de-sante/recherche/fiche-detaillee-B7c1kzE4OTay.html", "AUGER CLEMENCE")</f>
        <v>AUGER CLEMENCE</v>
      </c>
      <c r="AE566" s="39"/>
      <c r="AF566" s="40"/>
      <c r="AG566" s="41"/>
      <c r="AH566" s="32"/>
      <c r="AI566" s="32"/>
      <c r="AL566" s="43" t="s">
        <v>657</v>
      </c>
      <c r="AM566" s="43" t="s">
        <v>137</v>
      </c>
      <c r="AN566" s="43" t="s">
        <v>657</v>
      </c>
      <c r="AO566" s="43" t="s">
        <v>137</v>
      </c>
      <c r="AP566" s="43" t="s">
        <v>657</v>
      </c>
      <c r="AQ566" s="43" t="s">
        <v>137</v>
      </c>
      <c r="AR566" s="43" t="s">
        <v>657</v>
      </c>
      <c r="AS566" s="43" t="s">
        <v>137</v>
      </c>
      <c r="AT566" s="43" t="s">
        <v>657</v>
      </c>
      <c r="AU566" s="43" t="s">
        <v>137</v>
      </c>
      <c r="XEY566" s="27"/>
      <c r="XEZ566" s="27"/>
      <c r="XFA566" s="27"/>
      <c r="XFB566" s="27"/>
      <c r="XFC566" s="27"/>
      <c r="XFD566" s="27"/>
    </row>
    <row r="567" s="42" customFormat="true" ht="14.15" hidden="false" customHeight="true" outlineLevel="0" collapsed="false">
      <c r="A567" s="28" t="s">
        <v>3767</v>
      </c>
      <c r="B567" s="29" t="s">
        <v>1135</v>
      </c>
      <c r="C567" s="29" t="s">
        <v>3768</v>
      </c>
      <c r="D567" s="30" t="s">
        <v>50</v>
      </c>
      <c r="E567" s="31"/>
      <c r="F567" s="32" t="n">
        <v>34</v>
      </c>
      <c r="G567" s="31"/>
      <c r="H567" s="31" t="n">
        <v>3</v>
      </c>
      <c r="I567" s="31" t="s">
        <v>173</v>
      </c>
      <c r="J567" s="29"/>
      <c r="K567" s="29" t="s">
        <v>3769</v>
      </c>
      <c r="L567" s="32" t="n">
        <v>11</v>
      </c>
      <c r="M567" s="33" t="s">
        <v>1988</v>
      </c>
      <c r="N567" s="34" t="n">
        <v>75016</v>
      </c>
      <c r="O567" s="35" t="s">
        <v>55</v>
      </c>
      <c r="P567" s="36" t="s">
        <v>3770</v>
      </c>
      <c r="Q567" s="36" t="n">
        <v>1</v>
      </c>
      <c r="R567" s="32"/>
      <c r="S567" s="32" t="n">
        <v>3</v>
      </c>
      <c r="T567" s="32"/>
      <c r="U567" s="32"/>
      <c r="V567" s="37"/>
      <c r="W567" s="32"/>
      <c r="X567" s="34"/>
      <c r="Y567" s="34"/>
      <c r="Z567" s="36"/>
      <c r="AA567" s="32" t="s">
        <v>3771</v>
      </c>
      <c r="AB567" s="32"/>
      <c r="AC567" s="38" t="str">
        <f aca="false">HYPERLINK("https://biocodex6--c.vf.force.com/0014L00000KGGgIQAX", "JIMENEZ LAURA")</f>
        <v>JIMENEZ LAURA</v>
      </c>
      <c r="AD567" s="38"/>
      <c r="AE567" s="39"/>
      <c r="AF567" s="40"/>
      <c r="AG567" s="41"/>
      <c r="AH567" s="32" t="s">
        <v>179</v>
      </c>
      <c r="AI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XEY567" s="27"/>
      <c r="XEZ567" s="27"/>
      <c r="XFA567" s="27"/>
      <c r="XFB567" s="27"/>
      <c r="XFC567" s="27"/>
      <c r="XFD567" s="27"/>
    </row>
    <row r="568" s="42" customFormat="true" ht="14.15" hidden="false" customHeight="true" outlineLevel="0" collapsed="false">
      <c r="A568" s="28" t="s">
        <v>3772</v>
      </c>
      <c r="B568" s="29" t="s">
        <v>1460</v>
      </c>
      <c r="C568" s="29" t="s">
        <v>3773</v>
      </c>
      <c r="D568" s="30" t="s">
        <v>50</v>
      </c>
      <c r="E568" s="31"/>
      <c r="F568" s="32" t="n">
        <v>32</v>
      </c>
      <c r="G568" s="31"/>
      <c r="H568" s="31" t="n">
        <v>1</v>
      </c>
      <c r="I568" s="31" t="s">
        <v>173</v>
      </c>
      <c r="J568" s="29"/>
      <c r="K568" s="29" t="s">
        <v>3566</v>
      </c>
      <c r="L568" s="32" t="n">
        <v>50</v>
      </c>
      <c r="M568" s="33" t="s">
        <v>175</v>
      </c>
      <c r="N568" s="34" t="n">
        <v>75016</v>
      </c>
      <c r="O568" s="35" t="s">
        <v>55</v>
      </c>
      <c r="P568" s="36" t="s">
        <v>3567</v>
      </c>
      <c r="Q568" s="36" t="n">
        <v>5</v>
      </c>
      <c r="R568" s="32"/>
      <c r="S568" s="32" t="n">
        <v>3</v>
      </c>
      <c r="T568" s="32"/>
      <c r="U568" s="32"/>
      <c r="V568" s="37"/>
      <c r="W568" s="32"/>
      <c r="X568" s="34"/>
      <c r="Y568" s="34"/>
      <c r="Z568" s="32"/>
      <c r="AA568" s="32" t="s">
        <v>3774</v>
      </c>
      <c r="AB568" s="32"/>
      <c r="AC568" s="38" t="str">
        <f aca="false">HYPERLINK("https://biocodex6--c.vf.force.com/0014L00000KGIQQQA5", "GNANSIA AUDREY")</f>
        <v>GNANSIA AUDREY</v>
      </c>
      <c r="AD568" s="38"/>
      <c r="AE568" s="39"/>
      <c r="AF568" s="40"/>
      <c r="AG568" s="41"/>
      <c r="AH568" s="32"/>
      <c r="AI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XEY568" s="27"/>
      <c r="XEZ568" s="27"/>
      <c r="XFA568" s="27"/>
      <c r="XFB568" s="27"/>
      <c r="XFC568" s="27"/>
      <c r="XFD568" s="27"/>
    </row>
    <row r="569" s="42" customFormat="true" ht="14.15" hidden="false" customHeight="true" outlineLevel="0" collapsed="false">
      <c r="A569" s="28" t="s">
        <v>3775</v>
      </c>
      <c r="B569" s="29" t="s">
        <v>2217</v>
      </c>
      <c r="C569" s="29" t="s">
        <v>3776</v>
      </c>
      <c r="D569" s="30" t="s">
        <v>50</v>
      </c>
      <c r="E569" s="31"/>
      <c r="F569" s="32" t="n">
        <v>37</v>
      </c>
      <c r="G569" s="31"/>
      <c r="H569" s="31" t="n">
        <v>1</v>
      </c>
      <c r="I569" s="31" t="s">
        <v>233</v>
      </c>
      <c r="J569" s="29" t="s">
        <v>3777</v>
      </c>
      <c r="K569" s="29" t="s">
        <v>3778</v>
      </c>
      <c r="L569" s="32" t="n">
        <v>15</v>
      </c>
      <c r="M569" s="33" t="s">
        <v>2823</v>
      </c>
      <c r="N569" s="34" t="n">
        <v>75015</v>
      </c>
      <c r="O569" s="35" t="s">
        <v>55</v>
      </c>
      <c r="P569" s="36" t="s">
        <v>3779</v>
      </c>
      <c r="Q569" s="36" t="n">
        <v>4</v>
      </c>
      <c r="R569" s="32"/>
      <c r="S569" s="32" t="n">
        <v>3</v>
      </c>
      <c r="T569" s="32"/>
      <c r="U569" s="32"/>
      <c r="V569" s="37"/>
      <c r="W569" s="32"/>
      <c r="X569" s="34"/>
      <c r="Y569" s="34"/>
      <c r="Z569" s="32"/>
      <c r="AA569" s="32" t="s">
        <v>3780</v>
      </c>
      <c r="AB569" s="32"/>
      <c r="AC569" s="38" t="str">
        <f aca="false">HYPERLINK("https://biocodex6--c.vf.force.com/0014L00000KH86LQAT", "ABBA SAIAH SARAH")</f>
        <v>ABBA SAIAH SARAH</v>
      </c>
      <c r="AD569" s="38"/>
      <c r="AE569" s="39"/>
      <c r="AF569" s="40"/>
      <c r="AG569" s="41"/>
      <c r="AH569" s="32"/>
      <c r="AI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XEY569" s="27"/>
      <c r="XEZ569" s="27"/>
      <c r="XFA569" s="27"/>
      <c r="XFB569" s="27"/>
      <c r="XFC569" s="27"/>
      <c r="XFD569" s="27"/>
    </row>
    <row r="570" s="42" customFormat="true" ht="14.15" hidden="false" customHeight="true" outlineLevel="0" collapsed="false">
      <c r="A570" s="28" t="s">
        <v>643</v>
      </c>
      <c r="B570" s="29" t="s">
        <v>1600</v>
      </c>
      <c r="C570" s="29" t="s">
        <v>3781</v>
      </c>
      <c r="D570" s="30" t="s">
        <v>50</v>
      </c>
      <c r="E570" s="31"/>
      <c r="F570" s="32" t="n">
        <v>31</v>
      </c>
      <c r="G570" s="31"/>
      <c r="H570" s="31" t="n">
        <v>3</v>
      </c>
      <c r="I570" s="31" t="s">
        <v>295</v>
      </c>
      <c r="J570" s="29" t="s">
        <v>489</v>
      </c>
      <c r="K570" s="29" t="s">
        <v>490</v>
      </c>
      <c r="L570" s="32" t="n">
        <v>3</v>
      </c>
      <c r="M570" s="33" t="s">
        <v>491</v>
      </c>
      <c r="N570" s="34" t="n">
        <v>92300</v>
      </c>
      <c r="O570" s="35" t="s">
        <v>298</v>
      </c>
      <c r="P570" s="36" t="s">
        <v>1597</v>
      </c>
      <c r="Q570" s="36" t="n">
        <v>26</v>
      </c>
      <c r="R570" s="32"/>
      <c r="S570" s="32" t="n">
        <v>3</v>
      </c>
      <c r="T570" s="32"/>
      <c r="U570" s="32"/>
      <c r="V570" s="37"/>
      <c r="W570" s="32"/>
      <c r="X570" s="34"/>
      <c r="Y570" s="34"/>
      <c r="Z570" s="32"/>
      <c r="AA570" s="32" t="s">
        <v>3782</v>
      </c>
      <c r="AB570" s="32"/>
      <c r="AC570" s="38" t="str">
        <f aca="false">HYPERLINK("https://biocodex6--c.vf.force.com/0014L00000KGKSTQA5", "PIERRE CAROLINE")</f>
        <v>PIERRE CAROLINE</v>
      </c>
      <c r="AD570" s="38"/>
      <c r="AE570" s="39"/>
      <c r="AF570" s="40"/>
      <c r="AG570" s="41"/>
      <c r="AH570" s="32"/>
      <c r="AI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XEY570" s="27"/>
      <c r="XEZ570" s="27"/>
      <c r="XFA570" s="27"/>
      <c r="XFB570" s="27"/>
      <c r="XFC570" s="27"/>
      <c r="XFD570" s="27"/>
    </row>
    <row r="571" s="42" customFormat="true" ht="14.15" hidden="false" customHeight="true" outlineLevel="0" collapsed="false">
      <c r="A571" s="28" t="s">
        <v>3783</v>
      </c>
      <c r="B571" s="29" t="s">
        <v>3784</v>
      </c>
      <c r="C571" s="29" t="s">
        <v>3785</v>
      </c>
      <c r="D571" s="30" t="s">
        <v>50</v>
      </c>
      <c r="E571" s="30" t="s">
        <v>244</v>
      </c>
      <c r="F571" s="32" t="n">
        <v>33</v>
      </c>
      <c r="G571" s="31"/>
      <c r="H571" s="31" t="n">
        <v>2</v>
      </c>
      <c r="I571" s="31" t="s">
        <v>295</v>
      </c>
      <c r="J571" s="29" t="s">
        <v>489</v>
      </c>
      <c r="K571" s="29" t="s">
        <v>1183</v>
      </c>
      <c r="L571" s="32" t="n">
        <v>4</v>
      </c>
      <c r="M571" s="33" t="s">
        <v>297</v>
      </c>
      <c r="N571" s="34" t="n">
        <v>92300</v>
      </c>
      <c r="O571" s="35" t="s">
        <v>298</v>
      </c>
      <c r="P571" s="36" t="s">
        <v>3290</v>
      </c>
      <c r="Q571" s="36" t="n">
        <v>27</v>
      </c>
      <c r="R571" s="32"/>
      <c r="S571" s="32" t="n">
        <v>3</v>
      </c>
      <c r="T571" s="32"/>
      <c r="U571" s="32"/>
      <c r="V571" s="37"/>
      <c r="W571" s="32"/>
      <c r="X571" s="34"/>
      <c r="Y571" s="34"/>
      <c r="Z571" s="36"/>
      <c r="AA571" s="32" t="s">
        <v>3786</v>
      </c>
      <c r="AB571" s="32"/>
      <c r="AC571" s="38" t="str">
        <f aca="false">HYPERLINK("https://biocodex6--c.vf.force.com/0014L00000KGGipQAH", "MAREUSE SEGOLENE")</f>
        <v>MAREUSE SEGOLENE</v>
      </c>
      <c r="AD571" s="38"/>
      <c r="AE571" s="39"/>
      <c r="AF571" s="40"/>
      <c r="AG571" s="41"/>
      <c r="AH571" s="32" t="s">
        <v>179</v>
      </c>
      <c r="AI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XEY571" s="27"/>
      <c r="XEZ571" s="27"/>
      <c r="XFA571" s="27"/>
      <c r="XFB571" s="27"/>
      <c r="XFC571" s="27"/>
      <c r="XFD571" s="27"/>
    </row>
    <row r="572" s="42" customFormat="true" ht="14.15" hidden="false" customHeight="true" outlineLevel="0" collapsed="false">
      <c r="A572" s="28" t="s">
        <v>3787</v>
      </c>
      <c r="B572" s="29" t="s">
        <v>3788</v>
      </c>
      <c r="C572" s="29" t="s">
        <v>3789</v>
      </c>
      <c r="D572" s="30" t="s">
        <v>268</v>
      </c>
      <c r="E572" s="31"/>
      <c r="F572" s="32" t="n">
        <v>56</v>
      </c>
      <c r="G572" s="31" t="s">
        <v>61</v>
      </c>
      <c r="H572" s="31" t="n">
        <v>1</v>
      </c>
      <c r="I572" s="31" t="s">
        <v>387</v>
      </c>
      <c r="J572" s="29"/>
      <c r="K572" s="29" t="s">
        <v>3790</v>
      </c>
      <c r="L572" s="32" t="n">
        <v>6</v>
      </c>
      <c r="M572" s="33" t="s">
        <v>3791</v>
      </c>
      <c r="N572" s="34" t="n">
        <v>75016</v>
      </c>
      <c r="O572" s="35" t="s">
        <v>55</v>
      </c>
      <c r="P572" s="36" t="s">
        <v>3792</v>
      </c>
      <c r="Q572" s="36" t="n">
        <v>5</v>
      </c>
      <c r="R572" s="32" t="n">
        <v>838</v>
      </c>
      <c r="S572" s="32" t="n">
        <v>2</v>
      </c>
      <c r="T572" s="32"/>
      <c r="U572" s="32"/>
      <c r="V572" s="37"/>
      <c r="W572" s="32"/>
      <c r="X572" s="34"/>
      <c r="Y572" s="34"/>
      <c r="Z572" s="36"/>
      <c r="AA572" s="32" t="s">
        <v>3793</v>
      </c>
      <c r="AB572" s="32" t="s">
        <v>3794</v>
      </c>
      <c r="AC572" s="38" t="str">
        <f aca="false">HYPERLINK("https://biocodex6--c.vf.force.com/0014L00000KFpc4QAD", "MALTONTI FABRICE")</f>
        <v>MALTONTI FABRICE</v>
      </c>
      <c r="AD572" s="38" t="str">
        <f aca="false">HYPERLINK("https://annuairesante.ameli.fr/professionnels-de-sante/recherche/fiche-detaillee-B7c1mzExOTC0.html", "MALTONTI FABRICE")</f>
        <v>MALTONTI FABRICE</v>
      </c>
      <c r="AE572" s="39"/>
      <c r="AF572" s="40"/>
      <c r="AG572" s="41"/>
      <c r="AH572" s="32" t="s">
        <v>179</v>
      </c>
      <c r="AI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XEY572" s="27"/>
      <c r="XEZ572" s="27"/>
      <c r="XFA572" s="27"/>
      <c r="XFB572" s="27"/>
      <c r="XFC572" s="27"/>
      <c r="XFD572" s="27"/>
    </row>
    <row r="573" s="42" customFormat="true" ht="14.15" hidden="false" customHeight="true" outlineLevel="0" collapsed="false">
      <c r="A573" s="28" t="s">
        <v>3795</v>
      </c>
      <c r="B573" s="29" t="s">
        <v>3796</v>
      </c>
      <c r="C573" s="29" t="s">
        <v>3797</v>
      </c>
      <c r="D573" s="30" t="s">
        <v>50</v>
      </c>
      <c r="E573" s="30" t="s">
        <v>344</v>
      </c>
      <c r="F573" s="32" t="n">
        <v>45</v>
      </c>
      <c r="G573" s="31"/>
      <c r="H573" s="31" t="n">
        <v>1</v>
      </c>
      <c r="I573" s="31" t="s">
        <v>173</v>
      </c>
      <c r="J573" s="29"/>
      <c r="K573" s="29" t="s">
        <v>3798</v>
      </c>
      <c r="L573" s="32" t="n">
        <v>4</v>
      </c>
      <c r="M573" s="33" t="s">
        <v>1888</v>
      </c>
      <c r="N573" s="34" t="n">
        <v>75016</v>
      </c>
      <c r="O573" s="35" t="s">
        <v>55</v>
      </c>
      <c r="P573" s="36" t="s">
        <v>3799</v>
      </c>
      <c r="Q573" s="36" t="n">
        <v>1</v>
      </c>
      <c r="R573" s="32" t="n">
        <v>583</v>
      </c>
      <c r="S573" s="32" t="n">
        <v>2</v>
      </c>
      <c r="T573" s="32"/>
      <c r="U573" s="32"/>
      <c r="V573" s="37"/>
      <c r="W573" s="32"/>
      <c r="X573" s="34"/>
      <c r="Y573" s="34"/>
      <c r="Z573" s="32"/>
      <c r="AA573" s="32" t="s">
        <v>3800</v>
      </c>
      <c r="AB573" s="32"/>
      <c r="AC573" s="38" t="str">
        <f aca="false">HYPERLINK("https://biocodex6--c.vf.force.com/0014L00000KFryQQAT", "MAZIT GHEZALA")</f>
        <v>MAZIT GHEZALA</v>
      </c>
      <c r="AD573" s="38"/>
      <c r="AE573" s="39"/>
      <c r="AF573" s="40"/>
      <c r="AG573" s="41"/>
      <c r="AH573" s="32"/>
      <c r="AI573" s="32" t="s">
        <v>168</v>
      </c>
      <c r="AJ573" s="42" t="s">
        <v>3801</v>
      </c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XEY573" s="27"/>
      <c r="XEZ573" s="27"/>
      <c r="XFA573" s="27"/>
      <c r="XFB573" s="27"/>
      <c r="XFC573" s="27"/>
      <c r="XFD573" s="27"/>
    </row>
    <row r="574" s="42" customFormat="true" ht="14.15" hidden="false" customHeight="true" outlineLevel="0" collapsed="false">
      <c r="A574" s="28" t="s">
        <v>3802</v>
      </c>
      <c r="B574" s="29" t="s">
        <v>3803</v>
      </c>
      <c r="C574" s="29" t="s">
        <v>3804</v>
      </c>
      <c r="D574" s="30" t="s">
        <v>50</v>
      </c>
      <c r="E574" s="30" t="s">
        <v>1228</v>
      </c>
      <c r="F574" s="32" t="n">
        <v>0</v>
      </c>
      <c r="G574" s="31"/>
      <c r="H574" s="31" t="n">
        <v>1</v>
      </c>
      <c r="I574" s="31" t="s">
        <v>119</v>
      </c>
      <c r="J574" s="29"/>
      <c r="K574" s="29" t="s">
        <v>3805</v>
      </c>
      <c r="L574" s="32" t="n">
        <v>14</v>
      </c>
      <c r="M574" s="33" t="s">
        <v>3806</v>
      </c>
      <c r="N574" s="34" t="n">
        <v>75007</v>
      </c>
      <c r="O574" s="35" t="s">
        <v>55</v>
      </c>
      <c r="P574" s="36" t="s">
        <v>3807</v>
      </c>
      <c r="Q574" s="36" t="n">
        <v>7</v>
      </c>
      <c r="R574" s="32" t="n">
        <v>400</v>
      </c>
      <c r="S574" s="32" t="n">
        <v>2</v>
      </c>
      <c r="T574" s="32"/>
      <c r="U574" s="32"/>
      <c r="V574" s="37"/>
      <c r="W574" s="32"/>
      <c r="X574" s="34"/>
      <c r="Y574" s="34"/>
      <c r="Z574" s="32"/>
      <c r="AA574" s="32" t="s">
        <v>3808</v>
      </c>
      <c r="AB574" s="32"/>
      <c r="AC574" s="38" t="str">
        <f aca="false">HYPERLINK("https://biocodex6--c.vf.force.com/0014L00000n151WQAQ", "DUPONT DE DINECHIN CONSTANCE")</f>
        <v>DUPONT DE DINECHIN CONSTANCE</v>
      </c>
      <c r="AD574" s="38"/>
      <c r="AE574" s="39"/>
      <c r="AF574" s="40"/>
      <c r="AG574" s="41"/>
      <c r="AH574" s="32"/>
      <c r="AI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XEY574" s="27"/>
      <c r="XEZ574" s="27"/>
      <c r="XFA574" s="27"/>
      <c r="XFB574" s="27"/>
      <c r="XFC574" s="27"/>
      <c r="XFD574" s="27"/>
    </row>
    <row r="575" s="42" customFormat="true" ht="14.15" hidden="false" customHeight="true" outlineLevel="0" collapsed="false">
      <c r="A575" s="28" t="s">
        <v>3809</v>
      </c>
      <c r="B575" s="29" t="s">
        <v>3810</v>
      </c>
      <c r="C575" s="29" t="s">
        <v>3811</v>
      </c>
      <c r="D575" s="30" t="s">
        <v>50</v>
      </c>
      <c r="E575" s="30" t="s">
        <v>401</v>
      </c>
      <c r="F575" s="32" t="n">
        <v>0</v>
      </c>
      <c r="G575" s="31"/>
      <c r="H575" s="31" t="n">
        <v>1</v>
      </c>
      <c r="I575" s="31" t="s">
        <v>51</v>
      </c>
      <c r="J575" s="29" t="s">
        <v>3812</v>
      </c>
      <c r="K575" s="29" t="s">
        <v>3813</v>
      </c>
      <c r="L575" s="32" t="n">
        <v>17</v>
      </c>
      <c r="M575" s="33" t="s">
        <v>3814</v>
      </c>
      <c r="N575" s="34" t="n">
        <v>75015</v>
      </c>
      <c r="O575" s="35" t="s">
        <v>55</v>
      </c>
      <c r="P575" s="36" t="s">
        <v>3815</v>
      </c>
      <c r="Q575" s="36" t="n">
        <v>5</v>
      </c>
      <c r="R575" s="32" t="n">
        <v>400</v>
      </c>
      <c r="S575" s="32" t="n">
        <v>2</v>
      </c>
      <c r="T575" s="32"/>
      <c r="U575" s="32"/>
      <c r="V575" s="37"/>
      <c r="W575" s="32"/>
      <c r="X575" s="34"/>
      <c r="Y575" s="34"/>
      <c r="Z575" s="32"/>
      <c r="AA575" s="32"/>
      <c r="AB575" s="32"/>
      <c r="AC575" s="38"/>
      <c r="AD575" s="38"/>
      <c r="AE575" s="39"/>
      <c r="AF575" s="40"/>
      <c r="AG575" s="45"/>
      <c r="AH575" s="32"/>
      <c r="AI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XEY575" s="27"/>
      <c r="XEZ575" s="27"/>
      <c r="XFA575" s="27"/>
      <c r="XFB575" s="27"/>
      <c r="XFC575" s="27"/>
      <c r="XFD575" s="27"/>
    </row>
    <row r="576" s="42" customFormat="true" ht="14.15" hidden="false" customHeight="true" outlineLevel="0" collapsed="false">
      <c r="A576" s="28" t="s">
        <v>3816</v>
      </c>
      <c r="B576" s="29" t="s">
        <v>1101</v>
      </c>
      <c r="C576" s="29" t="s">
        <v>3817</v>
      </c>
      <c r="D576" s="30" t="s">
        <v>112</v>
      </c>
      <c r="E576" s="31"/>
      <c r="F576" s="32" t="n">
        <v>0</v>
      </c>
      <c r="G576" s="31"/>
      <c r="H576" s="31" t="n">
        <v>1</v>
      </c>
      <c r="I576" s="31" t="s">
        <v>51</v>
      </c>
      <c r="J576" s="29"/>
      <c r="K576" s="29" t="s">
        <v>1786</v>
      </c>
      <c r="L576" s="32" t="n">
        <v>4</v>
      </c>
      <c r="M576" s="33" t="s">
        <v>1787</v>
      </c>
      <c r="N576" s="34" t="n">
        <v>75015</v>
      </c>
      <c r="O576" s="35" t="s">
        <v>55</v>
      </c>
      <c r="P576" s="36" t="s">
        <v>3021</v>
      </c>
      <c r="Q576" s="36" t="n">
        <v>4</v>
      </c>
      <c r="R576" s="32" t="n">
        <v>400</v>
      </c>
      <c r="S576" s="32" t="n">
        <v>2</v>
      </c>
      <c r="T576" s="32"/>
      <c r="U576" s="32"/>
      <c r="V576" s="37"/>
      <c r="W576" s="32"/>
      <c r="X576" s="34"/>
      <c r="Y576" s="34"/>
      <c r="Z576" s="36"/>
      <c r="AA576" s="32" t="s">
        <v>3818</v>
      </c>
      <c r="AB576" s="32"/>
      <c r="AC576" s="38" t="str">
        <f aca="false">HYPERLINK("https://biocodex6--c.vf.force.com/0014L00000hrxxrQAA", "NOUGAREDE ISABELLE")</f>
        <v>NOUGAREDE ISABELLE</v>
      </c>
      <c r="AD576" s="38"/>
      <c r="AE576" s="39"/>
      <c r="AF576" s="40"/>
      <c r="AG576" s="41"/>
      <c r="AH576" s="32" t="s">
        <v>179</v>
      </c>
      <c r="AI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XEY576" s="27"/>
      <c r="XEZ576" s="27"/>
      <c r="XFA576" s="27"/>
      <c r="XFB576" s="27"/>
      <c r="XFC576" s="27"/>
      <c r="XFD576" s="27"/>
    </row>
    <row r="577" s="42" customFormat="true" ht="14.15" hidden="false" customHeight="true" outlineLevel="0" collapsed="false">
      <c r="A577" s="28" t="s">
        <v>3819</v>
      </c>
      <c r="B577" s="29" t="s">
        <v>3820</v>
      </c>
      <c r="C577" s="29" t="s">
        <v>3821</v>
      </c>
      <c r="D577" s="30" t="s">
        <v>172</v>
      </c>
      <c r="E577" s="31"/>
      <c r="F577" s="32" t="n">
        <v>44</v>
      </c>
      <c r="G577" s="31"/>
      <c r="H577" s="31" t="n">
        <v>1</v>
      </c>
      <c r="I577" s="31" t="s">
        <v>233</v>
      </c>
      <c r="J577" s="29"/>
      <c r="K577" s="29" t="s">
        <v>2822</v>
      </c>
      <c r="L577" s="32" t="n">
        <v>3</v>
      </c>
      <c r="M577" s="33" t="s">
        <v>2823</v>
      </c>
      <c r="N577" s="34" t="n">
        <v>75015</v>
      </c>
      <c r="O577" s="35" t="s">
        <v>55</v>
      </c>
      <c r="P577" s="36" t="s">
        <v>3822</v>
      </c>
      <c r="Q577" s="36" t="n">
        <v>5</v>
      </c>
      <c r="R577" s="32" t="n">
        <v>400</v>
      </c>
      <c r="S577" s="32" t="n">
        <v>2</v>
      </c>
      <c r="T577" s="43" t="s">
        <v>316</v>
      </c>
      <c r="U577" s="32"/>
      <c r="V577" s="37"/>
      <c r="W577" s="32"/>
      <c r="X577" s="34"/>
      <c r="Y577" s="34"/>
      <c r="Z577" s="36"/>
      <c r="AA577" s="32" t="s">
        <v>3823</v>
      </c>
      <c r="AB577" s="32"/>
      <c r="AC577" s="38" t="str">
        <f aca="false">HYPERLINK("https://biocodex6--c.vf.force.com/0014L00000NBteRQAT", "ASTRAUD LOUIS PAUL")</f>
        <v>ASTRAUD LOUIS PAUL</v>
      </c>
      <c r="AD577" s="38"/>
      <c r="AE577" s="39"/>
      <c r="AF577" s="40"/>
      <c r="AG577" s="41"/>
      <c r="AH577" s="32" t="s">
        <v>179</v>
      </c>
      <c r="AI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XEY577" s="27"/>
      <c r="XEZ577" s="27"/>
      <c r="XFA577" s="27"/>
      <c r="XFB577" s="27"/>
      <c r="XFC577" s="27"/>
      <c r="XFD577" s="27"/>
    </row>
    <row r="578" s="42" customFormat="true" ht="14.15" hidden="false" customHeight="true" outlineLevel="0" collapsed="false">
      <c r="A578" s="28" t="s">
        <v>3824</v>
      </c>
      <c r="B578" s="29" t="s">
        <v>3825</v>
      </c>
      <c r="C578" s="29" t="s">
        <v>3826</v>
      </c>
      <c r="D578" s="30" t="s">
        <v>50</v>
      </c>
      <c r="E578" s="31"/>
      <c r="F578" s="32" t="n">
        <v>33</v>
      </c>
      <c r="G578" s="31" t="s">
        <v>98</v>
      </c>
      <c r="H578" s="31" t="n">
        <v>1</v>
      </c>
      <c r="I578" s="31" t="s">
        <v>295</v>
      </c>
      <c r="J578" s="29"/>
      <c r="K578" s="29" t="s">
        <v>3827</v>
      </c>
      <c r="L578" s="32" t="n">
        <v>5</v>
      </c>
      <c r="M578" s="33" t="s">
        <v>806</v>
      </c>
      <c r="N578" s="34" t="n">
        <v>92300</v>
      </c>
      <c r="O578" s="35" t="s">
        <v>298</v>
      </c>
      <c r="P578" s="36" t="s">
        <v>3828</v>
      </c>
      <c r="Q578" s="36" t="n">
        <v>1</v>
      </c>
      <c r="R578" s="32" t="n">
        <v>400</v>
      </c>
      <c r="S578" s="32" t="n">
        <v>2</v>
      </c>
      <c r="T578" s="32"/>
      <c r="U578" s="32"/>
      <c r="V578" s="37"/>
      <c r="W578" s="32"/>
      <c r="X578" s="34"/>
      <c r="Y578" s="34"/>
      <c r="Z578" s="32"/>
      <c r="AA578" s="32" t="s">
        <v>3829</v>
      </c>
      <c r="AB578" s="32" t="s">
        <v>3830</v>
      </c>
      <c r="AC578" s="38" t="str">
        <f aca="false">HYPERLINK("https://biocodex6--c.vf.force.com/0014L00000NCVAZQA5", "DANINO MICHAEL")</f>
        <v>DANINO MICHAEL</v>
      </c>
      <c r="AD578" s="38" t="str">
        <f aca="false">HYPERLINK("https://annuairesante.ameli.fr/professionnels-de-sante/recherche/fiche-detaillee-CbA1kjQ3NTq3.html", "DANINO MICHAEL")</f>
        <v>DANINO MICHAEL</v>
      </c>
      <c r="AE578" s="39"/>
      <c r="AF578" s="40"/>
      <c r="AG578" s="41"/>
      <c r="AH578" s="32"/>
      <c r="AI578" s="32"/>
      <c r="AL578" s="43" t="s">
        <v>3831</v>
      </c>
      <c r="AM578" s="43" t="s">
        <v>792</v>
      </c>
      <c r="AN578" s="43" t="s">
        <v>639</v>
      </c>
      <c r="AO578" s="43" t="s">
        <v>3832</v>
      </c>
      <c r="AP578" s="43" t="s">
        <v>822</v>
      </c>
      <c r="AQ578" s="43" t="s">
        <v>518</v>
      </c>
      <c r="AR578" s="43" t="s">
        <v>474</v>
      </c>
      <c r="AS578" s="43" t="s">
        <v>661</v>
      </c>
      <c r="AT578" s="43" t="s">
        <v>3831</v>
      </c>
      <c r="AU578" s="43" t="s">
        <v>518</v>
      </c>
      <c r="XEY578" s="27"/>
      <c r="XEZ578" s="27"/>
      <c r="XFA578" s="27"/>
      <c r="XFB578" s="27"/>
      <c r="XFC578" s="27"/>
      <c r="XFD578" s="27"/>
    </row>
    <row r="579" s="42" customFormat="true" ht="14.15" hidden="false" customHeight="true" outlineLevel="0" collapsed="false">
      <c r="A579" s="28" t="s">
        <v>3833</v>
      </c>
      <c r="B579" s="29" t="s">
        <v>3834</v>
      </c>
      <c r="C579" s="29" t="s">
        <v>3835</v>
      </c>
      <c r="D579" s="30" t="s">
        <v>50</v>
      </c>
      <c r="E579" s="31"/>
      <c r="F579" s="32"/>
      <c r="G579" s="31"/>
      <c r="H579" s="31" t="n">
        <v>1</v>
      </c>
      <c r="I579" s="31" t="s">
        <v>77</v>
      </c>
      <c r="J579" s="29" t="s">
        <v>246</v>
      </c>
      <c r="K579" s="29" t="s">
        <v>247</v>
      </c>
      <c r="L579" s="32" t="n">
        <v>36</v>
      </c>
      <c r="M579" s="33" t="s">
        <v>248</v>
      </c>
      <c r="N579" s="34" t="n">
        <v>92200</v>
      </c>
      <c r="O579" s="35" t="s">
        <v>81</v>
      </c>
      <c r="P579" s="36" t="s">
        <v>1163</v>
      </c>
      <c r="Q579" s="36" t="n">
        <v>49</v>
      </c>
      <c r="R579" s="32" t="n">
        <v>400</v>
      </c>
      <c r="S579" s="32" t="n">
        <v>2</v>
      </c>
      <c r="T579" s="32"/>
      <c r="U579" s="32"/>
      <c r="V579" s="37"/>
      <c r="W579" s="32"/>
      <c r="X579" s="34"/>
      <c r="Y579" s="34"/>
      <c r="Z579" s="32"/>
      <c r="AA579" s="32" t="s">
        <v>3836</v>
      </c>
      <c r="AB579" s="32"/>
      <c r="AC579" s="38" t="str">
        <f aca="false">HYPERLINK("https://biocodex6--c.vf.force.com/0014L00000kSGjcQAG", "FILALI RAYANE")</f>
        <v>FILALI RAYANE</v>
      </c>
      <c r="AD579" s="38"/>
      <c r="AE579" s="39"/>
      <c r="AF579" s="40"/>
      <c r="AG579" s="41"/>
      <c r="AH579" s="32"/>
      <c r="AI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XEY579" s="27"/>
      <c r="XEZ579" s="27"/>
      <c r="XFA579" s="27"/>
      <c r="XFB579" s="27"/>
      <c r="XFC579" s="27"/>
      <c r="XFD579" s="27"/>
    </row>
    <row r="580" s="42" customFormat="true" ht="14.15" hidden="false" customHeight="true" outlineLevel="0" collapsed="false">
      <c r="A580" s="28" t="s">
        <v>3837</v>
      </c>
      <c r="B580" s="29" t="s">
        <v>3838</v>
      </c>
      <c r="C580" s="29" t="s">
        <v>3839</v>
      </c>
      <c r="D580" s="30" t="s">
        <v>50</v>
      </c>
      <c r="E580" s="30" t="s">
        <v>3840</v>
      </c>
      <c r="F580" s="32" t="n">
        <v>76</v>
      </c>
      <c r="G580" s="31" t="s">
        <v>215</v>
      </c>
      <c r="H580" s="31" t="n">
        <v>1</v>
      </c>
      <c r="I580" s="31" t="s">
        <v>119</v>
      </c>
      <c r="J580" s="29"/>
      <c r="K580" s="29" t="s">
        <v>3841</v>
      </c>
      <c r="L580" s="32" t="n">
        <v>252</v>
      </c>
      <c r="M580" s="33" t="s">
        <v>3450</v>
      </c>
      <c r="N580" s="34" t="n">
        <v>75007</v>
      </c>
      <c r="O580" s="35" t="s">
        <v>55</v>
      </c>
      <c r="P580" s="36" t="s">
        <v>3842</v>
      </c>
      <c r="Q580" s="36" t="n">
        <v>1</v>
      </c>
      <c r="R580" s="32" t="n">
        <v>394</v>
      </c>
      <c r="S580" s="32" t="n">
        <v>2</v>
      </c>
      <c r="T580" s="32"/>
      <c r="U580" s="32"/>
      <c r="V580" s="37"/>
      <c r="W580" s="32"/>
      <c r="X580" s="34"/>
      <c r="Y580" s="34"/>
      <c r="Z580" s="36"/>
      <c r="AA580" s="32" t="s">
        <v>3843</v>
      </c>
      <c r="AB580" s="32" t="s">
        <v>3844</v>
      </c>
      <c r="AC580" s="38" t="str">
        <f aca="false">HYPERLINK("https://biocodex6--c.vf.force.com/0014L00000KFxs6QAD", "REBA ABDELHAMID")</f>
        <v>REBA ABDELHAMID</v>
      </c>
      <c r="AD580" s="38" t="str">
        <f aca="false">HYPERLINK("https://annuairesante.ameli.fr/professionnels-de-sante/recherche/fiche-detaillee-B7c1ljMwNDa6.html", "REBA ABDELHAMID")</f>
        <v>REBA ABDELHAMID</v>
      </c>
      <c r="AE580" s="39"/>
      <c r="AF580" s="40"/>
      <c r="AG580" s="41"/>
      <c r="AH580" s="32" t="s">
        <v>179</v>
      </c>
      <c r="AI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XEY580" s="27"/>
      <c r="XEZ580" s="27"/>
      <c r="XFA580" s="27"/>
      <c r="XFB580" s="27"/>
      <c r="XFC580" s="27"/>
      <c r="XFD580" s="27"/>
    </row>
    <row r="581" s="42" customFormat="true" ht="14.15" hidden="false" customHeight="true" outlineLevel="0" collapsed="false">
      <c r="A581" s="28" t="s">
        <v>3845</v>
      </c>
      <c r="B581" s="29" t="s">
        <v>3846</v>
      </c>
      <c r="C581" s="29" t="s">
        <v>3847</v>
      </c>
      <c r="D581" s="30" t="s">
        <v>50</v>
      </c>
      <c r="E581" s="31"/>
      <c r="F581" s="32" t="n">
        <v>59</v>
      </c>
      <c r="G581" s="31" t="s">
        <v>98</v>
      </c>
      <c r="H581" s="31" t="n">
        <v>1</v>
      </c>
      <c r="I581" s="31" t="s">
        <v>99</v>
      </c>
      <c r="J581" s="29"/>
      <c r="K581" s="29" t="s">
        <v>3848</v>
      </c>
      <c r="L581" s="32" t="n">
        <v>25</v>
      </c>
      <c r="M581" s="33" t="s">
        <v>3849</v>
      </c>
      <c r="N581" s="34" t="n">
        <v>75015</v>
      </c>
      <c r="O581" s="35" t="s">
        <v>55</v>
      </c>
      <c r="P581" s="36" t="s">
        <v>3850</v>
      </c>
      <c r="Q581" s="36" t="n">
        <v>2</v>
      </c>
      <c r="R581" s="32" t="n">
        <v>385</v>
      </c>
      <c r="S581" s="32" t="n">
        <v>2</v>
      </c>
      <c r="T581" s="32"/>
      <c r="U581" s="32"/>
      <c r="V581" s="37"/>
      <c r="W581" s="32"/>
      <c r="X581" s="34"/>
      <c r="Y581" s="34"/>
      <c r="Z581" s="32"/>
      <c r="AA581" s="32" t="s">
        <v>3851</v>
      </c>
      <c r="AB581" s="32" t="s">
        <v>3852</v>
      </c>
      <c r="AC581" s="38" t="str">
        <f aca="false">HYPERLINK("https://biocodex6--c.vf.force.com/0014L00000KFXODQA5", "CONSTANTIN LUDOVIC")</f>
        <v>CONSTANTIN LUDOVIC</v>
      </c>
      <c r="AD581" s="38" t="str">
        <f aca="false">HYPERLINK("https://annuairesante.ameli.fr/professionnels-de-sante/recherche/fiche-detaillee-B7c1lDMwNzC2.html", "CONSTANTIN LUDOVIC")</f>
        <v>CONSTANTIN LUDOVIC</v>
      </c>
      <c r="AE581" s="39"/>
      <c r="AF581" s="40"/>
      <c r="AG581" s="41"/>
      <c r="AH581" s="32"/>
      <c r="AI581" s="32"/>
      <c r="AL581" s="43" t="s">
        <v>822</v>
      </c>
      <c r="AM581" s="43" t="s">
        <v>661</v>
      </c>
      <c r="AN581" s="43" t="s">
        <v>822</v>
      </c>
      <c r="AO581" s="43" t="s">
        <v>661</v>
      </c>
      <c r="AP581" s="43" t="s">
        <v>822</v>
      </c>
      <c r="AQ581" s="43" t="s">
        <v>661</v>
      </c>
      <c r="AR581" s="43" t="s">
        <v>822</v>
      </c>
      <c r="AS581" s="43" t="s">
        <v>661</v>
      </c>
      <c r="AT581" s="43" t="s">
        <v>822</v>
      </c>
      <c r="AU581" s="43" t="s">
        <v>661</v>
      </c>
      <c r="XEY581" s="27"/>
      <c r="XEZ581" s="27"/>
      <c r="XFA581" s="27"/>
      <c r="XFB581" s="27"/>
      <c r="XFC581" s="27"/>
      <c r="XFD581" s="27"/>
    </row>
    <row r="582" s="42" customFormat="true" ht="14.15" hidden="false" customHeight="true" outlineLevel="0" collapsed="false">
      <c r="A582" s="28" t="s">
        <v>1056</v>
      </c>
      <c r="B582" s="29" t="s">
        <v>3853</v>
      </c>
      <c r="C582" s="29" t="s">
        <v>3854</v>
      </c>
      <c r="D582" s="30" t="s">
        <v>50</v>
      </c>
      <c r="E582" s="30" t="s">
        <v>344</v>
      </c>
      <c r="F582" s="32" t="n">
        <v>56</v>
      </c>
      <c r="G582" s="31" t="s">
        <v>98</v>
      </c>
      <c r="H582" s="31" t="n">
        <v>1</v>
      </c>
      <c r="I582" s="31" t="s">
        <v>572</v>
      </c>
      <c r="J582" s="29"/>
      <c r="K582" s="29" t="s">
        <v>3855</v>
      </c>
      <c r="L582" s="32" t="n">
        <v>5</v>
      </c>
      <c r="M582" s="33" t="s">
        <v>3856</v>
      </c>
      <c r="N582" s="34" t="n">
        <v>75008</v>
      </c>
      <c r="O582" s="35" t="s">
        <v>55</v>
      </c>
      <c r="P582" s="36" t="s">
        <v>3857</v>
      </c>
      <c r="Q582" s="36" t="n">
        <v>1</v>
      </c>
      <c r="R582" s="32" t="n">
        <v>375</v>
      </c>
      <c r="S582" s="32" t="n">
        <v>2</v>
      </c>
      <c r="T582" s="32"/>
      <c r="U582" s="32"/>
      <c r="V582" s="37"/>
      <c r="W582" s="32"/>
      <c r="X582" s="34"/>
      <c r="Y582" s="34"/>
      <c r="Z582" s="32"/>
      <c r="AA582" s="32" t="s">
        <v>3858</v>
      </c>
      <c r="AB582" s="32" t="s">
        <v>3859</v>
      </c>
      <c r="AC582" s="38" t="str">
        <f aca="false">HYPERLINK("https://biocodex6--c.vf.force.com/0014L00000KG6f4QAD", "VINCENT THIBAUD")</f>
        <v>VINCENT THIBAUD</v>
      </c>
      <c r="AD582" s="38" t="str">
        <f aca="false">HYPERLINK("https://annuairesante.ameli.fr/professionnels-de-sante/recherche/fiche-detaillee-B7c1mzA4MjW2.html", "VINCENT THIBAUD")</f>
        <v>VINCENT THIBAUD</v>
      </c>
      <c r="AE582" s="39"/>
      <c r="AF582" s="40"/>
      <c r="AG582" s="41"/>
      <c r="AH582" s="32"/>
      <c r="AI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XEY582" s="27"/>
      <c r="XEZ582" s="27"/>
      <c r="XFA582" s="27"/>
      <c r="XFB582" s="27"/>
      <c r="XFC582" s="27"/>
      <c r="XFD582" s="27"/>
    </row>
    <row r="583" s="42" customFormat="true" ht="14.15" hidden="false" customHeight="true" outlineLevel="0" collapsed="false">
      <c r="A583" s="28" t="s">
        <v>3860</v>
      </c>
      <c r="B583" s="29" t="s">
        <v>829</v>
      </c>
      <c r="C583" s="29" t="s">
        <v>3861</v>
      </c>
      <c r="D583" s="30" t="s">
        <v>50</v>
      </c>
      <c r="E583" s="30" t="s">
        <v>796</v>
      </c>
      <c r="F583" s="32" t="n">
        <v>65</v>
      </c>
      <c r="G583" s="31" t="s">
        <v>98</v>
      </c>
      <c r="H583" s="31" t="n">
        <v>1</v>
      </c>
      <c r="I583" s="31" t="s">
        <v>233</v>
      </c>
      <c r="J583" s="29"/>
      <c r="K583" s="29" t="s">
        <v>3862</v>
      </c>
      <c r="L583" s="32" t="n">
        <v>143</v>
      </c>
      <c r="M583" s="33" t="s">
        <v>3863</v>
      </c>
      <c r="N583" s="34" t="n">
        <v>75015</v>
      </c>
      <c r="O583" s="35" t="s">
        <v>55</v>
      </c>
      <c r="P583" s="36" t="s">
        <v>3864</v>
      </c>
      <c r="Q583" s="36" t="n">
        <v>1</v>
      </c>
      <c r="R583" s="32" t="n">
        <v>369</v>
      </c>
      <c r="S583" s="32" t="n">
        <v>2</v>
      </c>
      <c r="T583" s="32"/>
      <c r="U583" s="32"/>
      <c r="V583" s="37"/>
      <c r="W583" s="32"/>
      <c r="X583" s="34"/>
      <c r="Y583" s="34"/>
      <c r="Z583" s="32"/>
      <c r="AA583" s="32" t="s">
        <v>3865</v>
      </c>
      <c r="AB583" s="32" t="s">
        <v>3866</v>
      </c>
      <c r="AC583" s="38" t="str">
        <f aca="false">HYPERLINK("https://biocodex6--c.vf.force.com/0014L00000KFYOXQA5", "DIMITROV DIDIER")</f>
        <v>DIMITROV DIDIER</v>
      </c>
      <c r="AD583" s="38" t="str">
        <f aca="false">HYPERLINK("https://annuairesante.ameli.fr/professionnels-de-sante/recherche/fiche-detaillee-B7c1lzo0OTC6.html", "DIMITROV DIDIER")</f>
        <v>DIMITROV DIDIER</v>
      </c>
      <c r="AE583" s="39"/>
      <c r="AF583" s="40"/>
      <c r="AG583" s="41"/>
      <c r="AH583" s="32"/>
      <c r="AI583" s="32"/>
      <c r="AL583" s="32"/>
      <c r="AM583" s="43" t="s">
        <v>262</v>
      </c>
      <c r="AN583" s="43" t="s">
        <v>1268</v>
      </c>
      <c r="AO583" s="32"/>
      <c r="AP583" s="43" t="s">
        <v>1268</v>
      </c>
      <c r="AQ583" s="32"/>
      <c r="AR583" s="32"/>
      <c r="AS583" s="43" t="s">
        <v>262</v>
      </c>
      <c r="AT583" s="43" t="s">
        <v>1268</v>
      </c>
      <c r="AU583" s="43" t="s">
        <v>476</v>
      </c>
      <c r="XEY583" s="27"/>
      <c r="XEZ583" s="27"/>
      <c r="XFA583" s="27"/>
      <c r="XFB583" s="27"/>
      <c r="XFC583" s="27"/>
      <c r="XFD583" s="27"/>
    </row>
    <row r="584" s="42" customFormat="true" ht="14.15" hidden="false" customHeight="true" outlineLevel="0" collapsed="false">
      <c r="A584" s="28" t="s">
        <v>3867</v>
      </c>
      <c r="B584" s="29" t="s">
        <v>3582</v>
      </c>
      <c r="C584" s="29" t="s">
        <v>3868</v>
      </c>
      <c r="D584" s="30" t="s">
        <v>50</v>
      </c>
      <c r="E584" s="31"/>
      <c r="F584" s="32" t="n">
        <v>36</v>
      </c>
      <c r="G584" s="31"/>
      <c r="H584" s="31" t="n">
        <v>1</v>
      </c>
      <c r="I584" s="31" t="s">
        <v>119</v>
      </c>
      <c r="J584" s="29"/>
      <c r="K584" s="29" t="s">
        <v>3869</v>
      </c>
      <c r="L584" s="32" t="n">
        <v>1</v>
      </c>
      <c r="M584" s="33" t="s">
        <v>3870</v>
      </c>
      <c r="N584" s="34" t="n">
        <v>75007</v>
      </c>
      <c r="O584" s="35" t="s">
        <v>55</v>
      </c>
      <c r="P584" s="36" t="s">
        <v>3871</v>
      </c>
      <c r="Q584" s="36" t="n">
        <v>1</v>
      </c>
      <c r="R584" s="32" t="n">
        <v>364</v>
      </c>
      <c r="S584" s="32" t="n">
        <v>2</v>
      </c>
      <c r="T584" s="32"/>
      <c r="U584" s="32"/>
      <c r="V584" s="37"/>
      <c r="W584" s="32"/>
      <c r="X584" s="34"/>
      <c r="Y584" s="34"/>
      <c r="Z584" s="32"/>
      <c r="AA584" s="32" t="s">
        <v>3872</v>
      </c>
      <c r="AB584" s="32"/>
      <c r="AC584" s="38" t="str">
        <f aca="false">HYPERLINK("https://biocodex6--c.vf.force.com/0014L00000KFPgCQAX", "CORREIA CELIA")</f>
        <v>CORREIA CELIA</v>
      </c>
      <c r="AD584" s="38"/>
      <c r="AE584" s="39"/>
      <c r="AF584" s="40"/>
      <c r="AG584" s="41"/>
      <c r="AH584" s="32"/>
      <c r="AI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XEY584" s="27"/>
      <c r="XEZ584" s="27"/>
      <c r="XFA584" s="27"/>
      <c r="XFB584" s="27"/>
      <c r="XFC584" s="27"/>
      <c r="XFD584" s="27"/>
    </row>
    <row r="585" s="42" customFormat="true" ht="14.15" hidden="false" customHeight="true" outlineLevel="0" collapsed="false">
      <c r="A585" s="28" t="s">
        <v>3873</v>
      </c>
      <c r="B585" s="29" t="s">
        <v>3874</v>
      </c>
      <c r="C585" s="29" t="s">
        <v>3875</v>
      </c>
      <c r="D585" s="30" t="s">
        <v>50</v>
      </c>
      <c r="E585" s="31"/>
      <c r="F585" s="32" t="n">
        <v>41</v>
      </c>
      <c r="G585" s="31" t="s">
        <v>98</v>
      </c>
      <c r="H585" s="31" t="n">
        <v>3</v>
      </c>
      <c r="I585" s="31" t="s">
        <v>387</v>
      </c>
      <c r="J585" s="29" t="s">
        <v>1306</v>
      </c>
      <c r="K585" s="29" t="s">
        <v>1307</v>
      </c>
      <c r="L585" s="32" t="n">
        <v>11</v>
      </c>
      <c r="M585" s="33" t="s">
        <v>1308</v>
      </c>
      <c r="N585" s="34" t="n">
        <v>75016</v>
      </c>
      <c r="O585" s="35" t="s">
        <v>55</v>
      </c>
      <c r="P585" s="36" t="s">
        <v>3876</v>
      </c>
      <c r="Q585" s="36" t="n">
        <v>9</v>
      </c>
      <c r="R585" s="32" t="n">
        <v>358</v>
      </c>
      <c r="S585" s="32" t="n">
        <v>2</v>
      </c>
      <c r="T585" s="32"/>
      <c r="U585" s="32"/>
      <c r="V585" s="37"/>
      <c r="W585" s="32"/>
      <c r="X585" s="34"/>
      <c r="Y585" s="34"/>
      <c r="Z585" s="32"/>
      <c r="AA585" s="32" t="s">
        <v>3877</v>
      </c>
      <c r="AB585" s="32" t="s">
        <v>3878</v>
      </c>
      <c r="AC585" s="38" t="str">
        <f aca="false">HYPERLINK("https://biocodex6--c.vf.force.com/0014L00000KFejnQAD", "CHEN ZEE ESTELLE")</f>
        <v>CHEN ZEE ESTELLE</v>
      </c>
      <c r="AD585" s="38" t="str">
        <f aca="false">HYPERLINK("https://annuairesante.ameli.fr/professionnels-de-sante/recherche/fiche-detaillee-B7c1mjA4NDe6.html", "CHEN ZEE ESTELLE")</f>
        <v>CHEN ZEE ESTELLE</v>
      </c>
      <c r="AE585" s="39" t="n">
        <v>45439.625</v>
      </c>
      <c r="AF585" s="40" t="s">
        <v>3879</v>
      </c>
      <c r="AG585" s="41"/>
      <c r="AH585" s="32"/>
      <c r="AI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XEY585" s="27"/>
      <c r="XEZ585" s="27"/>
      <c r="XFA585" s="27"/>
      <c r="XFB585" s="27"/>
      <c r="XFC585" s="27"/>
      <c r="XFD585" s="27"/>
    </row>
    <row r="586" s="42" customFormat="true" ht="14.15" hidden="false" customHeight="true" outlineLevel="0" collapsed="false">
      <c r="A586" s="28" t="s">
        <v>3880</v>
      </c>
      <c r="B586" s="29" t="s">
        <v>3881</v>
      </c>
      <c r="C586" s="29" t="s">
        <v>3882</v>
      </c>
      <c r="D586" s="30" t="s">
        <v>206</v>
      </c>
      <c r="E586" s="31"/>
      <c r="F586" s="32" t="n">
        <v>68</v>
      </c>
      <c r="G586" s="31" t="s">
        <v>61</v>
      </c>
      <c r="H586" s="31" t="n">
        <v>1</v>
      </c>
      <c r="I586" s="31" t="s">
        <v>572</v>
      </c>
      <c r="J586" s="29"/>
      <c r="K586" s="29" t="s">
        <v>3883</v>
      </c>
      <c r="L586" s="32" t="n">
        <v>74</v>
      </c>
      <c r="M586" s="33" t="s">
        <v>3884</v>
      </c>
      <c r="N586" s="34" t="n">
        <v>75008</v>
      </c>
      <c r="O586" s="35" t="s">
        <v>55</v>
      </c>
      <c r="P586" s="36" t="s">
        <v>3885</v>
      </c>
      <c r="Q586" s="36" t="n">
        <v>2</v>
      </c>
      <c r="R586" s="32" t="n">
        <v>353</v>
      </c>
      <c r="S586" s="32" t="n">
        <v>2</v>
      </c>
      <c r="T586" s="32"/>
      <c r="U586" s="32"/>
      <c r="V586" s="37" t="n">
        <v>3</v>
      </c>
      <c r="W586" s="32"/>
      <c r="X586" s="34"/>
      <c r="Y586" s="34"/>
      <c r="Z586" s="32"/>
      <c r="AA586" s="32" t="s">
        <v>3886</v>
      </c>
      <c r="AB586" s="32" t="s">
        <v>3887</v>
      </c>
      <c r="AC586" s="38" t="str">
        <f aca="false">HYPERLINK("https://biocodex6--c.vf.force.com/0014L00000KG1JIQA1", "SERRE JEAN LOUIS")</f>
        <v>SERRE JEAN LOUIS</v>
      </c>
      <c r="AD586" s="38" t="str">
        <f aca="false">HYPERLINK("https://annuairesante.ameli.fr/professionnels-de-sante/recherche/fiche-detaillee-B7c1ljs2NTG6.html", "SERRE JEAN LOUIS")</f>
        <v>SERRE JEAN LOUIS</v>
      </c>
      <c r="AE586" s="39"/>
      <c r="AF586" s="40"/>
      <c r="AG586" s="41" t="s">
        <v>125</v>
      </c>
      <c r="AH586" s="32"/>
      <c r="AI586" s="32"/>
      <c r="AL586" s="43" t="s">
        <v>3888</v>
      </c>
      <c r="AM586" s="43" t="s">
        <v>661</v>
      </c>
      <c r="AN586" s="43" t="s">
        <v>3888</v>
      </c>
      <c r="AO586" s="43" t="s">
        <v>661</v>
      </c>
      <c r="AP586" s="43" t="s">
        <v>3888</v>
      </c>
      <c r="AQ586" s="43" t="s">
        <v>661</v>
      </c>
      <c r="AR586" s="43" t="s">
        <v>3889</v>
      </c>
      <c r="AS586" s="43" t="s">
        <v>661</v>
      </c>
      <c r="AT586" s="43" t="s">
        <v>3890</v>
      </c>
      <c r="AU586" s="43" t="s">
        <v>661</v>
      </c>
      <c r="XEY586" s="27"/>
      <c r="XEZ586" s="27"/>
      <c r="XFA586" s="27"/>
      <c r="XFB586" s="27"/>
      <c r="XFC586" s="27"/>
      <c r="XFD586" s="27"/>
    </row>
    <row r="587" s="42" customFormat="true" ht="14.15" hidden="false" customHeight="true" outlineLevel="0" collapsed="false">
      <c r="A587" s="28" t="s">
        <v>3891</v>
      </c>
      <c r="B587" s="29" t="s">
        <v>3892</v>
      </c>
      <c r="C587" s="29" t="s">
        <v>3893</v>
      </c>
      <c r="D587" s="30" t="s">
        <v>50</v>
      </c>
      <c r="E587" s="30" t="s">
        <v>386</v>
      </c>
      <c r="F587" s="32" t="n">
        <v>75</v>
      </c>
      <c r="G587" s="31" t="s">
        <v>215</v>
      </c>
      <c r="H587" s="31" t="n">
        <v>1</v>
      </c>
      <c r="I587" s="31" t="s">
        <v>77</v>
      </c>
      <c r="J587" s="29"/>
      <c r="K587" s="29" t="s">
        <v>3894</v>
      </c>
      <c r="L587" s="32" t="n">
        <v>11</v>
      </c>
      <c r="M587" s="33" t="s">
        <v>3895</v>
      </c>
      <c r="N587" s="34" t="n">
        <v>92200</v>
      </c>
      <c r="O587" s="35" t="s">
        <v>81</v>
      </c>
      <c r="P587" s="36" t="s">
        <v>3896</v>
      </c>
      <c r="Q587" s="36" t="n">
        <v>1</v>
      </c>
      <c r="R587" s="32" t="n">
        <v>349</v>
      </c>
      <c r="S587" s="32" t="n">
        <v>2</v>
      </c>
      <c r="T587" s="32"/>
      <c r="U587" s="32"/>
      <c r="V587" s="37"/>
      <c r="W587" s="32"/>
      <c r="X587" s="34"/>
      <c r="Y587" s="34"/>
      <c r="Z587" s="32"/>
      <c r="AA587" s="32" t="s">
        <v>3897</v>
      </c>
      <c r="AB587" s="32" t="s">
        <v>3898</v>
      </c>
      <c r="AC587" s="38" t="str">
        <f aca="false">HYPERLINK("https://biocodex6--c.vf.force.com/0014L00000KFoZOQA1", "LIM CHHENG HAO")</f>
        <v>LIM CHHENG HAO</v>
      </c>
      <c r="AD587" s="38" t="str">
        <f aca="false">HYPERLINK("https://annuairesante.ameli.fr/professionnels-de-sante/recherche/fiche-detaillee-CbA1kjQ2MDWy.html", "LIM CHHENG HAO")</f>
        <v>LIM CHHENG HAO</v>
      </c>
      <c r="AE587" s="39"/>
      <c r="AF587" s="40"/>
      <c r="AG587" s="41"/>
      <c r="AH587" s="32"/>
      <c r="AI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XEY587" s="27"/>
      <c r="XEZ587" s="27"/>
      <c r="XFA587" s="27"/>
      <c r="XFB587" s="27"/>
      <c r="XFC587" s="27"/>
      <c r="XFD587" s="27"/>
    </row>
    <row r="588" s="42" customFormat="true" ht="14.15" hidden="false" customHeight="true" outlineLevel="0" collapsed="false">
      <c r="A588" s="28" t="s">
        <v>3899</v>
      </c>
      <c r="B588" s="29" t="s">
        <v>195</v>
      </c>
      <c r="C588" s="29" t="s">
        <v>3900</v>
      </c>
      <c r="D588" s="30" t="s">
        <v>50</v>
      </c>
      <c r="E588" s="31"/>
      <c r="F588" s="32" t="n">
        <v>56</v>
      </c>
      <c r="G588" s="31" t="s">
        <v>98</v>
      </c>
      <c r="H588" s="31" t="n">
        <v>1</v>
      </c>
      <c r="I588" s="31" t="s">
        <v>387</v>
      </c>
      <c r="J588" s="29"/>
      <c r="K588" s="29" t="s">
        <v>3901</v>
      </c>
      <c r="L588" s="32" t="n">
        <v>19</v>
      </c>
      <c r="M588" s="33" t="s">
        <v>2778</v>
      </c>
      <c r="N588" s="34" t="n">
        <v>75016</v>
      </c>
      <c r="O588" s="35" t="s">
        <v>55</v>
      </c>
      <c r="P588" s="36" t="s">
        <v>3902</v>
      </c>
      <c r="Q588" s="36" t="n">
        <v>1</v>
      </c>
      <c r="R588" s="32" t="n">
        <v>346</v>
      </c>
      <c r="S588" s="32" t="n">
        <v>2</v>
      </c>
      <c r="T588" s="32"/>
      <c r="U588" s="32"/>
      <c r="V588" s="37"/>
      <c r="W588" s="32"/>
      <c r="X588" s="34"/>
      <c r="Y588" s="34"/>
      <c r="Z588" s="32"/>
      <c r="AA588" s="32" t="s">
        <v>3903</v>
      </c>
      <c r="AB588" s="32" t="s">
        <v>3904</v>
      </c>
      <c r="AC588" s="38" t="str">
        <f aca="false">HYPERLINK("https://biocodex6--c.vf.force.com/0014L00000KFqe7QAD", "MACHARD DE GRAMONT PHILIPPE")</f>
        <v>MACHARD DE GRAMONT PHILIPPE</v>
      </c>
      <c r="AD588" s="38" t="str">
        <f aca="false">HYPERLINK("https://annuairesante.ameli.fr/professionnels-de-sante/recherche/fiche-detaillee-B7c1lDAzNDO0.html", "MACHARD DE GRAMONT PHILIPPE")</f>
        <v>MACHARD DE GRAMONT PHILIPPE</v>
      </c>
      <c r="AE588" s="39"/>
      <c r="AF588" s="40"/>
      <c r="AG588" s="41"/>
      <c r="AH588" s="32"/>
      <c r="AI588" s="32"/>
      <c r="AL588" s="43" t="s">
        <v>3905</v>
      </c>
      <c r="AM588" s="43" t="s">
        <v>330</v>
      </c>
      <c r="AN588" s="43" t="s">
        <v>3905</v>
      </c>
      <c r="AO588" s="43" t="s">
        <v>330</v>
      </c>
      <c r="AP588" s="43" t="s">
        <v>3905</v>
      </c>
      <c r="AQ588" s="43" t="s">
        <v>330</v>
      </c>
      <c r="AR588" s="43" t="s">
        <v>1302</v>
      </c>
      <c r="AS588" s="43" t="s">
        <v>330</v>
      </c>
      <c r="AT588" s="43" t="s">
        <v>3905</v>
      </c>
      <c r="AU588" s="43" t="s">
        <v>3906</v>
      </c>
      <c r="XEY588" s="27"/>
      <c r="XEZ588" s="27"/>
      <c r="XFA588" s="27"/>
      <c r="XFB588" s="27"/>
      <c r="XFC588" s="27"/>
      <c r="XFD588" s="27"/>
    </row>
    <row r="589" s="42" customFormat="true" ht="14.15" hidden="false" customHeight="true" outlineLevel="0" collapsed="false">
      <c r="A589" s="28" t="s">
        <v>3907</v>
      </c>
      <c r="B589" s="29" t="s">
        <v>3270</v>
      </c>
      <c r="C589" s="29" t="s">
        <v>3908</v>
      </c>
      <c r="D589" s="30" t="s">
        <v>50</v>
      </c>
      <c r="E589" s="30" t="s">
        <v>571</v>
      </c>
      <c r="F589" s="32" t="n">
        <v>73</v>
      </c>
      <c r="G589" s="31" t="s">
        <v>215</v>
      </c>
      <c r="H589" s="31" t="n">
        <v>1</v>
      </c>
      <c r="I589" s="31" t="s">
        <v>99</v>
      </c>
      <c r="J589" s="29"/>
      <c r="K589" s="29" t="s">
        <v>3909</v>
      </c>
      <c r="L589" s="32" t="n">
        <v>33</v>
      </c>
      <c r="M589" s="33" t="s">
        <v>3910</v>
      </c>
      <c r="N589" s="34" t="n">
        <v>75015</v>
      </c>
      <c r="O589" s="35" t="s">
        <v>55</v>
      </c>
      <c r="P589" s="36" t="s">
        <v>3911</v>
      </c>
      <c r="Q589" s="36" t="n">
        <v>1</v>
      </c>
      <c r="R589" s="32" t="n">
        <v>343</v>
      </c>
      <c r="S589" s="32" t="n">
        <v>2</v>
      </c>
      <c r="T589" s="32"/>
      <c r="U589" s="32"/>
      <c r="V589" s="37"/>
      <c r="W589" s="32"/>
      <c r="X589" s="34"/>
      <c r="Y589" s="34"/>
      <c r="Z589" s="36"/>
      <c r="AA589" s="32" t="s">
        <v>3912</v>
      </c>
      <c r="AB589" s="32" t="s">
        <v>3913</v>
      </c>
      <c r="AC589" s="38" t="str">
        <f aca="false">HYPERLINK("https://biocodex6--c.vf.force.com/0014L00000KG3eEQAT", "TRAN QUAN NAM ANDRE")</f>
        <v>TRAN QUAN NAM ANDRE</v>
      </c>
      <c r="AD589" s="38" t="str">
        <f aca="false">HYPERLINK("https://annuairesante.ameli.fr/professionnels-de-sante/recherche/fiche-detaillee-B7c1kTU3NDG3.html", "TRAN QUAN NAM ANDRE")</f>
        <v>TRAN QUAN NAM ANDRE</v>
      </c>
      <c r="AE589" s="39"/>
      <c r="AF589" s="40"/>
      <c r="AG589" s="41"/>
      <c r="AH589" s="32" t="s">
        <v>179</v>
      </c>
      <c r="AI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XEY589" s="27"/>
      <c r="XEZ589" s="27"/>
      <c r="XFA589" s="27"/>
      <c r="XFB589" s="27"/>
      <c r="XFC589" s="27"/>
      <c r="XFD589" s="27"/>
    </row>
    <row r="590" s="42" customFormat="true" ht="14.15" hidden="false" customHeight="true" outlineLevel="0" collapsed="false">
      <c r="A590" s="28" t="s">
        <v>3914</v>
      </c>
      <c r="B590" s="29" t="s">
        <v>195</v>
      </c>
      <c r="C590" s="29" t="s">
        <v>3915</v>
      </c>
      <c r="D590" s="30" t="s">
        <v>268</v>
      </c>
      <c r="E590" s="31"/>
      <c r="F590" s="32" t="n">
        <v>59</v>
      </c>
      <c r="G590" s="31" t="s">
        <v>215</v>
      </c>
      <c r="H590" s="31" t="n">
        <v>1</v>
      </c>
      <c r="I590" s="31" t="s">
        <v>77</v>
      </c>
      <c r="J590" s="29" t="s">
        <v>580</v>
      </c>
      <c r="K590" s="29" t="s">
        <v>581</v>
      </c>
      <c r="L590" s="32" t="n">
        <v>63</v>
      </c>
      <c r="M590" s="33" t="s">
        <v>80</v>
      </c>
      <c r="N590" s="34" t="n">
        <v>92200</v>
      </c>
      <c r="O590" s="35" t="s">
        <v>81</v>
      </c>
      <c r="P590" s="36" t="s">
        <v>3916</v>
      </c>
      <c r="Q590" s="36" t="n">
        <v>39</v>
      </c>
      <c r="R590" s="32" t="n">
        <v>333</v>
      </c>
      <c r="S590" s="32" t="n">
        <v>2</v>
      </c>
      <c r="T590" s="32"/>
      <c r="U590" s="32"/>
      <c r="V590" s="37"/>
      <c r="W590" s="32"/>
      <c r="X590" s="34"/>
      <c r="Y590" s="34"/>
      <c r="Z590" s="32"/>
      <c r="AA590" s="32" t="s">
        <v>3917</v>
      </c>
      <c r="AB590" s="32" t="s">
        <v>3918</v>
      </c>
      <c r="AC590" s="38" t="str">
        <f aca="false">HYPERLINK("https://biocodex6--c.vf.force.com/0014L00000KFQCkQAP", "ALLA PHILIPPE")</f>
        <v>ALLA PHILIPPE</v>
      </c>
      <c r="AD590" s="38" t="str">
        <f aca="false">HYPERLINK("https://annuairesante.ameli.fr/professionnels-de-sante/recherche/fiche-detaillee-CbA1kjA4MTq1.html", "ALLA PHILIPPE")</f>
        <v>ALLA PHILIPPE</v>
      </c>
      <c r="AE590" s="39"/>
      <c r="AF590" s="40"/>
      <c r="AG590" s="41"/>
      <c r="AH590" s="32"/>
      <c r="AI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XEY590" s="27"/>
      <c r="XEZ590" s="27"/>
      <c r="XFA590" s="27"/>
      <c r="XFB590" s="27"/>
      <c r="XFC590" s="27"/>
      <c r="XFD590" s="27"/>
    </row>
    <row r="591" s="42" customFormat="true" ht="14.15" hidden="false" customHeight="true" outlineLevel="0" collapsed="false">
      <c r="A591" s="28" t="s">
        <v>3919</v>
      </c>
      <c r="B591" s="29" t="s">
        <v>3920</v>
      </c>
      <c r="C591" s="29" t="s">
        <v>3921</v>
      </c>
      <c r="D591" s="30" t="s">
        <v>50</v>
      </c>
      <c r="E591" s="30" t="s">
        <v>344</v>
      </c>
      <c r="F591" s="32" t="n">
        <v>60</v>
      </c>
      <c r="G591" s="31" t="s">
        <v>345</v>
      </c>
      <c r="H591" s="31" t="n">
        <v>1</v>
      </c>
      <c r="I591" s="31" t="s">
        <v>435</v>
      </c>
      <c r="J591" s="29"/>
      <c r="K591" s="29" t="s">
        <v>3922</v>
      </c>
      <c r="L591" s="32" t="n">
        <v>6</v>
      </c>
      <c r="M591" s="33" t="s">
        <v>3923</v>
      </c>
      <c r="N591" s="34" t="n">
        <v>75016</v>
      </c>
      <c r="O591" s="35" t="s">
        <v>55</v>
      </c>
      <c r="P591" s="36" t="s">
        <v>3924</v>
      </c>
      <c r="Q591" s="36" t="n">
        <v>1</v>
      </c>
      <c r="R591" s="32" t="n">
        <v>331</v>
      </c>
      <c r="S591" s="32" t="n">
        <v>2</v>
      </c>
      <c r="T591" s="32"/>
      <c r="U591" s="32"/>
      <c r="V591" s="37"/>
      <c r="W591" s="32"/>
      <c r="X591" s="34"/>
      <c r="Y591" s="34"/>
      <c r="Z591" s="32"/>
      <c r="AA591" s="32" t="s">
        <v>3925</v>
      </c>
      <c r="AB591" s="32" t="s">
        <v>3926</v>
      </c>
      <c r="AC591" s="38" t="str">
        <f aca="false">HYPERLINK("https://biocodex6--c.vf.force.com/0014L00000KFW5XQAX", "BOUSQUET MARIE THERESE")</f>
        <v>BOUSQUET MARIE THERESE</v>
      </c>
      <c r="AD591" s="38" t="str">
        <f aca="false">HYPERLINK("https://annuairesante.ameli.fr/professionnels-de-sante/recherche/fiche-detaillee-B7c1lTIwMzW0.html", "BOUSQUET MARIE THERESE")</f>
        <v>BOUSQUET MARIE THERESE</v>
      </c>
      <c r="AE591" s="39" t="n">
        <v>45205.7083333333</v>
      </c>
      <c r="AF591" s="40"/>
      <c r="AG591" s="41"/>
      <c r="AH591" s="32"/>
      <c r="AI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XEY591" s="27"/>
      <c r="XEZ591" s="27"/>
      <c r="XFA591" s="27"/>
      <c r="XFB591" s="27"/>
      <c r="XFC591" s="27"/>
      <c r="XFD591" s="27"/>
    </row>
    <row r="592" s="42" customFormat="true" ht="14.15" hidden="false" customHeight="true" outlineLevel="0" collapsed="false">
      <c r="A592" s="28" t="s">
        <v>3927</v>
      </c>
      <c r="B592" s="29" t="s">
        <v>3596</v>
      </c>
      <c r="C592" s="29" t="s">
        <v>3928</v>
      </c>
      <c r="D592" s="30" t="s">
        <v>50</v>
      </c>
      <c r="E592" s="31"/>
      <c r="F592" s="32" t="n">
        <v>47</v>
      </c>
      <c r="G592" s="31" t="s">
        <v>98</v>
      </c>
      <c r="H592" s="31" t="n">
        <v>1</v>
      </c>
      <c r="I592" s="31" t="s">
        <v>295</v>
      </c>
      <c r="J592" s="29"/>
      <c r="K592" s="29" t="s">
        <v>3929</v>
      </c>
      <c r="L592" s="32" t="n">
        <v>22</v>
      </c>
      <c r="M592" s="33" t="s">
        <v>3930</v>
      </c>
      <c r="N592" s="34" t="n">
        <v>92300</v>
      </c>
      <c r="O592" s="35" t="s">
        <v>298</v>
      </c>
      <c r="P592" s="36" t="s">
        <v>3931</v>
      </c>
      <c r="Q592" s="36" t="n">
        <v>2</v>
      </c>
      <c r="R592" s="32" t="n">
        <v>330</v>
      </c>
      <c r="S592" s="32" t="n">
        <v>2</v>
      </c>
      <c r="T592" s="32"/>
      <c r="U592" s="32"/>
      <c r="V592" s="37"/>
      <c r="W592" s="32"/>
      <c r="X592" s="34"/>
      <c r="Y592" s="34"/>
      <c r="Z592" s="32"/>
      <c r="AA592" s="32" t="s">
        <v>3932</v>
      </c>
      <c r="AB592" s="32" t="s">
        <v>3933</v>
      </c>
      <c r="AC592" s="38" t="str">
        <f aca="false">HYPERLINK("https://biocodex6--c.vf.force.com/0014L00000KFv4JQAT", "HOGUIN JEAN CHRISTOPHE")</f>
        <v>HOGUIN JEAN CHRISTOPHE</v>
      </c>
      <c r="AD592" s="38" t="str">
        <f aca="false">HYPERLINK("https://annuairesante.ameli.fr/professionnels-de-sante/recherche/fiche-detaillee-CbA1kDE0MTCx.html", "HOGUIN JEAN CHRISTOPHE")</f>
        <v>HOGUIN JEAN CHRISTOPHE</v>
      </c>
      <c r="AE592" s="39"/>
      <c r="AF592" s="40"/>
      <c r="AG592" s="41"/>
      <c r="AH592" s="32"/>
      <c r="AI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XEY592" s="27"/>
      <c r="XEZ592" s="27"/>
      <c r="XFA592" s="27"/>
      <c r="XFB592" s="27"/>
      <c r="XFC592" s="27"/>
      <c r="XFD592" s="27"/>
    </row>
    <row r="593" s="42" customFormat="true" ht="14.15" hidden="false" customHeight="true" outlineLevel="0" collapsed="false">
      <c r="A593" s="28" t="s">
        <v>3934</v>
      </c>
      <c r="B593" s="29" t="s">
        <v>3935</v>
      </c>
      <c r="C593" s="29" t="s">
        <v>3936</v>
      </c>
      <c r="D593" s="30" t="s">
        <v>268</v>
      </c>
      <c r="E593" s="31"/>
      <c r="F593" s="32" t="n">
        <v>72</v>
      </c>
      <c r="G593" s="31" t="s">
        <v>215</v>
      </c>
      <c r="H593" s="31" t="n">
        <v>1</v>
      </c>
      <c r="I593" s="31" t="s">
        <v>62</v>
      </c>
      <c r="J593" s="29"/>
      <c r="K593" s="29" t="s">
        <v>3937</v>
      </c>
      <c r="L593" s="32" t="n">
        <v>32</v>
      </c>
      <c r="M593" s="33" t="s">
        <v>2804</v>
      </c>
      <c r="N593" s="34" t="n">
        <v>75017</v>
      </c>
      <c r="O593" s="35" t="s">
        <v>55</v>
      </c>
      <c r="P593" s="36" t="s">
        <v>3938</v>
      </c>
      <c r="Q593" s="36" t="n">
        <v>2</v>
      </c>
      <c r="R593" s="32" t="n">
        <v>329</v>
      </c>
      <c r="S593" s="32" t="n">
        <v>2</v>
      </c>
      <c r="T593" s="32"/>
      <c r="U593" s="32"/>
      <c r="V593" s="37"/>
      <c r="W593" s="32"/>
      <c r="X593" s="34"/>
      <c r="Y593" s="34"/>
      <c r="Z593" s="32"/>
      <c r="AA593" s="32" t="s">
        <v>3939</v>
      </c>
      <c r="AB593" s="32" t="s">
        <v>3940</v>
      </c>
      <c r="AC593" s="38" t="str">
        <f aca="false">HYPERLINK("https://biocodex6--c.vf.force.com/0014L00000KFShVQAX", "BENRABAH RABAH")</f>
        <v>BENRABAH RABAH</v>
      </c>
      <c r="AD593" s="38" t="str">
        <f aca="false">HYPERLINK("https://annuairesante.ameli.fr/professionnels-de-sante/recherche/fiche-detaillee-B7c1ljc4ODO7.html", "BENRABAH RABAH")</f>
        <v>BENRABAH RABAH</v>
      </c>
      <c r="AE593" s="39"/>
      <c r="AF593" s="40"/>
      <c r="AG593" s="41"/>
      <c r="AH593" s="32"/>
      <c r="AI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XEY593" s="27"/>
      <c r="XEZ593" s="27"/>
      <c r="XFA593" s="27"/>
      <c r="XFB593" s="27"/>
      <c r="XFC593" s="27"/>
      <c r="XFD593" s="27"/>
    </row>
    <row r="594" s="42" customFormat="true" ht="14.15" hidden="false" customHeight="true" outlineLevel="0" collapsed="false">
      <c r="A594" s="28" t="s">
        <v>3941</v>
      </c>
      <c r="B594" s="29" t="s">
        <v>709</v>
      </c>
      <c r="C594" s="29" t="s">
        <v>3942</v>
      </c>
      <c r="D594" s="30" t="s">
        <v>268</v>
      </c>
      <c r="E594" s="31"/>
      <c r="F594" s="32" t="n">
        <v>41</v>
      </c>
      <c r="G594" s="31"/>
      <c r="H594" s="31" t="n">
        <v>1</v>
      </c>
      <c r="I594" s="31" t="s">
        <v>77</v>
      </c>
      <c r="J594" s="29"/>
      <c r="K594" s="29" t="s">
        <v>3943</v>
      </c>
      <c r="L594" s="32" t="n">
        <v>25</v>
      </c>
      <c r="M594" s="33" t="s">
        <v>80</v>
      </c>
      <c r="N594" s="34" t="n">
        <v>92200</v>
      </c>
      <c r="O594" s="35" t="s">
        <v>81</v>
      </c>
      <c r="P594" s="36"/>
      <c r="Q594" s="36" t="n">
        <v>3</v>
      </c>
      <c r="R594" s="32" t="n">
        <v>325</v>
      </c>
      <c r="S594" s="32" t="n">
        <v>2</v>
      </c>
      <c r="T594" s="32"/>
      <c r="U594" s="32"/>
      <c r="V594" s="37"/>
      <c r="W594" s="32"/>
      <c r="X594" s="34"/>
      <c r="Y594" s="34"/>
      <c r="Z594" s="32"/>
      <c r="AA594" s="32" t="s">
        <v>3944</v>
      </c>
      <c r="AB594" s="32"/>
      <c r="AC594" s="38" t="str">
        <f aca="false">HYPERLINK("https://biocodex6--c.vf.force.com/0014L00000KFV8rQAH", "BRISSET MARION")</f>
        <v>BRISSET MARION</v>
      </c>
      <c r="AD594" s="38"/>
      <c r="AE594" s="39"/>
      <c r="AF594" s="40"/>
      <c r="AG594" s="41"/>
      <c r="AH594" s="32"/>
      <c r="AI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XEY594" s="27"/>
      <c r="XEZ594" s="27"/>
      <c r="XFA594" s="27"/>
      <c r="XFB594" s="27"/>
      <c r="XFC594" s="27"/>
      <c r="XFD594" s="27"/>
    </row>
    <row r="595" s="42" customFormat="true" ht="14.15" hidden="false" customHeight="true" outlineLevel="0" collapsed="false">
      <c r="A595" s="28" t="s">
        <v>3945</v>
      </c>
      <c r="B595" s="29" t="s">
        <v>3920</v>
      </c>
      <c r="C595" s="29" t="s">
        <v>3946</v>
      </c>
      <c r="D595" s="30" t="s">
        <v>206</v>
      </c>
      <c r="E595" s="30" t="s">
        <v>776</v>
      </c>
      <c r="F595" s="32" t="n">
        <v>71</v>
      </c>
      <c r="G595" s="31"/>
      <c r="H595" s="31" t="n">
        <v>1</v>
      </c>
      <c r="I595" s="31" t="s">
        <v>572</v>
      </c>
      <c r="J595" s="29"/>
      <c r="K595" s="29" t="s">
        <v>797</v>
      </c>
      <c r="L595" s="32" t="n">
        <v>86</v>
      </c>
      <c r="M595" s="33" t="s">
        <v>798</v>
      </c>
      <c r="N595" s="34" t="n">
        <v>75008</v>
      </c>
      <c r="O595" s="35" t="s">
        <v>55</v>
      </c>
      <c r="P595" s="36" t="s">
        <v>799</v>
      </c>
      <c r="Q595" s="36" t="n">
        <v>3</v>
      </c>
      <c r="R595" s="32" t="n">
        <v>322</v>
      </c>
      <c r="S595" s="32" t="n">
        <v>2</v>
      </c>
      <c r="T595" s="32"/>
      <c r="U595" s="32" t="n">
        <v>3</v>
      </c>
      <c r="V595" s="37"/>
      <c r="W595" s="32" t="n">
        <v>2</v>
      </c>
      <c r="X595" s="34"/>
      <c r="Y595" s="34" t="n">
        <v>2</v>
      </c>
      <c r="Z595" s="36"/>
      <c r="AA595" s="32" t="s">
        <v>3947</v>
      </c>
      <c r="AB595" s="44"/>
      <c r="AC595" s="38" t="str">
        <f aca="false">HYPERLINK("https://biocodex6--c.vf.force.com/0014L00000KFhxOQAT", "COHEN HABABOU MARIE THERESE")</f>
        <v>COHEN HABABOU MARIE THERESE</v>
      </c>
      <c r="AD595" s="38"/>
      <c r="AE595" s="39" t="n">
        <v>45327.4375</v>
      </c>
      <c r="AF595" s="40"/>
      <c r="AG595" s="41"/>
      <c r="AH595" s="32" t="s">
        <v>3469</v>
      </c>
      <c r="AI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XEY595" s="27"/>
      <c r="XEZ595" s="27"/>
      <c r="XFA595" s="27"/>
      <c r="XFB595" s="27"/>
      <c r="XFC595" s="27"/>
      <c r="XFD595" s="27"/>
    </row>
    <row r="596" s="42" customFormat="true" ht="14.15" hidden="false" customHeight="true" outlineLevel="0" collapsed="false">
      <c r="A596" s="28" t="s">
        <v>3948</v>
      </c>
      <c r="B596" s="29" t="s">
        <v>1226</v>
      </c>
      <c r="C596" s="29" t="s">
        <v>3949</v>
      </c>
      <c r="D596" s="30" t="s">
        <v>50</v>
      </c>
      <c r="E596" s="31"/>
      <c r="F596" s="32" t="n">
        <v>75</v>
      </c>
      <c r="G596" s="31" t="s">
        <v>215</v>
      </c>
      <c r="H596" s="31" t="n">
        <v>1</v>
      </c>
      <c r="I596" s="31" t="s">
        <v>387</v>
      </c>
      <c r="J596" s="29"/>
      <c r="K596" s="29" t="s">
        <v>2943</v>
      </c>
      <c r="L596" s="32" t="n">
        <v>2</v>
      </c>
      <c r="M596" s="33" t="s">
        <v>2944</v>
      </c>
      <c r="N596" s="34" t="n">
        <v>75016</v>
      </c>
      <c r="O596" s="35" t="s">
        <v>55</v>
      </c>
      <c r="P596" s="36" t="s">
        <v>2945</v>
      </c>
      <c r="Q596" s="36" t="n">
        <v>2</v>
      </c>
      <c r="R596" s="32" t="n">
        <v>316</v>
      </c>
      <c r="S596" s="32" t="n">
        <v>2</v>
      </c>
      <c r="T596" s="32"/>
      <c r="U596" s="32"/>
      <c r="V596" s="37"/>
      <c r="W596" s="32"/>
      <c r="X596" s="34" t="n">
        <v>1</v>
      </c>
      <c r="Y596" s="34"/>
      <c r="Z596" s="32"/>
      <c r="AA596" s="32" t="s">
        <v>3950</v>
      </c>
      <c r="AB596" s="32" t="s">
        <v>3951</v>
      </c>
      <c r="AC596" s="38" t="str">
        <f aca="false">HYPERLINK("https://biocodex6--c.vf.force.com/0014L00000KFlJiQAL", "LACOSTE JEAN PIERRE")</f>
        <v>LACOSTE JEAN PIERRE</v>
      </c>
      <c r="AD596" s="38" t="str">
        <f aca="false">HYPERLINK("https://annuairesante.ameli.fr/professionnels-de-sante/recherche/fiche-detaillee-B7c1kTE5OTCw.html", "LACOSTE JEAN PIERRE")</f>
        <v>LACOSTE JEAN PIERRE</v>
      </c>
      <c r="AE596" s="39" t="n">
        <v>45279.6875</v>
      </c>
      <c r="AF596" s="40" t="s">
        <v>3952</v>
      </c>
      <c r="AG596" s="41"/>
      <c r="AH596" s="32"/>
      <c r="AI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XEY596" s="27"/>
      <c r="XEZ596" s="27"/>
      <c r="XFA596" s="27"/>
      <c r="XFB596" s="27"/>
      <c r="XFC596" s="27"/>
      <c r="XFD596" s="27"/>
    </row>
    <row r="597" s="42" customFormat="true" ht="14.15" hidden="false" customHeight="true" outlineLevel="0" collapsed="false">
      <c r="A597" s="28" t="s">
        <v>3845</v>
      </c>
      <c r="B597" s="29" t="s">
        <v>2505</v>
      </c>
      <c r="C597" s="29" t="s">
        <v>3953</v>
      </c>
      <c r="D597" s="30" t="s">
        <v>50</v>
      </c>
      <c r="E597" s="31"/>
      <c r="F597" s="32" t="n">
        <v>62</v>
      </c>
      <c r="G597" s="31" t="s">
        <v>98</v>
      </c>
      <c r="H597" s="31" t="n">
        <v>1</v>
      </c>
      <c r="I597" s="31" t="s">
        <v>99</v>
      </c>
      <c r="J597" s="29"/>
      <c r="K597" s="29" t="s">
        <v>3848</v>
      </c>
      <c r="L597" s="32" t="n">
        <v>25</v>
      </c>
      <c r="M597" s="33" t="s">
        <v>3849</v>
      </c>
      <c r="N597" s="34" t="n">
        <v>75015</v>
      </c>
      <c r="O597" s="35" t="s">
        <v>55</v>
      </c>
      <c r="P597" s="36" t="s">
        <v>3850</v>
      </c>
      <c r="Q597" s="36" t="n">
        <v>2</v>
      </c>
      <c r="R597" s="32" t="n">
        <v>312</v>
      </c>
      <c r="S597" s="32" t="n">
        <v>2</v>
      </c>
      <c r="T597" s="32"/>
      <c r="U597" s="32"/>
      <c r="V597" s="37"/>
      <c r="W597" s="32"/>
      <c r="X597" s="34"/>
      <c r="Y597" s="34"/>
      <c r="Z597" s="32"/>
      <c r="AA597" s="32" t="s">
        <v>3954</v>
      </c>
      <c r="AB597" s="32" t="s">
        <v>3955</v>
      </c>
      <c r="AC597" s="38" t="str">
        <f aca="false">HYPERLINK("https://biocodex6--c.vf.force.com/0014L00000KFXNwQAP", "CONSTANTIN FABIENNE")</f>
        <v>CONSTANTIN FABIENNE</v>
      </c>
      <c r="AD597" s="38" t="str">
        <f aca="false">HYPERLINK("https://annuairesante.ameli.fr/professionnels-de-sante/recherche/fiche-detaillee-B7c1lzY0MTa0.html", "CONSTANTIN FABIENNE")</f>
        <v>CONSTANTIN FABIENNE</v>
      </c>
      <c r="AE597" s="39"/>
      <c r="AF597" s="40"/>
      <c r="AG597" s="41"/>
      <c r="AH597" s="32"/>
      <c r="AI597" s="32"/>
      <c r="AL597" s="43" t="s">
        <v>3956</v>
      </c>
      <c r="AM597" s="32"/>
      <c r="AN597" s="43" t="s">
        <v>508</v>
      </c>
      <c r="AO597" s="43" t="s">
        <v>661</v>
      </c>
      <c r="AP597" s="43" t="s">
        <v>3956</v>
      </c>
      <c r="AQ597" s="32"/>
      <c r="AR597" s="43" t="s">
        <v>3957</v>
      </c>
      <c r="AS597" s="43" t="s">
        <v>476</v>
      </c>
      <c r="AT597" s="43" t="s">
        <v>508</v>
      </c>
      <c r="AU597" s="43" t="s">
        <v>661</v>
      </c>
      <c r="XEY597" s="27"/>
      <c r="XEZ597" s="27"/>
      <c r="XFA597" s="27"/>
      <c r="XFB597" s="27"/>
      <c r="XFC597" s="27"/>
      <c r="XFD597" s="27"/>
    </row>
    <row r="598" s="42" customFormat="true" ht="14.15" hidden="false" customHeight="true" outlineLevel="0" collapsed="false">
      <c r="A598" s="28" t="s">
        <v>3958</v>
      </c>
      <c r="B598" s="29" t="s">
        <v>560</v>
      </c>
      <c r="C598" s="29" t="s">
        <v>3959</v>
      </c>
      <c r="D598" s="30" t="s">
        <v>50</v>
      </c>
      <c r="E598" s="30" t="s">
        <v>386</v>
      </c>
      <c r="F598" s="32" t="n">
        <v>63</v>
      </c>
      <c r="G598" s="31" t="s">
        <v>61</v>
      </c>
      <c r="H598" s="31" t="n">
        <v>1</v>
      </c>
      <c r="I598" s="31" t="s">
        <v>77</v>
      </c>
      <c r="J598" s="29"/>
      <c r="K598" s="29" t="s">
        <v>3960</v>
      </c>
      <c r="L598" s="32" t="n">
        <v>10</v>
      </c>
      <c r="M598" s="33" t="s">
        <v>3961</v>
      </c>
      <c r="N598" s="34" t="n">
        <v>92200</v>
      </c>
      <c r="O598" s="35" t="s">
        <v>81</v>
      </c>
      <c r="P598" s="36" t="s">
        <v>3962</v>
      </c>
      <c r="Q598" s="36" t="n">
        <v>1</v>
      </c>
      <c r="R598" s="32" t="n">
        <v>311</v>
      </c>
      <c r="S598" s="32" t="n">
        <v>2</v>
      </c>
      <c r="T598" s="32"/>
      <c r="U598" s="32"/>
      <c r="V598" s="37"/>
      <c r="W598" s="32"/>
      <c r="X598" s="34"/>
      <c r="Y598" s="34"/>
      <c r="Z598" s="36"/>
      <c r="AA598" s="32" t="s">
        <v>3963</v>
      </c>
      <c r="AB598" s="32" t="s">
        <v>3964</v>
      </c>
      <c r="AC598" s="38" t="str">
        <f aca="false">HYPERLINK("https://biocodex6--c.vf.force.com/0014L00000KG62ZQAT", "YEN ELISABETH")</f>
        <v>YEN ELISABETH</v>
      </c>
      <c r="AD598" s="38" t="str">
        <f aca="false">HYPERLINK("https://annuairesante.ameli.fr/professionnels-de-sante/recherche/fiche-detaillee-CbA1kzI1Njqx.html", "YEN ELISABETH")</f>
        <v>YEN ELISABETH</v>
      </c>
      <c r="AE598" s="39"/>
      <c r="AF598" s="40"/>
      <c r="AG598" s="41"/>
      <c r="AH598" s="32" t="s">
        <v>179</v>
      </c>
      <c r="AI598" s="32"/>
      <c r="AL598" s="43" t="s">
        <v>263</v>
      </c>
      <c r="AM598" s="43" t="s">
        <v>137</v>
      </c>
      <c r="AN598" s="43" t="s">
        <v>263</v>
      </c>
      <c r="AO598" s="43" t="s">
        <v>137</v>
      </c>
      <c r="AP598" s="32"/>
      <c r="AQ598" s="32"/>
      <c r="AR598" s="43" t="s">
        <v>263</v>
      </c>
      <c r="AS598" s="43" t="s">
        <v>137</v>
      </c>
      <c r="AT598" s="43" t="s">
        <v>263</v>
      </c>
      <c r="AU598" s="43" t="s">
        <v>137</v>
      </c>
      <c r="XEY598" s="27"/>
      <c r="XEZ598" s="27"/>
      <c r="XFA598" s="27"/>
      <c r="XFB598" s="27"/>
      <c r="XFC598" s="27"/>
      <c r="XFD598" s="27"/>
    </row>
    <row r="599" s="42" customFormat="true" ht="14.15" hidden="false" customHeight="true" outlineLevel="0" collapsed="false">
      <c r="A599" s="28" t="s">
        <v>3965</v>
      </c>
      <c r="B599" s="29" t="s">
        <v>182</v>
      </c>
      <c r="C599" s="29" t="s">
        <v>3966</v>
      </c>
      <c r="D599" s="30" t="s">
        <v>75</v>
      </c>
      <c r="E599" s="31"/>
      <c r="F599" s="32" t="n">
        <v>61</v>
      </c>
      <c r="G599" s="31" t="s">
        <v>215</v>
      </c>
      <c r="H599" s="31" t="n">
        <v>2</v>
      </c>
      <c r="I599" s="31" t="s">
        <v>119</v>
      </c>
      <c r="J599" s="29" t="s">
        <v>2361</v>
      </c>
      <c r="K599" s="29" t="s">
        <v>2362</v>
      </c>
      <c r="L599" s="32" t="n">
        <v>41</v>
      </c>
      <c r="M599" s="33" t="s">
        <v>2363</v>
      </c>
      <c r="N599" s="34" t="n">
        <v>75007</v>
      </c>
      <c r="O599" s="35" t="s">
        <v>55</v>
      </c>
      <c r="P599" s="36" t="s">
        <v>2364</v>
      </c>
      <c r="Q599" s="36" t="n">
        <v>5</v>
      </c>
      <c r="R599" s="32" t="n">
        <v>309</v>
      </c>
      <c r="S599" s="32" t="n">
        <v>2</v>
      </c>
      <c r="T599" s="32"/>
      <c r="U599" s="32"/>
      <c r="V599" s="37"/>
      <c r="W599" s="32"/>
      <c r="X599" s="34" t="n">
        <v>1</v>
      </c>
      <c r="Y599" s="34"/>
      <c r="Z599" s="32"/>
      <c r="AA599" s="32" t="s">
        <v>3967</v>
      </c>
      <c r="AB599" s="32" t="s">
        <v>3968</v>
      </c>
      <c r="AC599" s="38" t="str">
        <f aca="false">HYPERLINK("https://biocodex6--c.vf.force.com/0014L00000KFdLaQAL", "FAYEMENDY LAURENT")</f>
        <v>FAYEMENDY LAURENT</v>
      </c>
      <c r="AD599" s="38" t="str">
        <f aca="false">HYPERLINK("https://annuairesante.ameli.fr/professionnels-de-sante/recherche/fiche-detaillee-B7c1lzozNzey.html", "FAYEMENDY LAURENT")</f>
        <v>FAYEMENDY LAURENT</v>
      </c>
      <c r="AE599" s="39"/>
      <c r="AF599" s="40"/>
      <c r="AG599" s="41"/>
      <c r="AH599" s="32"/>
      <c r="AI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XEY599" s="27"/>
      <c r="XEZ599" s="27"/>
      <c r="XFA599" s="27"/>
      <c r="XFB599" s="27"/>
      <c r="XFC599" s="27"/>
      <c r="XFD599" s="27"/>
    </row>
    <row r="600" s="42" customFormat="true" ht="14.15" hidden="false" customHeight="true" outlineLevel="0" collapsed="false">
      <c r="A600" s="28" t="s">
        <v>3969</v>
      </c>
      <c r="B600" s="29" t="s">
        <v>3970</v>
      </c>
      <c r="C600" s="29" t="s">
        <v>3971</v>
      </c>
      <c r="D600" s="30" t="s">
        <v>244</v>
      </c>
      <c r="E600" s="30" t="s">
        <v>245</v>
      </c>
      <c r="F600" s="32" t="n">
        <v>60</v>
      </c>
      <c r="G600" s="31"/>
      <c r="H600" s="31" t="n">
        <v>2</v>
      </c>
      <c r="I600" s="31" t="s">
        <v>62</v>
      </c>
      <c r="J600" s="29"/>
      <c r="K600" s="29" t="s">
        <v>3972</v>
      </c>
      <c r="L600" s="32" t="n">
        <v>17</v>
      </c>
      <c r="M600" s="33" t="s">
        <v>3973</v>
      </c>
      <c r="N600" s="34" t="n">
        <v>75017</v>
      </c>
      <c r="O600" s="35" t="s">
        <v>55</v>
      </c>
      <c r="P600" s="36" t="s">
        <v>3974</v>
      </c>
      <c r="Q600" s="36" t="n">
        <v>1</v>
      </c>
      <c r="R600" s="32" t="n">
        <v>304</v>
      </c>
      <c r="S600" s="32" t="n">
        <v>2</v>
      </c>
      <c r="T600" s="32"/>
      <c r="U600" s="32"/>
      <c r="V600" s="37" t="n">
        <v>3</v>
      </c>
      <c r="W600" s="32"/>
      <c r="X600" s="34" t="n">
        <v>1</v>
      </c>
      <c r="Y600" s="34"/>
      <c r="Z600" s="32" t="s">
        <v>3975</v>
      </c>
      <c r="AA600" s="32" t="s">
        <v>3976</v>
      </c>
      <c r="AB600" s="32"/>
      <c r="AC600" s="38" t="str">
        <f aca="false">HYPERLINK("https://biocodex6--c.vf.force.com/0014L00000KG6URQA1", "VORONITCHEVA MARGARITA")</f>
        <v>VORONITCHEVA MARGARITA</v>
      </c>
      <c r="AD600" s="38"/>
      <c r="AE600" s="39"/>
      <c r="AF600" s="40"/>
      <c r="AG600" s="41"/>
      <c r="AH600" s="32"/>
      <c r="AI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XEY600" s="27"/>
      <c r="XEZ600" s="27"/>
      <c r="XFA600" s="27"/>
      <c r="XFB600" s="27"/>
      <c r="XFC600" s="27"/>
      <c r="XFD600" s="27"/>
    </row>
    <row r="601" s="42" customFormat="true" ht="14.15" hidden="false" customHeight="true" outlineLevel="0" collapsed="false">
      <c r="A601" s="28" t="s">
        <v>3977</v>
      </c>
      <c r="B601" s="29" t="s">
        <v>3978</v>
      </c>
      <c r="C601" s="29" t="s">
        <v>3979</v>
      </c>
      <c r="D601" s="30" t="s">
        <v>244</v>
      </c>
      <c r="E601" s="30" t="s">
        <v>3980</v>
      </c>
      <c r="F601" s="32" t="n">
        <v>77</v>
      </c>
      <c r="G601" s="31" t="s">
        <v>215</v>
      </c>
      <c r="H601" s="31" t="n">
        <v>2</v>
      </c>
      <c r="I601" s="31" t="s">
        <v>173</v>
      </c>
      <c r="J601" s="29"/>
      <c r="K601" s="29" t="s">
        <v>1636</v>
      </c>
      <c r="L601" s="32" t="n">
        <v>44</v>
      </c>
      <c r="M601" s="33" t="s">
        <v>1637</v>
      </c>
      <c r="N601" s="34" t="n">
        <v>75016</v>
      </c>
      <c r="O601" s="35" t="s">
        <v>55</v>
      </c>
      <c r="P601" s="36" t="s">
        <v>3981</v>
      </c>
      <c r="Q601" s="36" t="n">
        <v>3</v>
      </c>
      <c r="R601" s="32" t="n">
        <v>301</v>
      </c>
      <c r="S601" s="32" t="n">
        <v>2</v>
      </c>
      <c r="T601" s="32"/>
      <c r="U601" s="32" t="n">
        <v>3</v>
      </c>
      <c r="V601" s="37" t="n">
        <v>3</v>
      </c>
      <c r="W601" s="32" t="n">
        <v>4</v>
      </c>
      <c r="X601" s="34" t="n">
        <v>1</v>
      </c>
      <c r="Y601" s="34" t="n">
        <v>3</v>
      </c>
      <c r="Z601" s="32"/>
      <c r="AA601" s="32" t="s">
        <v>3982</v>
      </c>
      <c r="AB601" s="32" t="s">
        <v>3983</v>
      </c>
      <c r="AC601" s="38" t="str">
        <f aca="false">HYPERLINK("https://biocodex6--c.vf.force.com/0014L00000KFrznQAD", "MIMOUN SYLVAIN")</f>
        <v>MIMOUN SYLVAIN</v>
      </c>
      <c r="AD601" s="38" t="str">
        <f aca="false">HYPERLINK("https://annuairesante.ameli.fr/professionnels-de-sante/recherche/fiche-detaillee-B7c1lTI2NDS2.html", "MIMOUN SYLVAIN")</f>
        <v>MIMOUN SYLVAIN</v>
      </c>
      <c r="AE601" s="39" t="n">
        <v>45107.5</v>
      </c>
      <c r="AF601" s="40"/>
      <c r="AG601" s="41"/>
      <c r="AH601" s="32"/>
      <c r="AI601" s="32" t="s">
        <v>71</v>
      </c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XEY601" s="27"/>
      <c r="XEZ601" s="27"/>
      <c r="XFA601" s="27"/>
      <c r="XFB601" s="27"/>
      <c r="XFC601" s="27"/>
      <c r="XFD601" s="27"/>
    </row>
    <row r="602" s="42" customFormat="true" ht="14.15" hidden="false" customHeight="true" outlineLevel="0" collapsed="false">
      <c r="A602" s="28" t="s">
        <v>3984</v>
      </c>
      <c r="B602" s="29" t="s">
        <v>353</v>
      </c>
      <c r="C602" s="29" t="s">
        <v>3985</v>
      </c>
      <c r="D602" s="30" t="s">
        <v>244</v>
      </c>
      <c r="E602" s="30" t="s">
        <v>245</v>
      </c>
      <c r="F602" s="32" t="n">
        <v>76</v>
      </c>
      <c r="G602" s="31" t="s">
        <v>215</v>
      </c>
      <c r="H602" s="31" t="n">
        <v>2</v>
      </c>
      <c r="I602" s="31" t="s">
        <v>435</v>
      </c>
      <c r="J602" s="29" t="s">
        <v>3117</v>
      </c>
      <c r="K602" s="29" t="s">
        <v>3118</v>
      </c>
      <c r="L602" s="32" t="n">
        <v>46</v>
      </c>
      <c r="M602" s="33" t="s">
        <v>1450</v>
      </c>
      <c r="N602" s="34" t="n">
        <v>75016</v>
      </c>
      <c r="O602" s="35" t="s">
        <v>55</v>
      </c>
      <c r="P602" s="36" t="s">
        <v>3119</v>
      </c>
      <c r="Q602" s="36" t="n">
        <v>14</v>
      </c>
      <c r="R602" s="32" t="n">
        <v>299</v>
      </c>
      <c r="S602" s="32" t="n">
        <v>2</v>
      </c>
      <c r="T602" s="32"/>
      <c r="U602" s="32" t="n">
        <v>3</v>
      </c>
      <c r="V602" s="37"/>
      <c r="W602" s="32" t="n">
        <v>3</v>
      </c>
      <c r="X602" s="34"/>
      <c r="Y602" s="34" t="n">
        <v>2</v>
      </c>
      <c r="Z602" s="32"/>
      <c r="AA602" s="32" t="s">
        <v>3986</v>
      </c>
      <c r="AB602" s="32" t="s">
        <v>3987</v>
      </c>
      <c r="AC602" s="38" t="str">
        <f aca="false">HYPERLINK("https://biocodex6--c.vf.force.com/0014L00000KFoKxQAL", "LEVY ALAIN")</f>
        <v>LEVY ALAIN</v>
      </c>
      <c r="AD602" s="38" t="str">
        <f aca="false">HYPERLINK("https://annuairesante.ameli.fr/professionnels-de-sante/recherche/fiche-detaillee-B7c1mjEwNDe2.html", "LEVY ALAIN")</f>
        <v>LEVY ALAIN</v>
      </c>
      <c r="AE602" s="39" t="n">
        <v>45302.4166666667</v>
      </c>
      <c r="AF602" s="40"/>
      <c r="AG602" s="41" t="s">
        <v>69</v>
      </c>
      <c r="AH602" s="32" t="s">
        <v>70</v>
      </c>
      <c r="AI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XEY602" s="27"/>
      <c r="XEZ602" s="27"/>
      <c r="XFA602" s="27"/>
      <c r="XFB602" s="27"/>
      <c r="XFC602" s="27"/>
      <c r="XFD602" s="27"/>
    </row>
    <row r="603" s="42" customFormat="true" ht="14.15" hidden="false" customHeight="true" outlineLevel="0" collapsed="false">
      <c r="A603" s="28" t="s">
        <v>3988</v>
      </c>
      <c r="B603" s="29" t="s">
        <v>3989</v>
      </c>
      <c r="C603" s="29" t="s">
        <v>3990</v>
      </c>
      <c r="D603" s="30" t="s">
        <v>50</v>
      </c>
      <c r="E603" s="31"/>
      <c r="F603" s="32" t="n">
        <v>50</v>
      </c>
      <c r="G603" s="31"/>
      <c r="H603" s="31" t="n">
        <v>2</v>
      </c>
      <c r="I603" s="31" t="s">
        <v>99</v>
      </c>
      <c r="J603" s="29" t="s">
        <v>595</v>
      </c>
      <c r="K603" s="29" t="s">
        <v>596</v>
      </c>
      <c r="L603" s="32" t="n">
        <v>20</v>
      </c>
      <c r="M603" s="33" t="s">
        <v>597</v>
      </c>
      <c r="N603" s="34" t="n">
        <v>75015</v>
      </c>
      <c r="O603" s="35" t="s">
        <v>55</v>
      </c>
      <c r="P603" s="36" t="s">
        <v>3991</v>
      </c>
      <c r="Q603" s="36" t="n">
        <v>90</v>
      </c>
      <c r="R603" s="32" t="n">
        <v>299</v>
      </c>
      <c r="S603" s="32" t="n">
        <v>2</v>
      </c>
      <c r="T603" s="32"/>
      <c r="U603" s="32"/>
      <c r="V603" s="37"/>
      <c r="W603" s="32"/>
      <c r="X603" s="34"/>
      <c r="Y603" s="34"/>
      <c r="Z603" s="32"/>
      <c r="AA603" s="32" t="s">
        <v>3992</v>
      </c>
      <c r="AB603" s="32"/>
      <c r="AC603" s="38" t="str">
        <f aca="false">HYPERLINK("https://biocodex6--c.vf.force.com/0014L00000KFcHIQA1", "GUETUE APPOLINAIRE BLAISE")</f>
        <v>GUETUE APPOLINAIRE BLAISE</v>
      </c>
      <c r="AD603" s="38"/>
      <c r="AE603" s="39"/>
      <c r="AF603" s="40"/>
      <c r="AG603" s="41"/>
      <c r="AH603" s="32"/>
      <c r="AI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XEY603" s="27"/>
      <c r="XEZ603" s="27"/>
      <c r="XFA603" s="27"/>
      <c r="XFB603" s="27"/>
      <c r="XFC603" s="27"/>
      <c r="XFD603" s="27"/>
    </row>
    <row r="604" s="42" customFormat="true" ht="14.15" hidden="false" customHeight="true" outlineLevel="0" collapsed="false">
      <c r="A604" s="28" t="s">
        <v>3993</v>
      </c>
      <c r="B604" s="29" t="s">
        <v>503</v>
      </c>
      <c r="C604" s="29" t="s">
        <v>3994</v>
      </c>
      <c r="D604" s="30" t="s">
        <v>50</v>
      </c>
      <c r="E604" s="30" t="s">
        <v>3995</v>
      </c>
      <c r="F604" s="32" t="n">
        <v>69</v>
      </c>
      <c r="G604" s="31" t="s">
        <v>215</v>
      </c>
      <c r="H604" s="31" t="n">
        <v>1</v>
      </c>
      <c r="I604" s="31" t="s">
        <v>387</v>
      </c>
      <c r="J604" s="29"/>
      <c r="K604" s="29" t="s">
        <v>3996</v>
      </c>
      <c r="L604" s="32" t="n">
        <v>196</v>
      </c>
      <c r="M604" s="33" t="s">
        <v>389</v>
      </c>
      <c r="N604" s="34" t="n">
        <v>75016</v>
      </c>
      <c r="O604" s="35" t="s">
        <v>55</v>
      </c>
      <c r="P604" s="50" t="s">
        <v>3997</v>
      </c>
      <c r="Q604" s="36" t="n">
        <v>1</v>
      </c>
      <c r="R604" s="32" t="n">
        <v>298</v>
      </c>
      <c r="S604" s="32" t="n">
        <v>2</v>
      </c>
      <c r="T604" s="32"/>
      <c r="U604" s="32"/>
      <c r="V604" s="37"/>
      <c r="W604" s="32"/>
      <c r="X604" s="34"/>
      <c r="Y604" s="34"/>
      <c r="Z604" s="32"/>
      <c r="AA604" s="32" t="s">
        <v>3998</v>
      </c>
      <c r="AB604" s="32" t="s">
        <v>3999</v>
      </c>
      <c r="AC604" s="38" t="str">
        <f aca="false">HYPERLINK("https://biocodex6--c.vf.force.com/0014L00000KG3NVQA1", "TOBELEM ROBERT")</f>
        <v>TOBELEM ROBERT</v>
      </c>
      <c r="AD604" s="38" t="str">
        <f aca="false">HYPERLINK("https://annuairesante.ameli.fr/professionnels-de-sante/recherche/fiche-detaillee-B7c1lzIwMzK3.html", "TOBELEM ROBERT")</f>
        <v>TOBELEM ROBERT</v>
      </c>
      <c r="AE604" s="39"/>
      <c r="AF604" s="40"/>
      <c r="AG604" s="41"/>
      <c r="AH604" s="32"/>
      <c r="AI604" s="32" t="s">
        <v>168</v>
      </c>
      <c r="AJ604" s="42" t="s">
        <v>708</v>
      </c>
      <c r="AL604" s="32"/>
      <c r="AM604" s="32"/>
      <c r="AN604" s="43" t="s">
        <v>995</v>
      </c>
      <c r="AO604" s="43" t="s">
        <v>661</v>
      </c>
      <c r="AP604" s="32"/>
      <c r="AQ604" s="32"/>
      <c r="AR604" s="43" t="s">
        <v>995</v>
      </c>
      <c r="AS604" s="43" t="s">
        <v>661</v>
      </c>
      <c r="AT604" s="32"/>
      <c r="AU604" s="32"/>
      <c r="XEY604" s="27"/>
      <c r="XEZ604" s="27"/>
      <c r="XFA604" s="27"/>
      <c r="XFB604" s="27"/>
      <c r="XFC604" s="27"/>
      <c r="XFD604" s="27"/>
    </row>
    <row r="605" s="42" customFormat="true" ht="14.15" hidden="false" customHeight="true" outlineLevel="0" collapsed="false">
      <c r="A605" s="28" t="s">
        <v>1897</v>
      </c>
      <c r="B605" s="29" t="s">
        <v>2987</v>
      </c>
      <c r="C605" s="29" t="s">
        <v>4000</v>
      </c>
      <c r="D605" s="30" t="s">
        <v>75</v>
      </c>
      <c r="E605" s="31"/>
      <c r="F605" s="32" t="n">
        <v>75</v>
      </c>
      <c r="G605" s="31"/>
      <c r="H605" s="31" t="n">
        <v>1</v>
      </c>
      <c r="I605" s="31" t="s">
        <v>119</v>
      </c>
      <c r="J605" s="29" t="s">
        <v>4001</v>
      </c>
      <c r="K605" s="29" t="s">
        <v>4002</v>
      </c>
      <c r="L605" s="32" t="n">
        <v>19</v>
      </c>
      <c r="M605" s="33" t="s">
        <v>4003</v>
      </c>
      <c r="N605" s="34" t="n">
        <v>75007</v>
      </c>
      <c r="O605" s="35" t="s">
        <v>55</v>
      </c>
      <c r="P605" s="36"/>
      <c r="Q605" s="36" t="n">
        <v>5</v>
      </c>
      <c r="R605" s="32" t="n">
        <v>298</v>
      </c>
      <c r="S605" s="32" t="n">
        <v>2</v>
      </c>
      <c r="T605" s="32"/>
      <c r="U605" s="32"/>
      <c r="V605" s="37"/>
      <c r="W605" s="32"/>
      <c r="X605" s="34"/>
      <c r="Y605" s="34"/>
      <c r="Z605" s="36"/>
      <c r="AA605" s="32" t="s">
        <v>4004</v>
      </c>
      <c r="AB605" s="32"/>
      <c r="AC605" s="38" t="str">
        <f aca="false">HYPERLINK("https://biocodex6--c.vf.force.com/0014L00000KFc2YQAT", "DUPONT THIERRY")</f>
        <v>DUPONT THIERRY</v>
      </c>
      <c r="AD605" s="38"/>
      <c r="AE605" s="39"/>
      <c r="AF605" s="40"/>
      <c r="AG605" s="41"/>
      <c r="AH605" s="32" t="s">
        <v>179</v>
      </c>
      <c r="AI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XEY605" s="27"/>
      <c r="XEZ605" s="27"/>
      <c r="XFA605" s="27"/>
      <c r="XFB605" s="27"/>
      <c r="XFC605" s="27"/>
      <c r="XFD605" s="27"/>
    </row>
    <row r="606" s="42" customFormat="true" ht="14.15" hidden="false" customHeight="true" outlineLevel="0" collapsed="false">
      <c r="A606" s="28" t="s">
        <v>4005</v>
      </c>
      <c r="B606" s="29" t="s">
        <v>3281</v>
      </c>
      <c r="C606" s="29" t="s">
        <v>4006</v>
      </c>
      <c r="D606" s="30" t="s">
        <v>50</v>
      </c>
      <c r="E606" s="31"/>
      <c r="F606" s="32" t="n">
        <v>36</v>
      </c>
      <c r="G606" s="31" t="s">
        <v>98</v>
      </c>
      <c r="H606" s="31" t="n">
        <v>1</v>
      </c>
      <c r="I606" s="31" t="s">
        <v>295</v>
      </c>
      <c r="J606" s="29"/>
      <c r="K606" s="29" t="s">
        <v>4007</v>
      </c>
      <c r="L606" s="32" t="n">
        <v>9</v>
      </c>
      <c r="M606" s="33" t="s">
        <v>4008</v>
      </c>
      <c r="N606" s="34" t="n">
        <v>92300</v>
      </c>
      <c r="O606" s="35" t="s">
        <v>298</v>
      </c>
      <c r="P606" s="36" t="s">
        <v>4009</v>
      </c>
      <c r="Q606" s="36" t="n">
        <v>1</v>
      </c>
      <c r="R606" s="32" t="n">
        <v>292</v>
      </c>
      <c r="S606" s="32" t="n">
        <v>2</v>
      </c>
      <c r="T606" s="32"/>
      <c r="U606" s="32"/>
      <c r="V606" s="37"/>
      <c r="W606" s="32"/>
      <c r="X606" s="34"/>
      <c r="Y606" s="34"/>
      <c r="Z606" s="32"/>
      <c r="AA606" s="32" t="s">
        <v>4010</v>
      </c>
      <c r="AB606" s="32" t="s">
        <v>4011</v>
      </c>
      <c r="AC606" s="38" t="str">
        <f aca="false">HYPERLINK("https://biocodex6--c.vf.force.com/0014L00000KGE8eQAH", "SERIE MAXIME")</f>
        <v>SERIE MAXIME</v>
      </c>
      <c r="AD606" s="38" t="str">
        <f aca="false">HYPERLINK("https://annuairesante.ameli.fr/professionnels-de-sante/recherche/fiche-detaillee-CbA1mjE4NzKy.html", "SERIE MAXIME")</f>
        <v>SERIE MAXIME</v>
      </c>
      <c r="AE606" s="39"/>
      <c r="AF606" s="40"/>
      <c r="AG606" s="41"/>
      <c r="AH606" s="32"/>
      <c r="AI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XEY606" s="27"/>
      <c r="XEZ606" s="27"/>
      <c r="XFA606" s="27"/>
      <c r="XFB606" s="27"/>
      <c r="XFC606" s="27"/>
      <c r="XFD606" s="27"/>
    </row>
    <row r="607" s="42" customFormat="true" ht="14.15" hidden="false" customHeight="true" outlineLevel="0" collapsed="false">
      <c r="A607" s="28" t="s">
        <v>4012</v>
      </c>
      <c r="B607" s="29" t="s">
        <v>204</v>
      </c>
      <c r="C607" s="29" t="s">
        <v>4013</v>
      </c>
      <c r="D607" s="30" t="s">
        <v>50</v>
      </c>
      <c r="E607" s="31"/>
      <c r="F607" s="32" t="n">
        <v>55</v>
      </c>
      <c r="G607" s="31" t="s">
        <v>98</v>
      </c>
      <c r="H607" s="31" t="n">
        <v>1</v>
      </c>
      <c r="I607" s="31" t="s">
        <v>295</v>
      </c>
      <c r="J607" s="29"/>
      <c r="K607" s="29" t="s">
        <v>4014</v>
      </c>
      <c r="L607" s="32" t="n">
        <v>72</v>
      </c>
      <c r="M607" s="33" t="s">
        <v>2864</v>
      </c>
      <c r="N607" s="34" t="n">
        <v>92300</v>
      </c>
      <c r="O607" s="35" t="s">
        <v>298</v>
      </c>
      <c r="P607" s="36" t="s">
        <v>4015</v>
      </c>
      <c r="Q607" s="36" t="n">
        <v>4</v>
      </c>
      <c r="R607" s="32" t="n">
        <v>287</v>
      </c>
      <c r="S607" s="32" t="n">
        <v>2</v>
      </c>
      <c r="T607" s="32"/>
      <c r="U607" s="32"/>
      <c r="V607" s="37"/>
      <c r="W607" s="32"/>
      <c r="X607" s="34"/>
      <c r="Y607" s="34"/>
      <c r="Z607" s="36"/>
      <c r="AA607" s="32" t="s">
        <v>4016</v>
      </c>
      <c r="AB607" s="32" t="s">
        <v>4017</v>
      </c>
      <c r="AC607" s="38" t="str">
        <f aca="false">HYPERLINK("https://biocodex6--c.vf.force.com/0014L00000KFyZPQA1", "RENOULT NATHALIE")</f>
        <v>RENOULT NATHALIE</v>
      </c>
      <c r="AD607" s="38" t="str">
        <f aca="false">HYPERLINK("https://annuairesante.ameli.fr/professionnels-de-sante/recherche/fiche-detaillee-CbA1kzQ5MTO6.html", "RENOULT NATHALIE")</f>
        <v>RENOULT NATHALIE</v>
      </c>
      <c r="AE607" s="39" t="n">
        <v>45320.4166666667</v>
      </c>
      <c r="AF607" s="40" t="s">
        <v>4018</v>
      </c>
      <c r="AG607" s="41"/>
      <c r="AH607" s="32" t="s">
        <v>179</v>
      </c>
      <c r="AI607" s="32"/>
      <c r="AL607" s="43" t="s">
        <v>657</v>
      </c>
      <c r="AM607" s="43" t="s">
        <v>137</v>
      </c>
      <c r="AN607" s="43" t="s">
        <v>657</v>
      </c>
      <c r="AO607" s="43" t="s">
        <v>137</v>
      </c>
      <c r="AP607" s="43" t="s">
        <v>657</v>
      </c>
      <c r="AQ607" s="43" t="s">
        <v>137</v>
      </c>
      <c r="AR607" s="43" t="s">
        <v>657</v>
      </c>
      <c r="AS607" s="43" t="s">
        <v>137</v>
      </c>
      <c r="AT607" s="43" t="s">
        <v>657</v>
      </c>
      <c r="AU607" s="43" t="s">
        <v>137</v>
      </c>
      <c r="XEY607" s="27"/>
      <c r="XEZ607" s="27"/>
      <c r="XFA607" s="27"/>
      <c r="XFB607" s="27"/>
      <c r="XFC607" s="27"/>
      <c r="XFD607" s="27"/>
    </row>
    <row r="608" s="42" customFormat="true" ht="14.15" hidden="false" customHeight="true" outlineLevel="0" collapsed="false">
      <c r="A608" s="28" t="s">
        <v>4019</v>
      </c>
      <c r="B608" s="29" t="s">
        <v>3447</v>
      </c>
      <c r="C608" s="29" t="s">
        <v>4020</v>
      </c>
      <c r="D608" s="30" t="s">
        <v>50</v>
      </c>
      <c r="E608" s="30" t="s">
        <v>421</v>
      </c>
      <c r="F608" s="32" t="n">
        <v>60</v>
      </c>
      <c r="G608" s="31" t="s">
        <v>61</v>
      </c>
      <c r="H608" s="31" t="n">
        <v>1</v>
      </c>
      <c r="I608" s="31" t="s">
        <v>387</v>
      </c>
      <c r="J608" s="29"/>
      <c r="K608" s="29" t="s">
        <v>4021</v>
      </c>
      <c r="L608" s="32" t="n">
        <v>6</v>
      </c>
      <c r="M608" s="33" t="s">
        <v>4022</v>
      </c>
      <c r="N608" s="34" t="n">
        <v>75016</v>
      </c>
      <c r="O608" s="35" t="s">
        <v>55</v>
      </c>
      <c r="P608" s="36" t="s">
        <v>4023</v>
      </c>
      <c r="Q608" s="36" t="n">
        <v>1</v>
      </c>
      <c r="R608" s="32" t="n">
        <v>287</v>
      </c>
      <c r="S608" s="32" t="n">
        <v>2</v>
      </c>
      <c r="T608" s="32"/>
      <c r="U608" s="32"/>
      <c r="V608" s="37"/>
      <c r="W608" s="32"/>
      <c r="X608" s="34"/>
      <c r="Y608" s="34"/>
      <c r="Z608" s="36"/>
      <c r="AA608" s="32" t="s">
        <v>4024</v>
      </c>
      <c r="AB608" s="32" t="s">
        <v>4025</v>
      </c>
      <c r="AC608" s="38" t="str">
        <f aca="false">HYPERLINK("https://biocodex6--c.vf.force.com/0014L00000KFVCxQAP", "CADOCHE GUY")</f>
        <v>CADOCHE GUY</v>
      </c>
      <c r="AD608" s="38" t="str">
        <f aca="false">HYPERLINK("https://annuairesante.ameli.fr/professionnels-de-sante/recherche/fiche-detaillee-B7c1lDs1NDa7.html", "CADOCHE GUY")</f>
        <v>CADOCHE GUY</v>
      </c>
      <c r="AE608" s="39"/>
      <c r="AF608" s="40"/>
      <c r="AG608" s="41"/>
      <c r="AH608" s="32" t="s">
        <v>179</v>
      </c>
      <c r="AI608" s="32"/>
      <c r="AL608" s="43" t="s">
        <v>4026</v>
      </c>
      <c r="AM608" s="43" t="s">
        <v>464</v>
      </c>
      <c r="AN608" s="43" t="s">
        <v>4026</v>
      </c>
      <c r="AO608" s="43" t="s">
        <v>464</v>
      </c>
      <c r="AP608" s="43" t="s">
        <v>4026</v>
      </c>
      <c r="AQ608" s="43" t="s">
        <v>464</v>
      </c>
      <c r="AR608" s="43" t="s">
        <v>4026</v>
      </c>
      <c r="AS608" s="43" t="s">
        <v>464</v>
      </c>
      <c r="AT608" s="43" t="s">
        <v>4026</v>
      </c>
      <c r="AU608" s="43" t="s">
        <v>464</v>
      </c>
      <c r="XEY608" s="27"/>
      <c r="XEZ608" s="27"/>
      <c r="XFA608" s="27"/>
      <c r="XFB608" s="27"/>
      <c r="XFC608" s="27"/>
      <c r="XFD608" s="27"/>
    </row>
    <row r="609" s="42" customFormat="true" ht="14.15" hidden="false" customHeight="true" outlineLevel="0" collapsed="false">
      <c r="A609" s="28" t="s">
        <v>1056</v>
      </c>
      <c r="B609" s="29" t="s">
        <v>1777</v>
      </c>
      <c r="C609" s="29" t="s">
        <v>4027</v>
      </c>
      <c r="D609" s="30" t="s">
        <v>50</v>
      </c>
      <c r="E609" s="30" t="s">
        <v>4028</v>
      </c>
      <c r="F609" s="32" t="n">
        <v>58</v>
      </c>
      <c r="G609" s="31" t="s">
        <v>61</v>
      </c>
      <c r="H609" s="31" t="n">
        <v>1</v>
      </c>
      <c r="I609" s="31" t="s">
        <v>119</v>
      </c>
      <c r="J609" s="29"/>
      <c r="K609" s="29" t="s">
        <v>4029</v>
      </c>
      <c r="L609" s="32" t="n">
        <v>1</v>
      </c>
      <c r="M609" s="33" t="s">
        <v>4030</v>
      </c>
      <c r="N609" s="34" t="n">
        <v>75007</v>
      </c>
      <c r="O609" s="35" t="s">
        <v>55</v>
      </c>
      <c r="P609" s="36" t="s">
        <v>4031</v>
      </c>
      <c r="Q609" s="36" t="n">
        <v>4</v>
      </c>
      <c r="R609" s="32" t="n">
        <v>287</v>
      </c>
      <c r="S609" s="32" t="n">
        <v>2</v>
      </c>
      <c r="T609" s="32"/>
      <c r="U609" s="32"/>
      <c r="V609" s="37"/>
      <c r="W609" s="32"/>
      <c r="X609" s="34"/>
      <c r="Y609" s="34" t="n">
        <v>1</v>
      </c>
      <c r="Z609" s="32"/>
      <c r="AA609" s="32" t="s">
        <v>4032</v>
      </c>
      <c r="AB609" s="32" t="s">
        <v>4033</v>
      </c>
      <c r="AC609" s="38" t="str">
        <f aca="false">HYPERLINK("https://biocodex6--c.vf.force.com/0014L00000KG5LpQAL", "VINCENT VALERIE")</f>
        <v>VINCENT VALERIE</v>
      </c>
      <c r="AD609" s="38" t="str">
        <f aca="false">HYPERLINK("https://annuairesante.ameli.fr/professionnels-de-sante/recherche/fiche-detaillee-B7c1lDMwNDG3.html", "VINCENT VALERIE")</f>
        <v>VINCENT VALERIE</v>
      </c>
      <c r="AE609" s="39"/>
      <c r="AF609" s="40"/>
      <c r="AG609" s="41"/>
      <c r="AH609" s="32"/>
      <c r="AI609" s="32"/>
      <c r="AL609" s="43" t="s">
        <v>85</v>
      </c>
      <c r="AM609" s="43" t="s">
        <v>534</v>
      </c>
      <c r="AN609" s="43" t="s">
        <v>639</v>
      </c>
      <c r="AO609" s="43" t="s">
        <v>534</v>
      </c>
      <c r="AP609" s="43" t="s">
        <v>995</v>
      </c>
      <c r="AQ609" s="43" t="s">
        <v>262</v>
      </c>
      <c r="AR609" s="43" t="s">
        <v>85</v>
      </c>
      <c r="AS609" s="43" t="s">
        <v>534</v>
      </c>
      <c r="AT609" s="43" t="s">
        <v>263</v>
      </c>
      <c r="AU609" s="43" t="s">
        <v>1670</v>
      </c>
      <c r="XEY609" s="27"/>
      <c r="XEZ609" s="27"/>
      <c r="XFA609" s="27"/>
      <c r="XFB609" s="27"/>
      <c r="XFC609" s="27"/>
      <c r="XFD609" s="27"/>
    </row>
    <row r="610" s="42" customFormat="true" ht="14.15" hidden="false" customHeight="true" outlineLevel="0" collapsed="false">
      <c r="A610" s="28" t="s">
        <v>4034</v>
      </c>
      <c r="B610" s="29" t="s">
        <v>1143</v>
      </c>
      <c r="C610" s="29" t="s">
        <v>4035</v>
      </c>
      <c r="D610" s="30" t="s">
        <v>244</v>
      </c>
      <c r="E610" s="30" t="s">
        <v>245</v>
      </c>
      <c r="F610" s="32" t="n">
        <v>68</v>
      </c>
      <c r="G610" s="31" t="s">
        <v>215</v>
      </c>
      <c r="H610" s="31" t="n">
        <v>3</v>
      </c>
      <c r="I610" s="31" t="s">
        <v>173</v>
      </c>
      <c r="J610" s="29"/>
      <c r="K610" s="29" t="s">
        <v>3182</v>
      </c>
      <c r="L610" s="32" t="n">
        <v>34</v>
      </c>
      <c r="M610" s="33" t="s">
        <v>3039</v>
      </c>
      <c r="N610" s="34" t="n">
        <v>75016</v>
      </c>
      <c r="O610" s="35" t="s">
        <v>55</v>
      </c>
      <c r="P610" s="36" t="s">
        <v>3119</v>
      </c>
      <c r="Q610" s="36" t="n">
        <v>2</v>
      </c>
      <c r="R610" s="32" t="n">
        <v>280</v>
      </c>
      <c r="S610" s="32" t="n">
        <v>2</v>
      </c>
      <c r="T610" s="32"/>
      <c r="U610" s="32"/>
      <c r="V610" s="37" t="n">
        <v>3</v>
      </c>
      <c r="W610" s="32"/>
      <c r="X610" s="34"/>
      <c r="Y610" s="34"/>
      <c r="Z610" s="32"/>
      <c r="AA610" s="32" t="s">
        <v>4036</v>
      </c>
      <c r="AB610" s="32" t="s">
        <v>4037</v>
      </c>
      <c r="AC610" s="38" t="str">
        <f aca="false">HYPERLINK("https://biocodex6--c.vf.force.com/0014L00000KFldtQAD", "LALAU KERALY MARC")</f>
        <v>LALAU KERALY MARC</v>
      </c>
      <c r="AD610" s="38" t="str">
        <f aca="false">HYPERLINK("https://annuairesante.ameli.fr/professionnels-de-sante/recherche/fiche-detaillee-B7c1lTE2ODKy.html", "LALAU KERALY MARC")</f>
        <v>LALAU KERALY MARC</v>
      </c>
      <c r="AE610" s="39"/>
      <c r="AF610" s="40"/>
      <c r="AG610" s="41"/>
      <c r="AH610" s="32"/>
      <c r="AI610" s="32"/>
      <c r="AL610" s="43" t="s">
        <v>263</v>
      </c>
      <c r="AM610" s="43" t="s">
        <v>137</v>
      </c>
      <c r="AN610" s="43" t="s">
        <v>263</v>
      </c>
      <c r="AO610" s="43" t="s">
        <v>137</v>
      </c>
      <c r="AP610" s="32"/>
      <c r="AQ610" s="43" t="s">
        <v>137</v>
      </c>
      <c r="AR610" s="43" t="s">
        <v>263</v>
      </c>
      <c r="AS610" s="43" t="s">
        <v>262</v>
      </c>
      <c r="AT610" s="43" t="s">
        <v>263</v>
      </c>
      <c r="AU610" s="43" t="s">
        <v>137</v>
      </c>
      <c r="XEY610" s="27"/>
      <c r="XEZ610" s="27"/>
      <c r="XFA610" s="27"/>
      <c r="XFB610" s="27"/>
      <c r="XFC610" s="27"/>
      <c r="XFD610" s="27"/>
    </row>
    <row r="611" s="42" customFormat="true" ht="14.15" hidden="false" customHeight="true" outlineLevel="0" collapsed="false">
      <c r="A611" s="28" t="s">
        <v>4038</v>
      </c>
      <c r="B611" s="29" t="s">
        <v>1736</v>
      </c>
      <c r="C611" s="29" t="s">
        <v>4039</v>
      </c>
      <c r="D611" s="30" t="s">
        <v>50</v>
      </c>
      <c r="E611" s="30" t="s">
        <v>386</v>
      </c>
      <c r="F611" s="32" t="n">
        <v>76</v>
      </c>
      <c r="G611" s="31" t="s">
        <v>345</v>
      </c>
      <c r="H611" s="31" t="n">
        <v>1</v>
      </c>
      <c r="I611" s="31" t="s">
        <v>387</v>
      </c>
      <c r="J611" s="29"/>
      <c r="K611" s="29" t="s">
        <v>4040</v>
      </c>
      <c r="L611" s="32" t="n">
        <v>2</v>
      </c>
      <c r="M611" s="33" t="s">
        <v>4041</v>
      </c>
      <c r="N611" s="34" t="n">
        <v>75016</v>
      </c>
      <c r="O611" s="35" t="s">
        <v>55</v>
      </c>
      <c r="P611" s="36" t="s">
        <v>4042</v>
      </c>
      <c r="Q611" s="36" t="n">
        <v>1</v>
      </c>
      <c r="R611" s="32" t="n">
        <v>278</v>
      </c>
      <c r="S611" s="32" t="n">
        <v>2</v>
      </c>
      <c r="T611" s="32"/>
      <c r="U611" s="32"/>
      <c r="V611" s="37"/>
      <c r="W611" s="32"/>
      <c r="X611" s="34" t="n">
        <v>1</v>
      </c>
      <c r="Y611" s="34"/>
      <c r="Z611" s="36"/>
      <c r="AA611" s="32" t="s">
        <v>4043</v>
      </c>
      <c r="AB611" s="32" t="s">
        <v>4044</v>
      </c>
      <c r="AC611" s="38" t="str">
        <f aca="false">HYPERLINK("https://biocodex6--c.vf.force.com/0014L00000KFbIsQAL", "DOUVIER JEAN PAUL")</f>
        <v>DOUVIER JEAN PAUL</v>
      </c>
      <c r="AD611" s="38" t="str">
        <f aca="false">HYPERLINK("https://annuairesante.ameli.fr/professionnels-de-sante/recherche/fiche-detaillee-B7c1kTIzMDS6.html", "DOUVIER JEAN PAUL")</f>
        <v>DOUVIER JEAN PAUL</v>
      </c>
      <c r="AE611" s="39" t="n">
        <v>45280.6875</v>
      </c>
      <c r="AF611" s="40" t="s">
        <v>4045</v>
      </c>
      <c r="AG611" s="41"/>
      <c r="AH611" s="32" t="s">
        <v>179</v>
      </c>
      <c r="AI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XEY611" s="27"/>
      <c r="XEZ611" s="27"/>
      <c r="XFA611" s="27"/>
      <c r="XFB611" s="27"/>
      <c r="XFC611" s="27"/>
      <c r="XFD611" s="27"/>
    </row>
    <row r="612" s="42" customFormat="true" ht="14.15" hidden="false" customHeight="true" outlineLevel="0" collapsed="false">
      <c r="A612" s="28" t="s">
        <v>4046</v>
      </c>
      <c r="B612" s="29" t="s">
        <v>4047</v>
      </c>
      <c r="C612" s="29" t="s">
        <v>4048</v>
      </c>
      <c r="D612" s="30" t="s">
        <v>50</v>
      </c>
      <c r="E612" s="31"/>
      <c r="F612" s="32" t="n">
        <v>43</v>
      </c>
      <c r="G612" s="31" t="s">
        <v>98</v>
      </c>
      <c r="H612" s="31" t="n">
        <v>1</v>
      </c>
      <c r="I612" s="31" t="s">
        <v>233</v>
      </c>
      <c r="J612" s="29" t="s">
        <v>234</v>
      </c>
      <c r="K612" s="29" t="s">
        <v>235</v>
      </c>
      <c r="L612" s="32" t="n">
        <v>223</v>
      </c>
      <c r="M612" s="33" t="s">
        <v>236</v>
      </c>
      <c r="N612" s="34" t="n">
        <v>75015</v>
      </c>
      <c r="O612" s="35" t="s">
        <v>55</v>
      </c>
      <c r="P612" s="36" t="s">
        <v>2779</v>
      </c>
      <c r="Q612" s="36" t="n">
        <v>7</v>
      </c>
      <c r="R612" s="32" t="n">
        <v>277</v>
      </c>
      <c r="S612" s="32" t="n">
        <v>2</v>
      </c>
      <c r="T612" s="32"/>
      <c r="U612" s="32"/>
      <c r="V612" s="37"/>
      <c r="W612" s="32"/>
      <c r="X612" s="34"/>
      <c r="Y612" s="34"/>
      <c r="Z612" s="32"/>
      <c r="AA612" s="32" t="s">
        <v>4049</v>
      </c>
      <c r="AB612" s="32" t="s">
        <v>4050</v>
      </c>
      <c r="AC612" s="38" t="str">
        <f aca="false">HYPERLINK("https://biocodex6--c.vf.force.com/0014L00000KFQYIQA5", "ETIENNE ANAHI LAURE")</f>
        <v>ETIENNE ANAHI LAURE</v>
      </c>
      <c r="AD612" s="38" t="str">
        <f aca="false">HYPERLINK("https://annuairesante.ameli.fr/professionnels-de-sante/recherche/fiche-detaillee-B7c1mzYwMjK2.html", "ETIENNE ANAHI LAURE")</f>
        <v>ETIENNE ANAHI LAURE</v>
      </c>
      <c r="AE612" s="39"/>
      <c r="AF612" s="40"/>
      <c r="AG612" s="41"/>
      <c r="AH612" s="32"/>
      <c r="AI612" s="32"/>
      <c r="AL612" s="43" t="s">
        <v>4051</v>
      </c>
      <c r="AM612" s="43" t="s">
        <v>4052</v>
      </c>
      <c r="AN612" s="43" t="s">
        <v>4051</v>
      </c>
      <c r="AO612" s="43" t="s">
        <v>4052</v>
      </c>
      <c r="AP612" s="32"/>
      <c r="AQ612" s="43" t="s">
        <v>4053</v>
      </c>
      <c r="AR612" s="43" t="s">
        <v>4054</v>
      </c>
      <c r="AS612" s="43" t="s">
        <v>4052</v>
      </c>
      <c r="AT612" s="43" t="s">
        <v>4051</v>
      </c>
      <c r="AU612" s="43" t="s">
        <v>4052</v>
      </c>
      <c r="XEY612" s="27"/>
      <c r="XEZ612" s="27"/>
      <c r="XFA612" s="27"/>
      <c r="XFB612" s="27"/>
      <c r="XFC612" s="27"/>
      <c r="XFD612" s="27"/>
    </row>
    <row r="613" s="42" customFormat="true" ht="14.15" hidden="false" customHeight="true" outlineLevel="0" collapsed="false">
      <c r="A613" s="28" t="s">
        <v>4055</v>
      </c>
      <c r="B613" s="29" t="s">
        <v>204</v>
      </c>
      <c r="C613" s="29" t="s">
        <v>4056</v>
      </c>
      <c r="D613" s="30" t="s">
        <v>75</v>
      </c>
      <c r="E613" s="30" t="s">
        <v>890</v>
      </c>
      <c r="F613" s="32" t="n">
        <v>54</v>
      </c>
      <c r="G613" s="31"/>
      <c r="H613" s="31" t="n">
        <v>4</v>
      </c>
      <c r="I613" s="31" t="s">
        <v>295</v>
      </c>
      <c r="J613" s="29" t="s">
        <v>489</v>
      </c>
      <c r="K613" s="29" t="s">
        <v>1183</v>
      </c>
      <c r="L613" s="32" t="n">
        <v>4</v>
      </c>
      <c r="M613" s="33" t="s">
        <v>297</v>
      </c>
      <c r="N613" s="34" t="n">
        <v>92300</v>
      </c>
      <c r="O613" s="35" t="s">
        <v>298</v>
      </c>
      <c r="P613" s="36" t="s">
        <v>4057</v>
      </c>
      <c r="Q613" s="36" t="n">
        <v>27</v>
      </c>
      <c r="R613" s="32" t="n">
        <v>275</v>
      </c>
      <c r="S613" s="32" t="n">
        <v>2</v>
      </c>
      <c r="T613" s="32"/>
      <c r="U613" s="32"/>
      <c r="V613" s="37"/>
      <c r="W613" s="32"/>
      <c r="X613" s="34"/>
      <c r="Y613" s="34"/>
      <c r="Z613" s="32"/>
      <c r="AA613" s="32" t="s">
        <v>4058</v>
      </c>
      <c r="AB613" s="32"/>
      <c r="AC613" s="38" t="str">
        <f aca="false">HYPERLINK("https://biocodex6--c.vf.force.com/0014L00000KFregQAD", "MASSOT LEGEAY NATHALIE")</f>
        <v>MASSOT LEGEAY NATHALIE</v>
      </c>
      <c r="AD613" s="38"/>
      <c r="AE613" s="39"/>
      <c r="AF613" s="40"/>
      <c r="AG613" s="41"/>
      <c r="AH613" s="32"/>
      <c r="AI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XEY613" s="27"/>
      <c r="XEZ613" s="27"/>
      <c r="XFA613" s="27"/>
      <c r="XFB613" s="27"/>
      <c r="XFC613" s="27"/>
      <c r="XFD613" s="27"/>
    </row>
    <row r="614" s="42" customFormat="true" ht="14.15" hidden="false" customHeight="true" outlineLevel="0" collapsed="false">
      <c r="A614" s="28" t="s">
        <v>4059</v>
      </c>
      <c r="B614" s="29" t="s">
        <v>931</v>
      </c>
      <c r="C614" s="29" t="s">
        <v>4060</v>
      </c>
      <c r="D614" s="30" t="s">
        <v>244</v>
      </c>
      <c r="E614" s="30" t="s">
        <v>245</v>
      </c>
      <c r="F614" s="32" t="n">
        <v>42</v>
      </c>
      <c r="G614" s="31" t="s">
        <v>215</v>
      </c>
      <c r="H614" s="31" t="n">
        <v>1</v>
      </c>
      <c r="I614" s="31" t="s">
        <v>62</v>
      </c>
      <c r="J614" s="29" t="s">
        <v>3407</v>
      </c>
      <c r="K614" s="29" t="s">
        <v>3408</v>
      </c>
      <c r="L614" s="32" t="n">
        <v>9</v>
      </c>
      <c r="M614" s="33" t="s">
        <v>757</v>
      </c>
      <c r="N614" s="34" t="n">
        <v>75017</v>
      </c>
      <c r="O614" s="35" t="s">
        <v>55</v>
      </c>
      <c r="P614" s="36" t="s">
        <v>4061</v>
      </c>
      <c r="Q614" s="36" t="n">
        <v>5</v>
      </c>
      <c r="R614" s="32" t="n">
        <v>272</v>
      </c>
      <c r="S614" s="32" t="n">
        <v>2</v>
      </c>
      <c r="T614" s="32"/>
      <c r="U614" s="32" t="n">
        <v>3</v>
      </c>
      <c r="V614" s="37" t="n">
        <v>3</v>
      </c>
      <c r="W614" s="32" t="n">
        <v>3</v>
      </c>
      <c r="X614" s="34"/>
      <c r="Y614" s="34" t="n">
        <v>1</v>
      </c>
      <c r="Z614" s="32" t="s">
        <v>4062</v>
      </c>
      <c r="AA614" s="32" t="s">
        <v>4063</v>
      </c>
      <c r="AB614" s="32" t="s">
        <v>4064</v>
      </c>
      <c r="AC614" s="38" t="str">
        <f aca="false">HYPERLINK("https://biocodex6--c.vf.force.com/0014L00000KFfU3QAL", "CHATEL PAUL")</f>
        <v>CHATEL PAUL</v>
      </c>
      <c r="AD614" s="38" t="str">
        <f aca="false">HYPERLINK("https://annuairesante.ameli.fr/professionnels-de-sante/recherche/fiche-detaillee-B7c1kjczNzOx.html", "CHATEL PAUL")</f>
        <v>CHATEL PAUL</v>
      </c>
      <c r="AE614" s="39" t="n">
        <v>45363.5625</v>
      </c>
      <c r="AF614" s="40" t="s">
        <v>4065</v>
      </c>
      <c r="AG614" s="41"/>
      <c r="AH614" s="32"/>
      <c r="AI614" s="32" t="s">
        <v>106</v>
      </c>
      <c r="AL614" s="43" t="s">
        <v>1065</v>
      </c>
      <c r="AM614" s="32"/>
      <c r="AN614" s="43" t="s">
        <v>1065</v>
      </c>
      <c r="AO614" s="32"/>
      <c r="AP614" s="32"/>
      <c r="AQ614" s="32"/>
      <c r="AR614" s="32"/>
      <c r="AS614" s="43" t="s">
        <v>137</v>
      </c>
      <c r="AT614" s="32"/>
      <c r="AU614" s="43" t="s">
        <v>137</v>
      </c>
      <c r="XEY614" s="27"/>
      <c r="XEZ614" s="27"/>
      <c r="XFA614" s="27"/>
      <c r="XFB614" s="27"/>
      <c r="XFC614" s="27"/>
      <c r="XFD614" s="27"/>
    </row>
    <row r="615" s="42" customFormat="true" ht="14.15" hidden="false" customHeight="true" outlineLevel="0" collapsed="false">
      <c r="A615" s="28" t="s">
        <v>4066</v>
      </c>
      <c r="B615" s="29" t="s">
        <v>632</v>
      </c>
      <c r="C615" s="29" t="s">
        <v>4067</v>
      </c>
      <c r="D615" s="30" t="s">
        <v>75</v>
      </c>
      <c r="E615" s="30" t="s">
        <v>76</v>
      </c>
      <c r="F615" s="32" t="n">
        <v>62</v>
      </c>
      <c r="G615" s="31" t="s">
        <v>215</v>
      </c>
      <c r="H615" s="31" t="n">
        <v>1</v>
      </c>
      <c r="I615" s="31" t="s">
        <v>119</v>
      </c>
      <c r="J615" s="29"/>
      <c r="K615" s="29" t="s">
        <v>4068</v>
      </c>
      <c r="L615" s="32" t="n">
        <v>45</v>
      </c>
      <c r="M615" s="33" t="s">
        <v>1576</v>
      </c>
      <c r="N615" s="34" t="n">
        <v>75007</v>
      </c>
      <c r="O615" s="35" t="s">
        <v>55</v>
      </c>
      <c r="P615" s="36" t="s">
        <v>4069</v>
      </c>
      <c r="Q615" s="36" t="n">
        <v>1</v>
      </c>
      <c r="R615" s="32" t="n">
        <v>271</v>
      </c>
      <c r="S615" s="32" t="n">
        <v>2</v>
      </c>
      <c r="T615" s="32"/>
      <c r="U615" s="32" t="n">
        <v>3</v>
      </c>
      <c r="V615" s="37"/>
      <c r="W615" s="32" t="n">
        <v>3</v>
      </c>
      <c r="X615" s="34"/>
      <c r="Y615" s="34" t="n">
        <v>2</v>
      </c>
      <c r="Z615" s="32"/>
      <c r="AA615" s="32" t="s">
        <v>4070</v>
      </c>
      <c r="AB615" s="32" t="s">
        <v>4071</v>
      </c>
      <c r="AC615" s="38" t="str">
        <f aca="false">HYPERLINK("https://biocodex6--c.vf.force.com/0014L00000KFcyoQAD", "CLAVERO FABRI MARIE CHRISTINE")</f>
        <v>CLAVERO FABRI MARIE CHRISTINE</v>
      </c>
      <c r="AD615" s="38" t="str">
        <f aca="false">HYPERLINK("https://annuairesante.ameli.fr/professionnels-de-sante/recherche/fiche-detaillee-B7c1mjMzMzK0.html", "CLAVERO FABRI MARIE CHRISTINE")</f>
        <v>CLAVERO FABRI MARIE CHRISTINE</v>
      </c>
      <c r="AE615" s="39"/>
      <c r="AF615" s="40"/>
      <c r="AG615" s="41"/>
      <c r="AH615" s="32"/>
      <c r="AI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XEY615" s="27"/>
      <c r="XEZ615" s="27"/>
      <c r="XFA615" s="27"/>
      <c r="XFB615" s="27"/>
      <c r="XFC615" s="27"/>
      <c r="XFD615" s="27"/>
    </row>
    <row r="616" s="42" customFormat="true" ht="14.15" hidden="false" customHeight="true" outlineLevel="0" collapsed="false">
      <c r="A616" s="28" t="s">
        <v>4072</v>
      </c>
      <c r="B616" s="29" t="s">
        <v>4073</v>
      </c>
      <c r="C616" s="29" t="s">
        <v>4074</v>
      </c>
      <c r="D616" s="30" t="s">
        <v>50</v>
      </c>
      <c r="E616" s="30" t="s">
        <v>4075</v>
      </c>
      <c r="F616" s="32" t="n">
        <v>64</v>
      </c>
      <c r="G616" s="31"/>
      <c r="H616" s="31" t="n">
        <v>1</v>
      </c>
      <c r="I616" s="31" t="s">
        <v>572</v>
      </c>
      <c r="J616" s="29"/>
      <c r="K616" s="29" t="s">
        <v>4076</v>
      </c>
      <c r="L616" s="32" t="n">
        <v>5</v>
      </c>
      <c r="M616" s="33" t="s">
        <v>4077</v>
      </c>
      <c r="N616" s="34" t="n">
        <v>75008</v>
      </c>
      <c r="O616" s="35" t="s">
        <v>55</v>
      </c>
      <c r="P616" s="36" t="s">
        <v>4078</v>
      </c>
      <c r="Q616" s="36" t="n">
        <v>1</v>
      </c>
      <c r="R616" s="32" t="n">
        <v>271</v>
      </c>
      <c r="S616" s="32" t="n">
        <v>2</v>
      </c>
      <c r="T616" s="32"/>
      <c r="U616" s="32"/>
      <c r="V616" s="37"/>
      <c r="W616" s="32"/>
      <c r="X616" s="34"/>
      <c r="Y616" s="34"/>
      <c r="Z616" s="32"/>
      <c r="AA616" s="32" t="s">
        <v>4079</v>
      </c>
      <c r="AB616" s="32"/>
      <c r="AC616" s="38" t="str">
        <f aca="false">HYPERLINK("https://biocodex6--c.vf.force.com/0014L00000KFvu3QAD", "PICARD PAIX ODILE")</f>
        <v>PICARD PAIX ODILE</v>
      </c>
      <c r="AD616" s="38"/>
      <c r="AE616" s="39"/>
      <c r="AF616" s="40"/>
      <c r="AG616" s="41"/>
      <c r="AH616" s="32"/>
      <c r="AI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XEY616" s="27"/>
      <c r="XEZ616" s="27"/>
      <c r="XFA616" s="27"/>
      <c r="XFB616" s="27"/>
      <c r="XFC616" s="27"/>
      <c r="XFD616" s="27"/>
    </row>
    <row r="617" s="42" customFormat="true" ht="14.15" hidden="false" customHeight="true" outlineLevel="0" collapsed="false">
      <c r="A617" s="28" t="s">
        <v>4080</v>
      </c>
      <c r="B617" s="29" t="s">
        <v>4081</v>
      </c>
      <c r="C617" s="29" t="s">
        <v>4082</v>
      </c>
      <c r="D617" s="30" t="s">
        <v>50</v>
      </c>
      <c r="E617" s="30" t="s">
        <v>421</v>
      </c>
      <c r="F617" s="32" t="n">
        <v>66</v>
      </c>
      <c r="G617" s="31"/>
      <c r="H617" s="31" t="n">
        <v>1</v>
      </c>
      <c r="I617" s="31" t="s">
        <v>572</v>
      </c>
      <c r="J617" s="29"/>
      <c r="K617" s="29" t="s">
        <v>4083</v>
      </c>
      <c r="L617" s="32" t="n">
        <v>14</v>
      </c>
      <c r="M617" s="33" t="s">
        <v>4084</v>
      </c>
      <c r="N617" s="34" t="n">
        <v>75008</v>
      </c>
      <c r="O617" s="35" t="s">
        <v>55</v>
      </c>
      <c r="P617" s="36" t="s">
        <v>4085</v>
      </c>
      <c r="Q617" s="36" t="n">
        <v>1</v>
      </c>
      <c r="R617" s="32" t="n">
        <v>269</v>
      </c>
      <c r="S617" s="32" t="n">
        <v>2</v>
      </c>
      <c r="T617" s="32"/>
      <c r="U617" s="32"/>
      <c r="V617" s="37"/>
      <c r="W617" s="32"/>
      <c r="X617" s="34"/>
      <c r="Y617" s="34"/>
      <c r="Z617" s="32"/>
      <c r="AA617" s="32" t="s">
        <v>4086</v>
      </c>
      <c r="AB617" s="32"/>
      <c r="AC617" s="38" t="str">
        <f aca="false">HYPERLINK("https://biocodex6--c.vf.force.com/0014L00000KFvpyQAD", "PHAM THI THOI NGUYET")</f>
        <v>PHAM THI THOI NGUYET</v>
      </c>
      <c r="AD617" s="38"/>
      <c r="AE617" s="39"/>
      <c r="AF617" s="40"/>
      <c r="AG617" s="41"/>
      <c r="AH617" s="32"/>
      <c r="AI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XEY617" s="27"/>
      <c r="XEZ617" s="27"/>
      <c r="XFA617" s="27"/>
      <c r="XFB617" s="27"/>
      <c r="XFC617" s="27"/>
      <c r="XFD617" s="27"/>
    </row>
    <row r="618" s="42" customFormat="true" ht="14.15" hidden="false" customHeight="true" outlineLevel="0" collapsed="false">
      <c r="A618" s="28" t="s">
        <v>4087</v>
      </c>
      <c r="B618" s="29" t="s">
        <v>4088</v>
      </c>
      <c r="C618" s="29" t="s">
        <v>4089</v>
      </c>
      <c r="D618" s="30" t="s">
        <v>50</v>
      </c>
      <c r="E618" s="31"/>
      <c r="F618" s="32" t="n">
        <v>62</v>
      </c>
      <c r="G618" s="31" t="s">
        <v>98</v>
      </c>
      <c r="H618" s="31" t="n">
        <v>1</v>
      </c>
      <c r="I618" s="31" t="s">
        <v>233</v>
      </c>
      <c r="J618" s="29"/>
      <c r="K618" s="29" t="s">
        <v>4090</v>
      </c>
      <c r="L618" s="32" t="n">
        <v>13</v>
      </c>
      <c r="M618" s="33" t="s">
        <v>4091</v>
      </c>
      <c r="N618" s="34" t="n">
        <v>75015</v>
      </c>
      <c r="O618" s="35" t="s">
        <v>55</v>
      </c>
      <c r="P618" s="36" t="s">
        <v>4092</v>
      </c>
      <c r="Q618" s="36" t="n">
        <v>1</v>
      </c>
      <c r="R618" s="32" t="n">
        <v>269</v>
      </c>
      <c r="S618" s="32" t="n">
        <v>2</v>
      </c>
      <c r="T618" s="32"/>
      <c r="U618" s="32"/>
      <c r="V618" s="37"/>
      <c r="W618" s="32"/>
      <c r="X618" s="34"/>
      <c r="Y618" s="34"/>
      <c r="Z618" s="36"/>
      <c r="AA618" s="32" t="s">
        <v>4093</v>
      </c>
      <c r="AB618" s="32" t="s">
        <v>4094</v>
      </c>
      <c r="AC618" s="38" t="str">
        <f aca="false">HYPERLINK("https://biocodex6--c.vf.force.com/0014L00000KFXCEQA5", "COLIN DE VERDIERE ARMELLE")</f>
        <v>COLIN DE VERDIERE ARMELLE</v>
      </c>
      <c r="AD618" s="38" t="str">
        <f aca="false">HYPERLINK("https://annuairesante.ameli.fr/professionnels-de-sante/recherche/fiche-detaillee-B7c1lzU4NzS2.html", "COLIN DE VERDIERE ARMELLE")</f>
        <v>COLIN DE VERDIERE ARMELLE</v>
      </c>
      <c r="AE618" s="39"/>
      <c r="AF618" s="40"/>
      <c r="AG618" s="41"/>
      <c r="AH618" s="32" t="s">
        <v>179</v>
      </c>
      <c r="AI618" s="32"/>
      <c r="AL618" s="43" t="s">
        <v>657</v>
      </c>
      <c r="AM618" s="43" t="s">
        <v>137</v>
      </c>
      <c r="AN618" s="43" t="s">
        <v>657</v>
      </c>
      <c r="AO618" s="43" t="s">
        <v>137</v>
      </c>
      <c r="AP618" s="43" t="s">
        <v>657</v>
      </c>
      <c r="AQ618" s="43" t="s">
        <v>137</v>
      </c>
      <c r="AR618" s="43" t="s">
        <v>657</v>
      </c>
      <c r="AS618" s="43" t="s">
        <v>137</v>
      </c>
      <c r="AT618" s="43" t="s">
        <v>657</v>
      </c>
      <c r="AU618" s="43" t="s">
        <v>137</v>
      </c>
      <c r="XEY618" s="27"/>
      <c r="XEZ618" s="27"/>
      <c r="XFA618" s="27"/>
      <c r="XFB618" s="27"/>
      <c r="XFC618" s="27"/>
      <c r="XFD618" s="27"/>
    </row>
    <row r="619" s="42" customFormat="true" ht="14.15" hidden="false" customHeight="true" outlineLevel="0" collapsed="false">
      <c r="A619" s="28" t="s">
        <v>4095</v>
      </c>
      <c r="B619" s="29" t="s">
        <v>4096</v>
      </c>
      <c r="C619" s="29" t="s">
        <v>4097</v>
      </c>
      <c r="D619" s="30" t="s">
        <v>50</v>
      </c>
      <c r="E619" s="31"/>
      <c r="F619" s="32" t="n">
        <v>36</v>
      </c>
      <c r="G619" s="31" t="s">
        <v>98</v>
      </c>
      <c r="H619" s="31" t="n">
        <v>2</v>
      </c>
      <c r="I619" s="31" t="s">
        <v>62</v>
      </c>
      <c r="J619" s="29"/>
      <c r="K619" s="29" t="s">
        <v>4098</v>
      </c>
      <c r="L619" s="32" t="n">
        <v>172</v>
      </c>
      <c r="M619" s="33" t="s">
        <v>1138</v>
      </c>
      <c r="N619" s="34" t="n">
        <v>75017</v>
      </c>
      <c r="O619" s="35" t="s">
        <v>55</v>
      </c>
      <c r="P619" s="36" t="s">
        <v>4099</v>
      </c>
      <c r="Q619" s="36" t="n">
        <v>1</v>
      </c>
      <c r="R619" s="32" t="n">
        <v>263</v>
      </c>
      <c r="S619" s="32" t="n">
        <v>2</v>
      </c>
      <c r="T619" s="32"/>
      <c r="U619" s="32"/>
      <c r="V619" s="37"/>
      <c r="W619" s="32"/>
      <c r="X619" s="34"/>
      <c r="Y619" s="34"/>
      <c r="Z619" s="32"/>
      <c r="AA619" s="32" t="s">
        <v>4100</v>
      </c>
      <c r="AB619" s="32" t="s">
        <v>4101</v>
      </c>
      <c r="AC619" s="38" t="str">
        <f aca="false">HYPERLINK("https://biocodex6--c.vf.force.com/0014L00000KGC2VQAX", "BLOCH MARGOT")</f>
        <v>BLOCH MARGOT</v>
      </c>
      <c r="AD619" s="38" t="str">
        <f aca="false">HYPERLINK("https://annuairesante.ameli.fr/professionnels-de-sante/recherche/fiche-detaillee-B7c1kzA3Nzu6.html", "BLOCH MARGOT")</f>
        <v>BLOCH MARGOT</v>
      </c>
      <c r="AE619" s="39"/>
      <c r="AF619" s="40"/>
      <c r="AG619" s="41"/>
      <c r="AH619" s="32"/>
      <c r="AI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XEY619" s="27"/>
      <c r="XEZ619" s="27"/>
      <c r="XFA619" s="27"/>
      <c r="XFB619" s="27"/>
      <c r="XFC619" s="27"/>
      <c r="XFD619" s="27"/>
    </row>
    <row r="620" s="42" customFormat="true" ht="14.15" hidden="false" customHeight="true" outlineLevel="0" collapsed="false">
      <c r="A620" s="28" t="s">
        <v>4102</v>
      </c>
      <c r="B620" s="29" t="s">
        <v>2329</v>
      </c>
      <c r="C620" s="29" t="s">
        <v>4103</v>
      </c>
      <c r="D620" s="30" t="s">
        <v>50</v>
      </c>
      <c r="E620" s="31"/>
      <c r="F620" s="32" t="n">
        <v>45</v>
      </c>
      <c r="G620" s="31" t="s">
        <v>98</v>
      </c>
      <c r="H620" s="31" t="n">
        <v>1</v>
      </c>
      <c r="I620" s="31" t="s">
        <v>197</v>
      </c>
      <c r="J620" s="29"/>
      <c r="K620" s="29" t="s">
        <v>346</v>
      </c>
      <c r="L620" s="32" t="n">
        <v>76</v>
      </c>
      <c r="M620" s="33" t="s">
        <v>347</v>
      </c>
      <c r="N620" s="34" t="n">
        <v>75017</v>
      </c>
      <c r="O620" s="35" t="s">
        <v>55</v>
      </c>
      <c r="P620" s="36" t="s">
        <v>4104</v>
      </c>
      <c r="Q620" s="36" t="n">
        <v>4</v>
      </c>
      <c r="R620" s="32" t="n">
        <v>261</v>
      </c>
      <c r="S620" s="32" t="n">
        <v>2</v>
      </c>
      <c r="T620" s="32"/>
      <c r="U620" s="32"/>
      <c r="V620" s="37"/>
      <c r="W620" s="32"/>
      <c r="X620" s="34"/>
      <c r="Y620" s="34"/>
      <c r="Z620" s="32"/>
      <c r="AA620" s="32" t="s">
        <v>4105</v>
      </c>
      <c r="AB620" s="32" t="s">
        <v>4106</v>
      </c>
      <c r="AC620" s="38" t="str">
        <f aca="false">HYPERLINK("https://biocodex6--c.vf.force.com/0014L00000KFXp1QAH", "DAHAN WILLIAM")</f>
        <v>DAHAN WILLIAM</v>
      </c>
      <c r="AD620" s="38" t="str">
        <f aca="false">HYPERLINK("https://annuairesante.ameli.fr/professionnels-de-sante/recherche/fiche-detaillee-B7c1mzA4ODSy.html", "DAHAN WILLIAM")</f>
        <v>DAHAN WILLIAM</v>
      </c>
      <c r="AE620" s="39"/>
      <c r="AF620" s="40"/>
      <c r="AG620" s="41"/>
      <c r="AH620" s="32"/>
      <c r="AI620" s="32"/>
      <c r="AL620" s="43" t="s">
        <v>657</v>
      </c>
      <c r="AM620" s="43" t="s">
        <v>661</v>
      </c>
      <c r="AN620" s="43" t="s">
        <v>657</v>
      </c>
      <c r="AO620" s="43" t="s">
        <v>661</v>
      </c>
      <c r="AP620" s="43" t="s">
        <v>657</v>
      </c>
      <c r="AQ620" s="32"/>
      <c r="AR620" s="43" t="s">
        <v>657</v>
      </c>
      <c r="AS620" s="43" t="s">
        <v>661</v>
      </c>
      <c r="AT620" s="43" t="s">
        <v>338</v>
      </c>
      <c r="AU620" s="32"/>
      <c r="XEY620" s="27"/>
      <c r="XEZ620" s="27"/>
      <c r="XFA620" s="27"/>
      <c r="XFB620" s="27"/>
      <c r="XFC620" s="27"/>
      <c r="XFD620" s="27"/>
    </row>
    <row r="621" s="42" customFormat="true" ht="14.15" hidden="false" customHeight="true" outlineLevel="0" collapsed="false">
      <c r="A621" s="28" t="s">
        <v>4107</v>
      </c>
      <c r="B621" s="29" t="s">
        <v>4108</v>
      </c>
      <c r="C621" s="29" t="s">
        <v>4109</v>
      </c>
      <c r="D621" s="30" t="s">
        <v>50</v>
      </c>
      <c r="E621" s="31"/>
      <c r="F621" s="32" t="n">
        <v>45</v>
      </c>
      <c r="G621" s="31"/>
      <c r="H621" s="31" t="n">
        <v>1</v>
      </c>
      <c r="I621" s="31" t="s">
        <v>295</v>
      </c>
      <c r="J621" s="29" t="s">
        <v>489</v>
      </c>
      <c r="K621" s="29" t="s">
        <v>1183</v>
      </c>
      <c r="L621" s="32" t="n">
        <v>4</v>
      </c>
      <c r="M621" s="33" t="s">
        <v>297</v>
      </c>
      <c r="N621" s="34" t="n">
        <v>92300</v>
      </c>
      <c r="O621" s="35" t="s">
        <v>298</v>
      </c>
      <c r="P621" s="36" t="s">
        <v>1184</v>
      </c>
      <c r="Q621" s="36" t="n">
        <v>27</v>
      </c>
      <c r="R621" s="32" t="n">
        <v>258</v>
      </c>
      <c r="S621" s="32" t="n">
        <v>2</v>
      </c>
      <c r="T621" s="32"/>
      <c r="U621" s="32"/>
      <c r="V621" s="37"/>
      <c r="W621" s="32"/>
      <c r="X621" s="34"/>
      <c r="Y621" s="34"/>
      <c r="Z621" s="32"/>
      <c r="AA621" s="32" t="s">
        <v>4110</v>
      </c>
      <c r="AB621" s="32"/>
      <c r="AC621" s="38" t="str">
        <f aca="false">HYPERLINK("https://biocodex6--c.vf.force.com/0014L00000KG767QAD", "ZONGO DRISSA")</f>
        <v>ZONGO DRISSA</v>
      </c>
      <c r="AD621" s="38"/>
      <c r="AE621" s="39"/>
      <c r="AF621" s="40"/>
      <c r="AG621" s="41"/>
      <c r="AH621" s="32"/>
      <c r="AI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XEY621" s="27"/>
      <c r="XEZ621" s="27"/>
      <c r="XFA621" s="27"/>
      <c r="XFB621" s="27"/>
      <c r="XFC621" s="27"/>
      <c r="XFD621" s="27"/>
    </row>
    <row r="622" s="42" customFormat="true" ht="14.15" hidden="false" customHeight="true" outlineLevel="0" collapsed="false">
      <c r="A622" s="28" t="s">
        <v>4111</v>
      </c>
      <c r="B622" s="29" t="s">
        <v>4112</v>
      </c>
      <c r="C622" s="29" t="s">
        <v>4113</v>
      </c>
      <c r="D622" s="30" t="s">
        <v>244</v>
      </c>
      <c r="E622" s="30" t="s">
        <v>4114</v>
      </c>
      <c r="F622" s="32" t="n">
        <v>70</v>
      </c>
      <c r="G622" s="31" t="s">
        <v>215</v>
      </c>
      <c r="H622" s="31" t="n">
        <v>2</v>
      </c>
      <c r="I622" s="31" t="s">
        <v>62</v>
      </c>
      <c r="J622" s="29"/>
      <c r="K622" s="29" t="s">
        <v>4115</v>
      </c>
      <c r="L622" s="32" t="n">
        <v>174</v>
      </c>
      <c r="M622" s="33" t="s">
        <v>1138</v>
      </c>
      <c r="N622" s="34" t="n">
        <v>75017</v>
      </c>
      <c r="O622" s="35" t="s">
        <v>55</v>
      </c>
      <c r="P622" s="36" t="s">
        <v>4116</v>
      </c>
      <c r="Q622" s="36" t="n">
        <v>2</v>
      </c>
      <c r="R622" s="32" t="n">
        <v>255</v>
      </c>
      <c r="S622" s="32" t="n">
        <v>2</v>
      </c>
      <c r="T622" s="32"/>
      <c r="U622" s="32"/>
      <c r="V622" s="37"/>
      <c r="W622" s="32"/>
      <c r="X622" s="34"/>
      <c r="Y622" s="34"/>
      <c r="Z622" s="32"/>
      <c r="AA622" s="32" t="s">
        <v>4117</v>
      </c>
      <c r="AB622" s="32" t="s">
        <v>4118</v>
      </c>
      <c r="AC622" s="38" t="str">
        <f aca="false">HYPERLINK("https://biocodex6--c.vf.force.com/0014L00000KFsOqQAL", "MONSONEGO JOSEPH")</f>
        <v>MONSONEGO JOSEPH</v>
      </c>
      <c r="AD622" s="38" t="str">
        <f aca="false">HYPERLINK("https://annuairesante.ameli.fr/professionnels-de-sante/recherche/fiche-detaillee-B7c1ljcwMjOw.html", "MONSONEGO JOSEPH")</f>
        <v>MONSONEGO JOSEPH</v>
      </c>
      <c r="AE622" s="39"/>
      <c r="AF622" s="40"/>
      <c r="AG622" s="41"/>
      <c r="AH622" s="32"/>
      <c r="AI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XEY622" s="27"/>
      <c r="XEZ622" s="27"/>
      <c r="XFA622" s="27"/>
      <c r="XFB622" s="27"/>
      <c r="XFC622" s="27"/>
      <c r="XFD622" s="27"/>
    </row>
    <row r="623" s="42" customFormat="true" ht="14.15" hidden="false" customHeight="true" outlineLevel="0" collapsed="false">
      <c r="A623" s="28" t="s">
        <v>1134</v>
      </c>
      <c r="B623" s="29" t="s">
        <v>170</v>
      </c>
      <c r="C623" s="29" t="s">
        <v>4119</v>
      </c>
      <c r="D623" s="30" t="s">
        <v>50</v>
      </c>
      <c r="E623" s="31"/>
      <c r="F623" s="32" t="n">
        <v>51</v>
      </c>
      <c r="G623" s="31" t="s">
        <v>98</v>
      </c>
      <c r="H623" s="31" t="n">
        <v>1</v>
      </c>
      <c r="I623" s="31" t="s">
        <v>387</v>
      </c>
      <c r="J623" s="29"/>
      <c r="K623" s="29" t="s">
        <v>4120</v>
      </c>
      <c r="L623" s="32" t="n">
        <v>95</v>
      </c>
      <c r="M623" s="33" t="s">
        <v>2337</v>
      </c>
      <c r="N623" s="34" t="n">
        <v>75016</v>
      </c>
      <c r="O623" s="35" t="s">
        <v>55</v>
      </c>
      <c r="P623" s="36" t="s">
        <v>4121</v>
      </c>
      <c r="Q623" s="36" t="n">
        <v>1</v>
      </c>
      <c r="R623" s="32" t="n">
        <v>254</v>
      </c>
      <c r="S623" s="32" t="n">
        <v>2</v>
      </c>
      <c r="T623" s="32"/>
      <c r="U623" s="32"/>
      <c r="V623" s="37"/>
      <c r="W623" s="32"/>
      <c r="X623" s="34" t="n">
        <v>1</v>
      </c>
      <c r="Y623" s="34"/>
      <c r="Z623" s="32"/>
      <c r="AA623" s="32" t="s">
        <v>4122</v>
      </c>
      <c r="AB623" s="32" t="s">
        <v>4123</v>
      </c>
      <c r="AC623" s="38" t="str">
        <f aca="false">HYPERLINK("https://biocodex6--c.vf.force.com/0014L00000KFjodQAD", "COHEN CAROLE")</f>
        <v>COHEN CAROLE</v>
      </c>
      <c r="AD623" s="38" t="str">
        <f aca="false">HYPERLINK("https://annuairesante.ameli.fr/professionnels-de-sante/recherche/fiche-detaillee-B7c1lDE2MjWx.html", "COHEN CAROLE")</f>
        <v>COHEN CAROLE</v>
      </c>
      <c r="AE623" s="39" t="n">
        <v>45281.6666666667</v>
      </c>
      <c r="AF623" s="40" t="s">
        <v>4124</v>
      </c>
      <c r="AG623" s="41"/>
      <c r="AH623" s="32"/>
      <c r="AI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XEY623" s="27"/>
      <c r="XEZ623" s="27"/>
      <c r="XFA623" s="27"/>
      <c r="XFB623" s="27"/>
      <c r="XFC623" s="27"/>
      <c r="XFD623" s="27"/>
    </row>
    <row r="624" s="42" customFormat="true" ht="14.15" hidden="false" customHeight="true" outlineLevel="0" collapsed="false">
      <c r="A624" s="28" t="s">
        <v>4125</v>
      </c>
      <c r="B624" s="29" t="s">
        <v>811</v>
      </c>
      <c r="C624" s="29" t="s">
        <v>4126</v>
      </c>
      <c r="D624" s="30" t="s">
        <v>50</v>
      </c>
      <c r="E624" s="31"/>
      <c r="F624" s="32" t="n">
        <v>65</v>
      </c>
      <c r="G624" s="31" t="s">
        <v>98</v>
      </c>
      <c r="H624" s="31" t="n">
        <v>1</v>
      </c>
      <c r="I624" s="31" t="s">
        <v>233</v>
      </c>
      <c r="J624" s="29"/>
      <c r="K624" s="29" t="s">
        <v>4127</v>
      </c>
      <c r="L624" s="32" t="n">
        <v>35</v>
      </c>
      <c r="M624" s="33" t="s">
        <v>3863</v>
      </c>
      <c r="N624" s="34" t="n">
        <v>75015</v>
      </c>
      <c r="O624" s="35" t="s">
        <v>55</v>
      </c>
      <c r="P624" s="36" t="s">
        <v>4128</v>
      </c>
      <c r="Q624" s="36" t="n">
        <v>2</v>
      </c>
      <c r="R624" s="32" t="n">
        <v>253</v>
      </c>
      <c r="S624" s="32" t="n">
        <v>2</v>
      </c>
      <c r="T624" s="32"/>
      <c r="U624" s="32"/>
      <c r="V624" s="37"/>
      <c r="W624" s="32"/>
      <c r="X624" s="34"/>
      <c r="Y624" s="34"/>
      <c r="Z624" s="32"/>
      <c r="AA624" s="32" t="s">
        <v>4129</v>
      </c>
      <c r="AB624" s="32" t="s">
        <v>4130</v>
      </c>
      <c r="AC624" s="38" t="str">
        <f aca="false">HYPERLINK("https://biocodex6--c.vf.force.com/0014L00000KG0zdQAD", "SCHWAB BASSIL VERONIQUE")</f>
        <v>SCHWAB BASSIL VERONIQUE</v>
      </c>
      <c r="AD624" s="38" t="str">
        <f aca="false">HYPERLINK("https://annuairesante.ameli.fr/professionnels-de-sante/recherche/fiche-detaillee-B7c1lzIxNjSz.html", "SCHWAB BASSIL VERONIQUE")</f>
        <v>SCHWAB BASSIL VERONIQUE</v>
      </c>
      <c r="AE624" s="39"/>
      <c r="AF624" s="40"/>
      <c r="AG624" s="41"/>
      <c r="AH624" s="32"/>
      <c r="AI624" s="32"/>
      <c r="AL624" s="43" t="s">
        <v>3542</v>
      </c>
      <c r="AM624" s="43" t="s">
        <v>924</v>
      </c>
      <c r="AN624" s="43" t="s">
        <v>3169</v>
      </c>
      <c r="AO624" s="43" t="s">
        <v>924</v>
      </c>
      <c r="AP624" s="32"/>
      <c r="AQ624" s="43" t="s">
        <v>1234</v>
      </c>
      <c r="AR624" s="43" t="s">
        <v>3542</v>
      </c>
      <c r="AS624" s="43" t="s">
        <v>924</v>
      </c>
      <c r="AT624" s="43" t="s">
        <v>3542</v>
      </c>
      <c r="AU624" s="43" t="s">
        <v>924</v>
      </c>
      <c r="XEY624" s="27"/>
      <c r="XEZ624" s="27"/>
      <c r="XFA624" s="27"/>
      <c r="XFB624" s="27"/>
      <c r="XFC624" s="27"/>
      <c r="XFD624" s="27"/>
    </row>
    <row r="625" s="42" customFormat="true" ht="14.15" hidden="false" customHeight="true" outlineLevel="0" collapsed="false">
      <c r="A625" s="28" t="s">
        <v>4102</v>
      </c>
      <c r="B625" s="29" t="s">
        <v>3825</v>
      </c>
      <c r="C625" s="29" t="s">
        <v>4131</v>
      </c>
      <c r="D625" s="30" t="s">
        <v>244</v>
      </c>
      <c r="E625" s="30" t="s">
        <v>245</v>
      </c>
      <c r="F625" s="32" t="n">
        <v>66</v>
      </c>
      <c r="G625" s="31" t="s">
        <v>215</v>
      </c>
      <c r="H625" s="31" t="n">
        <v>2</v>
      </c>
      <c r="I625" s="31" t="s">
        <v>435</v>
      </c>
      <c r="J625" s="29" t="s">
        <v>3117</v>
      </c>
      <c r="K625" s="29" t="s">
        <v>3118</v>
      </c>
      <c r="L625" s="32" t="n">
        <v>46</v>
      </c>
      <c r="M625" s="33" t="s">
        <v>1450</v>
      </c>
      <c r="N625" s="34" t="n">
        <v>75016</v>
      </c>
      <c r="O625" s="35" t="s">
        <v>55</v>
      </c>
      <c r="P625" s="36" t="s">
        <v>4132</v>
      </c>
      <c r="Q625" s="36" t="n">
        <v>14</v>
      </c>
      <c r="R625" s="32" t="n">
        <v>249</v>
      </c>
      <c r="S625" s="32" t="n">
        <v>2</v>
      </c>
      <c r="T625" s="32"/>
      <c r="U625" s="32"/>
      <c r="V625" s="37" t="n">
        <v>3</v>
      </c>
      <c r="W625" s="32"/>
      <c r="X625" s="34" t="n">
        <v>1</v>
      </c>
      <c r="Y625" s="34"/>
      <c r="Z625" s="36"/>
      <c r="AA625" s="32" t="s">
        <v>4133</v>
      </c>
      <c r="AB625" s="32" t="s">
        <v>4134</v>
      </c>
      <c r="AC625" s="38" t="str">
        <f aca="false">HYPERLINK("https://biocodex6--c.vf.force.com/0014L00000KFXowQAH", "DAHAN MICHAEL")</f>
        <v>DAHAN MICHAEL</v>
      </c>
      <c r="AD625" s="38" t="str">
        <f aca="false">HYPERLINK("https://annuairesante.ameli.fr/professionnels-de-sante/recherche/fiche-detaillee-B7c1lTAyNTOz.html", "DAHAN MICHAEL")</f>
        <v>DAHAN MICHAEL</v>
      </c>
      <c r="AE625" s="39" t="n">
        <v>45188.5625</v>
      </c>
      <c r="AF625" s="40"/>
      <c r="AG625" s="41"/>
      <c r="AH625" s="32" t="s">
        <v>179</v>
      </c>
      <c r="AI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XEY625" s="27"/>
      <c r="XEZ625" s="27"/>
      <c r="XFA625" s="27"/>
      <c r="XFB625" s="27"/>
      <c r="XFC625" s="27"/>
      <c r="XFD625" s="27"/>
    </row>
    <row r="626" s="42" customFormat="true" ht="14.15" hidden="false" customHeight="true" outlineLevel="0" collapsed="false">
      <c r="A626" s="28" t="s">
        <v>4135</v>
      </c>
      <c r="B626" s="29" t="s">
        <v>195</v>
      </c>
      <c r="C626" s="29" t="s">
        <v>4136</v>
      </c>
      <c r="D626" s="30" t="s">
        <v>244</v>
      </c>
      <c r="E626" s="30" t="s">
        <v>245</v>
      </c>
      <c r="F626" s="32" t="n">
        <v>60</v>
      </c>
      <c r="G626" s="31" t="s">
        <v>215</v>
      </c>
      <c r="H626" s="31" t="n">
        <v>4</v>
      </c>
      <c r="I626" s="31" t="s">
        <v>62</v>
      </c>
      <c r="J626" s="29"/>
      <c r="K626" s="29" t="s">
        <v>2346</v>
      </c>
      <c r="L626" s="32" t="n">
        <v>2</v>
      </c>
      <c r="M626" s="33" t="s">
        <v>2347</v>
      </c>
      <c r="N626" s="34" t="n">
        <v>75017</v>
      </c>
      <c r="O626" s="35" t="s">
        <v>55</v>
      </c>
      <c r="P626" s="36" t="s">
        <v>4137</v>
      </c>
      <c r="Q626" s="36" t="n">
        <v>4</v>
      </c>
      <c r="R626" s="32" t="n">
        <v>249</v>
      </c>
      <c r="S626" s="32" t="n">
        <v>2</v>
      </c>
      <c r="T626" s="32"/>
      <c r="U626" s="32"/>
      <c r="V626" s="37" t="n">
        <v>3</v>
      </c>
      <c r="W626" s="32"/>
      <c r="X626" s="34"/>
      <c r="Y626" s="34"/>
      <c r="Z626" s="32"/>
      <c r="AA626" s="32" t="s">
        <v>4138</v>
      </c>
      <c r="AB626" s="32" t="s">
        <v>4139</v>
      </c>
      <c r="AC626" s="38" t="str">
        <f aca="false">HYPERLINK("https://biocodex6--c.vf.force.com/0014L00000KFlspQAD", "LANDOWSKI PHILIPPE")</f>
        <v>LANDOWSKI PHILIPPE</v>
      </c>
      <c r="AD626" s="38" t="str">
        <f aca="false">HYPERLINK("https://annuairesante.ameli.fr/professionnels-de-sante/recherche/fiche-detaillee-B7c1lTIzMTKz.html", "LANDOWSKI PHILIPPE")</f>
        <v>LANDOWSKI PHILIPPE</v>
      </c>
      <c r="AE626" s="39"/>
      <c r="AF626" s="40"/>
      <c r="AG626" s="41"/>
      <c r="AH626" s="32"/>
      <c r="AI626" s="32"/>
      <c r="AL626" s="32"/>
      <c r="AM626" s="32"/>
      <c r="AN626" s="43" t="s">
        <v>338</v>
      </c>
      <c r="AO626" s="32"/>
      <c r="AP626" s="32"/>
      <c r="AQ626" s="32"/>
      <c r="AR626" s="43" t="s">
        <v>966</v>
      </c>
      <c r="AS626" s="43" t="s">
        <v>137</v>
      </c>
      <c r="AT626" s="32"/>
      <c r="AU626" s="32"/>
      <c r="XEY626" s="27"/>
      <c r="XEZ626" s="27"/>
      <c r="XFA626" s="27"/>
      <c r="XFB626" s="27"/>
      <c r="XFC626" s="27"/>
      <c r="XFD626" s="27"/>
    </row>
    <row r="627" s="42" customFormat="true" ht="14.15" hidden="false" customHeight="true" outlineLevel="0" collapsed="false">
      <c r="A627" s="28" t="s">
        <v>4140</v>
      </c>
      <c r="B627" s="29" t="s">
        <v>4141</v>
      </c>
      <c r="C627" s="29" t="s">
        <v>4142</v>
      </c>
      <c r="D627" s="30" t="s">
        <v>268</v>
      </c>
      <c r="E627" s="30" t="s">
        <v>255</v>
      </c>
      <c r="F627" s="32" t="n">
        <v>53</v>
      </c>
      <c r="G627" s="31"/>
      <c r="H627" s="31" t="n">
        <v>3</v>
      </c>
      <c r="I627" s="31" t="s">
        <v>119</v>
      </c>
      <c r="J627" s="29" t="s">
        <v>4143</v>
      </c>
      <c r="K627" s="29" t="s">
        <v>4144</v>
      </c>
      <c r="L627" s="32" t="n">
        <v>6</v>
      </c>
      <c r="M627" s="33" t="s">
        <v>3713</v>
      </c>
      <c r="N627" s="34" t="n">
        <v>75007</v>
      </c>
      <c r="O627" s="35" t="s">
        <v>55</v>
      </c>
      <c r="P627" s="36" t="s">
        <v>4145</v>
      </c>
      <c r="Q627" s="36" t="n">
        <v>6</v>
      </c>
      <c r="R627" s="32" t="n">
        <v>246</v>
      </c>
      <c r="S627" s="32" t="n">
        <v>2</v>
      </c>
      <c r="T627" s="32"/>
      <c r="U627" s="32"/>
      <c r="V627" s="37"/>
      <c r="W627" s="32"/>
      <c r="X627" s="34"/>
      <c r="Y627" s="34"/>
      <c r="Z627" s="36"/>
      <c r="AA627" s="32" t="s">
        <v>4146</v>
      </c>
      <c r="AB627" s="32"/>
      <c r="AC627" s="38" t="str">
        <f aca="false">HYPERLINK("https://biocodex6--c.vf.force.com/0014L00000KFSmtQAH", "BENISTY FLORENCE SARAH")</f>
        <v>BENISTY FLORENCE SARAH</v>
      </c>
      <c r="AD627" s="38"/>
      <c r="AE627" s="39"/>
      <c r="AF627" s="40"/>
      <c r="AG627" s="41"/>
      <c r="AH627" s="32" t="s">
        <v>179</v>
      </c>
      <c r="AI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XEY627" s="27"/>
      <c r="XEZ627" s="27"/>
      <c r="XFA627" s="27"/>
      <c r="XFB627" s="27"/>
      <c r="XFC627" s="27"/>
      <c r="XFD627" s="27"/>
    </row>
    <row r="628" s="42" customFormat="true" ht="14.15" hidden="false" customHeight="true" outlineLevel="0" collapsed="false">
      <c r="A628" s="28" t="s">
        <v>4147</v>
      </c>
      <c r="B628" s="29" t="s">
        <v>4148</v>
      </c>
      <c r="C628" s="29" t="s">
        <v>4149</v>
      </c>
      <c r="D628" s="30" t="s">
        <v>268</v>
      </c>
      <c r="E628" s="31"/>
      <c r="F628" s="32" t="n">
        <v>50</v>
      </c>
      <c r="G628" s="31" t="s">
        <v>215</v>
      </c>
      <c r="H628" s="31" t="n">
        <v>1</v>
      </c>
      <c r="I628" s="31" t="s">
        <v>62</v>
      </c>
      <c r="J628" s="29"/>
      <c r="K628" s="29" t="s">
        <v>4150</v>
      </c>
      <c r="L628" s="32" t="n">
        <v>55</v>
      </c>
      <c r="M628" s="33" t="s">
        <v>4151</v>
      </c>
      <c r="N628" s="34" t="n">
        <v>75017</v>
      </c>
      <c r="O628" s="35" t="s">
        <v>55</v>
      </c>
      <c r="P628" s="36" t="s">
        <v>4152</v>
      </c>
      <c r="Q628" s="36" t="n">
        <v>1</v>
      </c>
      <c r="R628" s="32" t="n">
        <v>243</v>
      </c>
      <c r="S628" s="32" t="n">
        <v>2</v>
      </c>
      <c r="T628" s="32"/>
      <c r="U628" s="32"/>
      <c r="V628" s="37"/>
      <c r="W628" s="32"/>
      <c r="X628" s="34"/>
      <c r="Y628" s="34"/>
      <c r="Z628" s="36"/>
      <c r="AA628" s="32" t="s">
        <v>4153</v>
      </c>
      <c r="AB628" s="32" t="s">
        <v>4154</v>
      </c>
      <c r="AC628" s="38" t="str">
        <f aca="false">HYPERLINK("https://biocodex6--c.vf.force.com/0014L00000KFaC1QAL", "DYLGJERI SUELA")</f>
        <v>DYLGJERI SUELA</v>
      </c>
      <c r="AD628" s="38" t="str">
        <f aca="false">HYPERLINK("https://annuairesante.ameli.fr/professionnels-de-sante/recherche/fiche-detaillee-B7c1lTExMDu2.html", "DYLGJERI SUELA")</f>
        <v>DYLGJERI SUELA</v>
      </c>
      <c r="AE628" s="39"/>
      <c r="AF628" s="40"/>
      <c r="AG628" s="41"/>
      <c r="AH628" s="32" t="s">
        <v>179</v>
      </c>
      <c r="AI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XEY628" s="27"/>
      <c r="XEZ628" s="27"/>
      <c r="XFA628" s="27"/>
      <c r="XFB628" s="27"/>
      <c r="XFC628" s="27"/>
      <c r="XFD628" s="27"/>
    </row>
    <row r="629" s="42" customFormat="true" ht="14.15" hidden="false" customHeight="true" outlineLevel="0" collapsed="false">
      <c r="A629" s="28" t="s">
        <v>4155</v>
      </c>
      <c r="B629" s="29" t="s">
        <v>1218</v>
      </c>
      <c r="C629" s="29" t="s">
        <v>4156</v>
      </c>
      <c r="D629" s="30" t="s">
        <v>50</v>
      </c>
      <c r="E629" s="31"/>
      <c r="F629" s="32" t="n">
        <v>69</v>
      </c>
      <c r="G629" s="31" t="s">
        <v>215</v>
      </c>
      <c r="H629" s="31" t="n">
        <v>1</v>
      </c>
      <c r="I629" s="31" t="s">
        <v>435</v>
      </c>
      <c r="J629" s="29"/>
      <c r="K629" s="29" t="s">
        <v>4157</v>
      </c>
      <c r="L629" s="32" t="n">
        <v>33</v>
      </c>
      <c r="M629" s="33" t="s">
        <v>4158</v>
      </c>
      <c r="N629" s="34" t="n">
        <v>75016</v>
      </c>
      <c r="O629" s="35" t="s">
        <v>55</v>
      </c>
      <c r="P629" s="36" t="s">
        <v>4159</v>
      </c>
      <c r="Q629" s="36" t="n">
        <v>1</v>
      </c>
      <c r="R629" s="32" t="n">
        <v>240</v>
      </c>
      <c r="S629" s="32" t="n">
        <v>2</v>
      </c>
      <c r="T629" s="32"/>
      <c r="U629" s="32"/>
      <c r="V629" s="37"/>
      <c r="W629" s="32"/>
      <c r="X629" s="34"/>
      <c r="Y629" s="34"/>
      <c r="Z629" s="32"/>
      <c r="AA629" s="32" t="s">
        <v>4160</v>
      </c>
      <c r="AB629" s="32" t="s">
        <v>4161</v>
      </c>
      <c r="AC629" s="38" t="str">
        <f aca="false">HYPERLINK("https://biocodex6--c.vf.force.com/0014L00000KFm7bQAD", "LARANGOT ROUFFET CLAUDE")</f>
        <v>LARANGOT ROUFFET CLAUDE</v>
      </c>
      <c r="AD629" s="38" t="str">
        <f aca="false">HYPERLINK("https://annuairesante.ameli.fr/professionnels-de-sante/recherche/fiche-detaillee-B7c1ljc3Nzqz.html", "LARANGOT ROUFFET CLAUDE")</f>
        <v>LARANGOT ROUFFET CLAUDE</v>
      </c>
      <c r="AE629" s="39"/>
      <c r="AF629" s="40"/>
      <c r="AG629" s="41"/>
      <c r="AH629" s="32"/>
      <c r="AI629" s="32"/>
      <c r="AL629" s="43" t="s">
        <v>339</v>
      </c>
      <c r="AM629" s="43" t="s">
        <v>328</v>
      </c>
      <c r="AN629" s="43" t="s">
        <v>339</v>
      </c>
      <c r="AO629" s="43" t="s">
        <v>328</v>
      </c>
      <c r="AP629" s="43" t="s">
        <v>339</v>
      </c>
      <c r="AQ629" s="43" t="s">
        <v>328</v>
      </c>
      <c r="AR629" s="43" t="s">
        <v>339</v>
      </c>
      <c r="AS629" s="43" t="s">
        <v>328</v>
      </c>
      <c r="AT629" s="43" t="s">
        <v>339</v>
      </c>
      <c r="AU629" s="43" t="s">
        <v>328</v>
      </c>
      <c r="XEY629" s="27"/>
      <c r="XEZ629" s="27"/>
      <c r="XFA629" s="27"/>
      <c r="XFB629" s="27"/>
      <c r="XFC629" s="27"/>
      <c r="XFD629" s="27"/>
    </row>
    <row r="630" s="42" customFormat="true" ht="14.15" hidden="false" customHeight="true" outlineLevel="0" collapsed="false">
      <c r="A630" s="28" t="s">
        <v>4162</v>
      </c>
      <c r="B630" s="29" t="s">
        <v>1766</v>
      </c>
      <c r="C630" s="29" t="s">
        <v>4163</v>
      </c>
      <c r="D630" s="30" t="s">
        <v>50</v>
      </c>
      <c r="E630" s="30" t="s">
        <v>344</v>
      </c>
      <c r="F630" s="32" t="n">
        <v>71</v>
      </c>
      <c r="G630" s="31"/>
      <c r="H630" s="31" t="n">
        <v>1</v>
      </c>
      <c r="I630" s="31" t="s">
        <v>173</v>
      </c>
      <c r="J630" s="29"/>
      <c r="K630" s="29" t="s">
        <v>4164</v>
      </c>
      <c r="L630" s="32" t="n">
        <v>51</v>
      </c>
      <c r="M630" s="33" t="s">
        <v>4165</v>
      </c>
      <c r="N630" s="34" t="n">
        <v>75016</v>
      </c>
      <c r="O630" s="35" t="s">
        <v>55</v>
      </c>
      <c r="P630" s="36" t="s">
        <v>4166</v>
      </c>
      <c r="Q630" s="36" t="n">
        <v>1</v>
      </c>
      <c r="R630" s="32" t="n">
        <v>236</v>
      </c>
      <c r="S630" s="32" t="n">
        <v>2</v>
      </c>
      <c r="T630" s="32"/>
      <c r="U630" s="32"/>
      <c r="V630" s="37"/>
      <c r="W630" s="32"/>
      <c r="X630" s="34"/>
      <c r="Y630" s="34"/>
      <c r="Z630" s="32"/>
      <c r="AA630" s="32" t="s">
        <v>4167</v>
      </c>
      <c r="AB630" s="32"/>
      <c r="AC630" s="38" t="str">
        <f aca="false">HYPERLINK("https://biocodex6--c.vf.force.com/0014L00000KG2EcQAL", "STRAWCZYNSKI FRANCOIS")</f>
        <v>STRAWCZYNSKI FRANCOIS</v>
      </c>
      <c r="AD630" s="38"/>
      <c r="AE630" s="39"/>
      <c r="AF630" s="40"/>
      <c r="AG630" s="41"/>
      <c r="AH630" s="32"/>
      <c r="AI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XEY630" s="27"/>
      <c r="XEZ630" s="27"/>
      <c r="XFA630" s="27"/>
      <c r="XFB630" s="27"/>
      <c r="XFC630" s="27"/>
      <c r="XFD630" s="27"/>
    </row>
    <row r="631" s="42" customFormat="true" ht="14.15" hidden="false" customHeight="true" outlineLevel="0" collapsed="false">
      <c r="A631" s="28" t="s">
        <v>4168</v>
      </c>
      <c r="B631" s="29" t="s">
        <v>4169</v>
      </c>
      <c r="C631" s="29" t="s">
        <v>4170</v>
      </c>
      <c r="D631" s="30" t="s">
        <v>50</v>
      </c>
      <c r="E631" s="31"/>
      <c r="F631" s="32" t="n">
        <v>43</v>
      </c>
      <c r="G631" s="31"/>
      <c r="H631" s="31" t="n">
        <v>1</v>
      </c>
      <c r="I631" s="31" t="s">
        <v>51</v>
      </c>
      <c r="J631" s="29"/>
      <c r="K631" s="29" t="s">
        <v>1786</v>
      </c>
      <c r="L631" s="32" t="n">
        <v>4</v>
      </c>
      <c r="M631" s="33" t="s">
        <v>1787</v>
      </c>
      <c r="N631" s="34" t="n">
        <v>75015</v>
      </c>
      <c r="O631" s="35" t="s">
        <v>55</v>
      </c>
      <c r="P631" s="36" t="s">
        <v>3021</v>
      </c>
      <c r="Q631" s="36" t="n">
        <v>4</v>
      </c>
      <c r="R631" s="32" t="n">
        <v>233</v>
      </c>
      <c r="S631" s="32" t="n">
        <v>2</v>
      </c>
      <c r="T631" s="32"/>
      <c r="U631" s="32"/>
      <c r="V631" s="37"/>
      <c r="W631" s="32"/>
      <c r="X631" s="34"/>
      <c r="Y631" s="34"/>
      <c r="Z631" s="36"/>
      <c r="AA631" s="32" t="s">
        <v>4171</v>
      </c>
      <c r="AB631" s="32"/>
      <c r="AC631" s="38" t="str">
        <f aca="false">HYPERLINK("https://biocodex6--c.vf.force.com/0014L00000KFZYoQAP", "DUPEYRAT ELISE")</f>
        <v>DUPEYRAT ELISE</v>
      </c>
      <c r="AD631" s="38"/>
      <c r="AE631" s="39"/>
      <c r="AF631" s="40"/>
      <c r="AG631" s="41"/>
      <c r="AH631" s="32" t="s">
        <v>179</v>
      </c>
      <c r="AI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XEY631" s="27"/>
      <c r="XEZ631" s="27"/>
      <c r="XFA631" s="27"/>
      <c r="XFB631" s="27"/>
      <c r="XFC631" s="27"/>
      <c r="XFD631" s="27"/>
    </row>
    <row r="632" s="42" customFormat="true" ht="14.15" hidden="false" customHeight="true" outlineLevel="0" collapsed="false">
      <c r="A632" s="28" t="s">
        <v>4172</v>
      </c>
      <c r="B632" s="29" t="s">
        <v>1130</v>
      </c>
      <c r="C632" s="29" t="s">
        <v>4173</v>
      </c>
      <c r="D632" s="30" t="s">
        <v>50</v>
      </c>
      <c r="E632" s="30" t="s">
        <v>571</v>
      </c>
      <c r="F632" s="32" t="n">
        <v>78</v>
      </c>
      <c r="G632" s="31"/>
      <c r="H632" s="31" t="n">
        <v>1</v>
      </c>
      <c r="I632" s="31" t="s">
        <v>173</v>
      </c>
      <c r="J632" s="29"/>
      <c r="K632" s="29" t="s">
        <v>4174</v>
      </c>
      <c r="L632" s="32" t="n">
        <v>48</v>
      </c>
      <c r="M632" s="33" t="s">
        <v>1637</v>
      </c>
      <c r="N632" s="34" t="n">
        <v>75016</v>
      </c>
      <c r="O632" s="35" t="s">
        <v>55</v>
      </c>
      <c r="P632" s="36" t="s">
        <v>4175</v>
      </c>
      <c r="Q632" s="36" t="n">
        <v>1</v>
      </c>
      <c r="R632" s="32" t="n">
        <v>229</v>
      </c>
      <c r="S632" s="32" t="n">
        <v>2</v>
      </c>
      <c r="T632" s="32"/>
      <c r="U632" s="32"/>
      <c r="V632" s="37"/>
      <c r="W632" s="32"/>
      <c r="X632" s="34"/>
      <c r="Y632" s="34"/>
      <c r="Z632" s="32"/>
      <c r="AA632" s="32" t="s">
        <v>4176</v>
      </c>
      <c r="AB632" s="32"/>
      <c r="AC632" s="38" t="str">
        <f aca="false">HYPERLINK("https://biocodex6--c.vf.force.com/0014L00000KFpTqQAL", "MAKOWSKI DANIEL")</f>
        <v>MAKOWSKI DANIEL</v>
      </c>
      <c r="AD632" s="38"/>
      <c r="AE632" s="39"/>
      <c r="AF632" s="40"/>
      <c r="AG632" s="41"/>
      <c r="AH632" s="32"/>
      <c r="AI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XEY632" s="27"/>
      <c r="XEZ632" s="27"/>
      <c r="XFA632" s="27"/>
      <c r="XFB632" s="27"/>
      <c r="XFC632" s="27"/>
      <c r="XFD632" s="27"/>
    </row>
    <row r="633" s="42" customFormat="true" ht="14.15" hidden="false" customHeight="true" outlineLevel="0" collapsed="false">
      <c r="A633" s="28" t="s">
        <v>4177</v>
      </c>
      <c r="B633" s="29" t="s">
        <v>2001</v>
      </c>
      <c r="C633" s="29" t="s">
        <v>4178</v>
      </c>
      <c r="D633" s="30" t="s">
        <v>50</v>
      </c>
      <c r="E633" s="31"/>
      <c r="F633" s="32" t="n">
        <v>49</v>
      </c>
      <c r="G633" s="31" t="s">
        <v>98</v>
      </c>
      <c r="H633" s="31" t="n">
        <v>1</v>
      </c>
      <c r="I633" s="31" t="s">
        <v>295</v>
      </c>
      <c r="J633" s="29"/>
      <c r="K633" s="29" t="s">
        <v>4179</v>
      </c>
      <c r="L633" s="32" t="n">
        <v>57</v>
      </c>
      <c r="M633" s="33" t="s">
        <v>1050</v>
      </c>
      <c r="N633" s="34" t="n">
        <v>92300</v>
      </c>
      <c r="O633" s="35" t="s">
        <v>298</v>
      </c>
      <c r="P633" s="36" t="s">
        <v>4180</v>
      </c>
      <c r="Q633" s="36" t="n">
        <v>1</v>
      </c>
      <c r="R633" s="32" t="n">
        <v>228</v>
      </c>
      <c r="S633" s="32" t="n">
        <v>2</v>
      </c>
      <c r="T633" s="32"/>
      <c r="U633" s="32"/>
      <c r="V633" s="37"/>
      <c r="W633" s="32"/>
      <c r="X633" s="34"/>
      <c r="Y633" s="34"/>
      <c r="Z633" s="36"/>
      <c r="AA633" s="32" t="s">
        <v>4181</v>
      </c>
      <c r="AB633" s="32" t="s">
        <v>4182</v>
      </c>
      <c r="AC633" s="38" t="str">
        <f aca="false">HYPERLINK("https://biocodex6--c.vf.force.com/0014L00000KFYbRQAX", "DE BEAUCHESNE MARYAM")</f>
        <v>DE BEAUCHESNE MARYAM</v>
      </c>
      <c r="AD633" s="38" t="str">
        <f aca="false">HYPERLINK("https://annuairesante.ameli.fr/professionnels-de-sante/recherche/fiche-detaillee-CbA1kzo2ODu2.html", "DE BEAUCHESNE MARYAM")</f>
        <v>DE BEAUCHESNE MARYAM</v>
      </c>
      <c r="AE633" s="39"/>
      <c r="AF633" s="40"/>
      <c r="AG633" s="41"/>
      <c r="AH633" s="32" t="s">
        <v>179</v>
      </c>
      <c r="AI633" s="32"/>
      <c r="AL633" s="43" t="s">
        <v>966</v>
      </c>
      <c r="AM633" s="43" t="s">
        <v>1671</v>
      </c>
      <c r="AN633" s="43" t="s">
        <v>966</v>
      </c>
      <c r="AO633" s="43" t="s">
        <v>1671</v>
      </c>
      <c r="AP633" s="43" t="s">
        <v>657</v>
      </c>
      <c r="AQ633" s="32"/>
      <c r="AR633" s="43" t="s">
        <v>966</v>
      </c>
      <c r="AS633" s="43" t="s">
        <v>1671</v>
      </c>
      <c r="AT633" s="43" t="s">
        <v>966</v>
      </c>
      <c r="AU633" s="43" t="s">
        <v>1671</v>
      </c>
      <c r="XEY633" s="27"/>
      <c r="XEZ633" s="27"/>
      <c r="XFA633" s="27"/>
      <c r="XFB633" s="27"/>
      <c r="XFC633" s="27"/>
      <c r="XFD633" s="27"/>
    </row>
    <row r="634" s="42" customFormat="true" ht="14.15" hidden="false" customHeight="true" outlineLevel="0" collapsed="false">
      <c r="A634" s="28" t="s">
        <v>4183</v>
      </c>
      <c r="B634" s="29" t="s">
        <v>4184</v>
      </c>
      <c r="C634" s="29" t="s">
        <v>4185</v>
      </c>
      <c r="D634" s="30" t="s">
        <v>50</v>
      </c>
      <c r="E634" s="31"/>
      <c r="F634" s="32" t="n">
        <v>65</v>
      </c>
      <c r="G634" s="31" t="s">
        <v>345</v>
      </c>
      <c r="H634" s="31" t="n">
        <v>1</v>
      </c>
      <c r="I634" s="31" t="s">
        <v>62</v>
      </c>
      <c r="J634" s="29"/>
      <c r="K634" s="29" t="s">
        <v>4186</v>
      </c>
      <c r="L634" s="32" t="n">
        <v>97</v>
      </c>
      <c r="M634" s="33" t="s">
        <v>605</v>
      </c>
      <c r="N634" s="34" t="n">
        <v>75017</v>
      </c>
      <c r="O634" s="35" t="s">
        <v>55</v>
      </c>
      <c r="P634" s="36" t="s">
        <v>4187</v>
      </c>
      <c r="Q634" s="36" t="n">
        <v>1</v>
      </c>
      <c r="R634" s="32" t="n">
        <v>225</v>
      </c>
      <c r="S634" s="32" t="n">
        <v>2</v>
      </c>
      <c r="T634" s="32"/>
      <c r="U634" s="32"/>
      <c r="V634" s="37"/>
      <c r="W634" s="32"/>
      <c r="X634" s="34"/>
      <c r="Y634" s="34"/>
      <c r="Z634" s="32"/>
      <c r="AA634" s="32" t="s">
        <v>4188</v>
      </c>
      <c r="AB634" s="32" t="s">
        <v>4189</v>
      </c>
      <c r="AC634" s="38" t="str">
        <f aca="false">HYPERLINK("https://biocodex6--c.vf.force.com/0014L00000KFX5uQAH", "DEMANOFF PRASQUEVY")</f>
        <v>DEMANOFF PRASQUEVY</v>
      </c>
      <c r="AD634" s="38" t="str">
        <f aca="false">HYPERLINK("https://annuairesante.ameli.fr/professionnels-de-sante/recherche/fiche-detaillee-B7c1lDoyOTSw.html", "DEMANOFF PRASQUEVY")</f>
        <v>DEMANOFF PRASQUEVY</v>
      </c>
      <c r="AE634" s="39"/>
      <c r="AF634" s="40"/>
      <c r="AG634" s="41"/>
      <c r="AH634" s="32"/>
      <c r="AI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XEY634" s="27"/>
      <c r="XEZ634" s="27"/>
      <c r="XFA634" s="27"/>
      <c r="XFB634" s="27"/>
      <c r="XFC634" s="27"/>
      <c r="XFD634" s="27"/>
    </row>
    <row r="635" s="42" customFormat="true" ht="14.15" hidden="false" customHeight="true" outlineLevel="0" collapsed="false">
      <c r="A635" s="28" t="s">
        <v>4190</v>
      </c>
      <c r="B635" s="29" t="s">
        <v>4191</v>
      </c>
      <c r="C635" s="29" t="s">
        <v>4192</v>
      </c>
      <c r="D635" s="30" t="s">
        <v>50</v>
      </c>
      <c r="E635" s="30" t="s">
        <v>916</v>
      </c>
      <c r="F635" s="32" t="n">
        <v>59</v>
      </c>
      <c r="G635" s="31" t="s">
        <v>98</v>
      </c>
      <c r="H635" s="31" t="n">
        <v>1</v>
      </c>
      <c r="I635" s="31" t="s">
        <v>197</v>
      </c>
      <c r="J635" s="29"/>
      <c r="K635" s="29" t="s">
        <v>2446</v>
      </c>
      <c r="L635" s="32" t="n">
        <v>20</v>
      </c>
      <c r="M635" s="33" t="s">
        <v>2447</v>
      </c>
      <c r="N635" s="34" t="n">
        <v>75017</v>
      </c>
      <c r="O635" s="35" t="s">
        <v>55</v>
      </c>
      <c r="P635" s="36" t="s">
        <v>4193</v>
      </c>
      <c r="Q635" s="36" t="n">
        <v>2</v>
      </c>
      <c r="R635" s="32" t="n">
        <v>224</v>
      </c>
      <c r="S635" s="32" t="n">
        <v>2</v>
      </c>
      <c r="T635" s="32"/>
      <c r="U635" s="32"/>
      <c r="V635" s="37"/>
      <c r="W635" s="32"/>
      <c r="X635" s="34"/>
      <c r="Y635" s="34" t="n">
        <v>2</v>
      </c>
      <c r="Z635" s="36"/>
      <c r="AA635" s="32" t="s">
        <v>4194</v>
      </c>
      <c r="AB635" s="44" t="s">
        <v>4195</v>
      </c>
      <c r="AC635" s="38" t="str">
        <f aca="false">HYPERLINK("https://biocodex6--c.vf.force.com/0014L00000KFlOnQAL", "COHEN KOUBI NINA")</f>
        <v>COHEN KOUBI NINA</v>
      </c>
      <c r="AD635" s="38" t="str">
        <f aca="false">HYPERLINK("https://annuairesante.ameli.fr/professionnels-de-sante/recherche/fiche-detaillee-B7c1lzoxMDC6.html", "COHEN KOUBI NINA")</f>
        <v>COHEN KOUBI NINA</v>
      </c>
      <c r="AE635" s="39"/>
      <c r="AF635" s="40"/>
      <c r="AG635" s="41"/>
      <c r="AH635" s="32" t="s">
        <v>3469</v>
      </c>
      <c r="AI635" s="32"/>
      <c r="AL635" s="43" t="s">
        <v>1067</v>
      </c>
      <c r="AM635" s="43" t="s">
        <v>3168</v>
      </c>
      <c r="AN635" s="43" t="s">
        <v>1067</v>
      </c>
      <c r="AO635" s="43" t="s">
        <v>3168</v>
      </c>
      <c r="AP635" s="43" t="s">
        <v>1067</v>
      </c>
      <c r="AQ635" s="43" t="s">
        <v>3168</v>
      </c>
      <c r="AR635" s="43" t="s">
        <v>1067</v>
      </c>
      <c r="AS635" s="43" t="s">
        <v>3168</v>
      </c>
      <c r="AT635" s="32"/>
      <c r="AU635" s="32"/>
      <c r="XEY635" s="27"/>
      <c r="XEZ635" s="27"/>
      <c r="XFA635" s="27"/>
      <c r="XFB635" s="27"/>
      <c r="XFC635" s="27"/>
      <c r="XFD635" s="27"/>
    </row>
    <row r="636" s="42" customFormat="true" ht="14.15" hidden="false" customHeight="true" outlineLevel="0" collapsed="false">
      <c r="A636" s="28" t="s">
        <v>4196</v>
      </c>
      <c r="B636" s="29" t="s">
        <v>2254</v>
      </c>
      <c r="C636" s="29" t="s">
        <v>4197</v>
      </c>
      <c r="D636" s="30" t="s">
        <v>50</v>
      </c>
      <c r="E636" s="31"/>
      <c r="F636" s="32" t="n">
        <v>0</v>
      </c>
      <c r="G636" s="31"/>
      <c r="H636" s="31" t="n">
        <v>1</v>
      </c>
      <c r="I636" s="31" t="s">
        <v>51</v>
      </c>
      <c r="J636" s="29" t="s">
        <v>2010</v>
      </c>
      <c r="K636" s="29" t="s">
        <v>2011</v>
      </c>
      <c r="L636" s="32" t="n">
        <v>37</v>
      </c>
      <c r="M636" s="33" t="s">
        <v>2012</v>
      </c>
      <c r="N636" s="34" t="n">
        <v>75015</v>
      </c>
      <c r="O636" s="35" t="s">
        <v>55</v>
      </c>
      <c r="P636" s="36" t="s">
        <v>2013</v>
      </c>
      <c r="Q636" s="36" t="n">
        <v>19</v>
      </c>
      <c r="R636" s="32" t="n">
        <v>223</v>
      </c>
      <c r="S636" s="32" t="n">
        <v>2</v>
      </c>
      <c r="T636" s="32"/>
      <c r="U636" s="32"/>
      <c r="V636" s="37"/>
      <c r="W636" s="32"/>
      <c r="X636" s="34"/>
      <c r="Y636" s="34"/>
      <c r="Z636" s="32"/>
      <c r="AA636" s="32" t="s">
        <v>4198</v>
      </c>
      <c r="AB636" s="32"/>
      <c r="AC636" s="38" t="str">
        <f aca="false">HYPERLINK("https://biocodex6--c.vf.force.com/0014L00000KFOofQAH", "COUTANCEAU BERTRAND")</f>
        <v>COUTANCEAU BERTRAND</v>
      </c>
      <c r="AD636" s="38"/>
      <c r="AE636" s="39" t="n">
        <v>45243.5833333333</v>
      </c>
      <c r="AF636" s="40"/>
      <c r="AG636" s="41"/>
      <c r="AH636" s="32"/>
      <c r="AI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XEY636" s="27"/>
      <c r="XEZ636" s="27"/>
      <c r="XFA636" s="27"/>
      <c r="XFB636" s="27"/>
      <c r="XFC636" s="27"/>
      <c r="XFD636" s="27"/>
    </row>
    <row r="637" s="42" customFormat="true" ht="14.15" hidden="false" customHeight="true" outlineLevel="0" collapsed="false">
      <c r="A637" s="28" t="s">
        <v>4199</v>
      </c>
      <c r="B637" s="29" t="s">
        <v>4200</v>
      </c>
      <c r="C637" s="29" t="s">
        <v>4201</v>
      </c>
      <c r="D637" s="30" t="s">
        <v>50</v>
      </c>
      <c r="E637" s="30" t="s">
        <v>421</v>
      </c>
      <c r="F637" s="32" t="n">
        <v>64</v>
      </c>
      <c r="G637" s="31" t="s">
        <v>61</v>
      </c>
      <c r="H637" s="31" t="n">
        <v>1</v>
      </c>
      <c r="I637" s="31" t="s">
        <v>387</v>
      </c>
      <c r="J637" s="29"/>
      <c r="K637" s="29" t="s">
        <v>2903</v>
      </c>
      <c r="L637" s="32" t="n">
        <v>57</v>
      </c>
      <c r="M637" s="33" t="s">
        <v>2499</v>
      </c>
      <c r="N637" s="34" t="n">
        <v>75016</v>
      </c>
      <c r="O637" s="35" t="s">
        <v>55</v>
      </c>
      <c r="P637" s="36" t="s">
        <v>4202</v>
      </c>
      <c r="Q637" s="36" t="n">
        <v>4</v>
      </c>
      <c r="R637" s="32" t="n">
        <v>221</v>
      </c>
      <c r="S637" s="32" t="n">
        <v>2</v>
      </c>
      <c r="T637" s="32"/>
      <c r="U637" s="32"/>
      <c r="V637" s="37"/>
      <c r="W637" s="32"/>
      <c r="X637" s="34"/>
      <c r="Y637" s="34"/>
      <c r="Z637" s="32"/>
      <c r="AA637" s="32" t="s">
        <v>4203</v>
      </c>
      <c r="AB637" s="32" t="s">
        <v>4204</v>
      </c>
      <c r="AC637" s="38" t="str">
        <f aca="false">HYPERLINK("https://biocodex6--c.vf.force.com/0014L00000KG028QAD", "SABBAH EZAOUI LIORA")</f>
        <v>SABBAH EZAOUI LIORA</v>
      </c>
      <c r="AD637" s="38" t="str">
        <f aca="false">HYPERLINK("https://annuairesante.ameli.fr/professionnels-de-sante/recherche/fiche-detaillee-B7c1lzAxMTWw.html", "SABBAH EZAOUI LIORA")</f>
        <v>SABBAH EZAOUI LIORA</v>
      </c>
      <c r="AE637" s="39"/>
      <c r="AF637" s="40"/>
      <c r="AG637" s="41"/>
      <c r="AH637" s="32"/>
      <c r="AI637" s="32"/>
      <c r="AL637" s="43" t="s">
        <v>85</v>
      </c>
      <c r="AM637" s="43" t="s">
        <v>137</v>
      </c>
      <c r="AN637" s="43" t="s">
        <v>474</v>
      </c>
      <c r="AO637" s="43" t="s">
        <v>328</v>
      </c>
      <c r="AP637" s="43" t="s">
        <v>85</v>
      </c>
      <c r="AQ637" s="43" t="s">
        <v>328</v>
      </c>
      <c r="AR637" s="43" t="s">
        <v>474</v>
      </c>
      <c r="AS637" s="43" t="s">
        <v>328</v>
      </c>
      <c r="AT637" s="43" t="s">
        <v>85</v>
      </c>
      <c r="AU637" s="32"/>
      <c r="XEY637" s="27"/>
      <c r="XEZ637" s="27"/>
      <c r="XFA637" s="27"/>
      <c r="XFB637" s="27"/>
      <c r="XFC637" s="27"/>
      <c r="XFD637" s="27"/>
    </row>
    <row r="638" s="42" customFormat="true" ht="14.15" hidden="false" customHeight="true" outlineLevel="0" collapsed="false">
      <c r="A638" s="28" t="s">
        <v>4205</v>
      </c>
      <c r="B638" s="29" t="s">
        <v>4206</v>
      </c>
      <c r="C638" s="29" t="s">
        <v>4207</v>
      </c>
      <c r="D638" s="30" t="s">
        <v>50</v>
      </c>
      <c r="E638" s="30" t="s">
        <v>344</v>
      </c>
      <c r="F638" s="32" t="n">
        <v>46</v>
      </c>
      <c r="G638" s="31"/>
      <c r="H638" s="31" t="n">
        <v>1</v>
      </c>
      <c r="I638" s="31" t="s">
        <v>99</v>
      </c>
      <c r="J638" s="29"/>
      <c r="K638" s="29" t="s">
        <v>4208</v>
      </c>
      <c r="L638" s="32" t="n">
        <v>181</v>
      </c>
      <c r="M638" s="33" t="s">
        <v>588</v>
      </c>
      <c r="N638" s="34" t="n">
        <v>75015</v>
      </c>
      <c r="O638" s="35" t="s">
        <v>55</v>
      </c>
      <c r="P638" s="36" t="s">
        <v>4209</v>
      </c>
      <c r="Q638" s="36" t="n">
        <v>2</v>
      </c>
      <c r="R638" s="32" t="n">
        <v>215</v>
      </c>
      <c r="S638" s="32" t="n">
        <v>2</v>
      </c>
      <c r="T638" s="32"/>
      <c r="U638" s="32"/>
      <c r="V638" s="37"/>
      <c r="W638" s="32"/>
      <c r="X638" s="34"/>
      <c r="Y638" s="34"/>
      <c r="Z638" s="36"/>
      <c r="AA638" s="32" t="s">
        <v>4210</v>
      </c>
      <c r="AB638" s="32"/>
      <c r="AC638" s="38" t="str">
        <f aca="false">HYPERLINK("https://biocodex6--c.vf.force.com/0014L00000KFoqtQAD", "LIMAIEM JOUMNI WIDED")</f>
        <v>LIMAIEM JOUMNI WIDED</v>
      </c>
      <c r="AD638" s="38"/>
      <c r="AE638" s="39" t="n">
        <v>45201.625</v>
      </c>
      <c r="AF638" s="40"/>
      <c r="AG638" s="41"/>
      <c r="AH638" s="32" t="s">
        <v>179</v>
      </c>
      <c r="AI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XEY638" s="27"/>
      <c r="XEZ638" s="27"/>
      <c r="XFA638" s="27"/>
      <c r="XFB638" s="27"/>
      <c r="XFC638" s="27"/>
      <c r="XFD638" s="27"/>
    </row>
    <row r="639" s="42" customFormat="true" ht="14.15" hidden="false" customHeight="true" outlineLevel="0" collapsed="false">
      <c r="A639" s="28" t="s">
        <v>159</v>
      </c>
      <c r="B639" s="29" t="s">
        <v>195</v>
      </c>
      <c r="C639" s="29" t="s">
        <v>4211</v>
      </c>
      <c r="D639" s="30" t="s">
        <v>50</v>
      </c>
      <c r="E639" s="30" t="s">
        <v>344</v>
      </c>
      <c r="F639" s="32" t="n">
        <v>52</v>
      </c>
      <c r="G639" s="31" t="s">
        <v>98</v>
      </c>
      <c r="H639" s="31" t="n">
        <v>1</v>
      </c>
      <c r="I639" s="31" t="s">
        <v>387</v>
      </c>
      <c r="J639" s="29"/>
      <c r="K639" s="29" t="s">
        <v>4212</v>
      </c>
      <c r="L639" s="32" t="n">
        <v>133</v>
      </c>
      <c r="M639" s="33" t="s">
        <v>2778</v>
      </c>
      <c r="N639" s="34" t="n">
        <v>75016</v>
      </c>
      <c r="O639" s="35" t="s">
        <v>55</v>
      </c>
      <c r="P639" s="36" t="s">
        <v>4213</v>
      </c>
      <c r="Q639" s="36" t="n">
        <v>1</v>
      </c>
      <c r="R639" s="32" t="n">
        <v>215</v>
      </c>
      <c r="S639" s="32" t="n">
        <v>2</v>
      </c>
      <c r="T639" s="32"/>
      <c r="U639" s="32"/>
      <c r="V639" s="37"/>
      <c r="W639" s="32"/>
      <c r="X639" s="34"/>
      <c r="Y639" s="34"/>
      <c r="Z639" s="32"/>
      <c r="AA639" s="32" t="s">
        <v>4214</v>
      </c>
      <c r="AB639" s="32" t="s">
        <v>4215</v>
      </c>
      <c r="AC639" s="38" t="str">
        <f aca="false">HYPERLINK("https://biocodex6--c.vf.force.com/0014L00000KFSSFQA5", "AZOULAY PHILIPPE")</f>
        <v>AZOULAY PHILIPPE</v>
      </c>
      <c r="AD639" s="38" t="str">
        <f aca="false">HYPERLINK("https://annuairesante.ameli.fr/professionnels-de-sante/recherche/fiche-detaillee-B7c1lTEyMTa6.html", "AZOULAY PHILIPPE")</f>
        <v>AZOULAY PHILIPPE</v>
      </c>
      <c r="AE639" s="39"/>
      <c r="AF639" s="40"/>
      <c r="AG639" s="41"/>
      <c r="AH639" s="32"/>
      <c r="AI639" s="32"/>
      <c r="AL639" s="43" t="s">
        <v>657</v>
      </c>
      <c r="AM639" s="43" t="s">
        <v>137</v>
      </c>
      <c r="AN639" s="43" t="s">
        <v>657</v>
      </c>
      <c r="AO639" s="43" t="s">
        <v>137</v>
      </c>
      <c r="AP639" s="43" t="s">
        <v>657</v>
      </c>
      <c r="AQ639" s="32"/>
      <c r="AR639" s="43" t="s">
        <v>657</v>
      </c>
      <c r="AS639" s="43" t="s">
        <v>137</v>
      </c>
      <c r="AT639" s="43" t="s">
        <v>657</v>
      </c>
      <c r="AU639" s="43" t="s">
        <v>262</v>
      </c>
      <c r="XEY639" s="27"/>
      <c r="XEZ639" s="27"/>
      <c r="XFA639" s="27"/>
      <c r="XFB639" s="27"/>
      <c r="XFC639" s="27"/>
      <c r="XFD639" s="27"/>
    </row>
    <row r="640" s="42" customFormat="true" ht="14.15" hidden="false" customHeight="true" outlineLevel="0" collapsed="false">
      <c r="A640" s="28" t="s">
        <v>4216</v>
      </c>
      <c r="B640" s="29" t="s">
        <v>1927</v>
      </c>
      <c r="C640" s="29" t="s">
        <v>4217</v>
      </c>
      <c r="D640" s="30" t="s">
        <v>50</v>
      </c>
      <c r="E640" s="30" t="s">
        <v>916</v>
      </c>
      <c r="F640" s="32" t="n">
        <v>76</v>
      </c>
      <c r="G640" s="31"/>
      <c r="H640" s="31" t="n">
        <v>1</v>
      </c>
      <c r="I640" s="31" t="s">
        <v>197</v>
      </c>
      <c r="J640" s="29"/>
      <c r="K640" s="29" t="s">
        <v>4218</v>
      </c>
      <c r="L640" s="32" t="n">
        <v>11</v>
      </c>
      <c r="M640" s="33" t="s">
        <v>4219</v>
      </c>
      <c r="N640" s="34" t="n">
        <v>75017</v>
      </c>
      <c r="O640" s="35" t="s">
        <v>55</v>
      </c>
      <c r="P640" s="36" t="s">
        <v>4220</v>
      </c>
      <c r="Q640" s="36" t="n">
        <v>2</v>
      </c>
      <c r="R640" s="32" t="n">
        <v>214</v>
      </c>
      <c r="S640" s="32" t="n">
        <v>2</v>
      </c>
      <c r="T640" s="32"/>
      <c r="U640" s="32"/>
      <c r="V640" s="37"/>
      <c r="W640" s="32"/>
      <c r="X640" s="34"/>
      <c r="Y640" s="34"/>
      <c r="Z640" s="32"/>
      <c r="AA640" s="32" t="s">
        <v>4221</v>
      </c>
      <c r="AB640" s="32"/>
      <c r="AC640" s="38" t="str">
        <f aca="false">HYPERLINK("https://biocodex6--c.vf.force.com/0014L00000KFZa5QAH", "RAZAFIMBELO DEKETELAERE ROSE")</f>
        <v>RAZAFIMBELO DEKETELAERE ROSE</v>
      </c>
      <c r="AD640" s="38"/>
      <c r="AE640" s="39"/>
      <c r="AF640" s="40"/>
      <c r="AG640" s="41"/>
      <c r="AH640" s="32"/>
      <c r="AI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XEY640" s="27"/>
      <c r="XEZ640" s="27"/>
      <c r="XFA640" s="27"/>
      <c r="XFB640" s="27"/>
      <c r="XFC640" s="27"/>
      <c r="XFD640" s="27"/>
    </row>
    <row r="641" s="42" customFormat="true" ht="14.15" hidden="false" customHeight="true" outlineLevel="0" collapsed="false">
      <c r="A641" s="28" t="s">
        <v>4222</v>
      </c>
      <c r="B641" s="29" t="s">
        <v>868</v>
      </c>
      <c r="C641" s="29" t="s">
        <v>4223</v>
      </c>
      <c r="D641" s="30" t="s">
        <v>50</v>
      </c>
      <c r="E641" s="30" t="s">
        <v>818</v>
      </c>
      <c r="F641" s="32" t="n">
        <v>78</v>
      </c>
      <c r="G641" s="31"/>
      <c r="H641" s="31" t="n">
        <v>2</v>
      </c>
      <c r="I641" s="31" t="s">
        <v>51</v>
      </c>
      <c r="J641" s="29" t="s">
        <v>286</v>
      </c>
      <c r="K641" s="29" t="s">
        <v>287</v>
      </c>
      <c r="L641" s="32" t="n">
        <v>12</v>
      </c>
      <c r="M641" s="33" t="s">
        <v>288</v>
      </c>
      <c r="N641" s="34" t="n">
        <v>75015</v>
      </c>
      <c r="O641" s="35" t="s">
        <v>55</v>
      </c>
      <c r="P641" s="36" t="s">
        <v>289</v>
      </c>
      <c r="Q641" s="36" t="n">
        <v>14</v>
      </c>
      <c r="R641" s="32" t="n">
        <v>213</v>
      </c>
      <c r="S641" s="32" t="n">
        <v>2</v>
      </c>
      <c r="T641" s="32"/>
      <c r="U641" s="32"/>
      <c r="V641" s="37"/>
      <c r="W641" s="32"/>
      <c r="X641" s="34"/>
      <c r="Y641" s="34" t="n">
        <v>2</v>
      </c>
      <c r="Z641" s="32"/>
      <c r="AA641" s="32" t="s">
        <v>4224</v>
      </c>
      <c r="AB641" s="32"/>
      <c r="AC641" s="38" t="str">
        <f aca="false">HYPERLINK("https://biocodex6--c.vf.force.com/0014L00000KFp47QAD", "LUPCZYNSKI GEORGES")</f>
        <v>LUPCZYNSKI GEORGES</v>
      </c>
      <c r="AD641" s="38"/>
      <c r="AE641" s="39" t="n">
        <v>45460.625</v>
      </c>
      <c r="AF641" s="40" t="s">
        <v>4225</v>
      </c>
      <c r="AG641" s="41"/>
      <c r="AH641" s="32"/>
      <c r="AI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XEY641" s="27"/>
      <c r="XEZ641" s="27"/>
      <c r="XFA641" s="27"/>
      <c r="XFB641" s="27"/>
      <c r="XFC641" s="27"/>
      <c r="XFD641" s="27"/>
    </row>
    <row r="642" s="42" customFormat="true" ht="14.15" hidden="false" customHeight="true" outlineLevel="0" collapsed="false">
      <c r="A642" s="28" t="s">
        <v>4226</v>
      </c>
      <c r="B642" s="29" t="s">
        <v>4227</v>
      </c>
      <c r="C642" s="29" t="s">
        <v>4228</v>
      </c>
      <c r="D642" s="30" t="s">
        <v>50</v>
      </c>
      <c r="E642" s="31"/>
      <c r="F642" s="32" t="n">
        <v>69</v>
      </c>
      <c r="G642" s="31" t="s">
        <v>61</v>
      </c>
      <c r="H642" s="31" t="n">
        <v>1</v>
      </c>
      <c r="I642" s="31" t="s">
        <v>197</v>
      </c>
      <c r="J642" s="29"/>
      <c r="K642" s="29" t="s">
        <v>4229</v>
      </c>
      <c r="L642" s="32" t="n">
        <v>218</v>
      </c>
      <c r="M642" s="33" t="s">
        <v>4230</v>
      </c>
      <c r="N642" s="34" t="n">
        <v>75017</v>
      </c>
      <c r="O642" s="35" t="s">
        <v>55</v>
      </c>
      <c r="P642" s="36" t="s">
        <v>4231</v>
      </c>
      <c r="Q642" s="36" t="n">
        <v>2</v>
      </c>
      <c r="R642" s="32" t="n">
        <v>212</v>
      </c>
      <c r="S642" s="32" t="n">
        <v>2</v>
      </c>
      <c r="T642" s="32"/>
      <c r="U642" s="32"/>
      <c r="V642" s="37"/>
      <c r="W642" s="32"/>
      <c r="X642" s="34"/>
      <c r="Y642" s="34"/>
      <c r="Z642" s="36"/>
      <c r="AA642" s="32" t="s">
        <v>4232</v>
      </c>
      <c r="AB642" s="32" t="s">
        <v>4233</v>
      </c>
      <c r="AC642" s="38" t="str">
        <f aca="false">HYPERLINK("https://biocodex6--c.vf.force.com/0014L00000KFVTiQAP", "CARLANDER JEAN BAPTISTE")</f>
        <v>CARLANDER JEAN BAPTISTE</v>
      </c>
      <c r="AD642" s="38" t="str">
        <f aca="false">HYPERLINK("https://annuairesante.ameli.fr/professionnels-de-sante/recherche/fiche-detaillee-B7c1ljY5OTu2.html", "CARLANDER JEAN BAPTISTE")</f>
        <v>CARLANDER JEAN BAPTISTE</v>
      </c>
      <c r="AE642" s="39"/>
      <c r="AF642" s="40"/>
      <c r="AG642" s="41"/>
      <c r="AH642" s="32" t="s">
        <v>179</v>
      </c>
      <c r="AI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XEY642" s="27"/>
      <c r="XEZ642" s="27"/>
      <c r="XFA642" s="27"/>
      <c r="XFB642" s="27"/>
      <c r="XFC642" s="27"/>
      <c r="XFD642" s="27"/>
    </row>
    <row r="643" s="42" customFormat="true" ht="14.15" hidden="false" customHeight="true" outlineLevel="0" collapsed="false">
      <c r="A643" s="28" t="s">
        <v>4234</v>
      </c>
      <c r="B643" s="29" t="s">
        <v>1110</v>
      </c>
      <c r="C643" s="29" t="s">
        <v>4235</v>
      </c>
      <c r="D643" s="30" t="s">
        <v>50</v>
      </c>
      <c r="E643" s="31"/>
      <c r="F643" s="32" t="n">
        <v>36</v>
      </c>
      <c r="G643" s="31" t="s">
        <v>98</v>
      </c>
      <c r="H643" s="31" t="n">
        <v>1</v>
      </c>
      <c r="I643" s="31" t="s">
        <v>435</v>
      </c>
      <c r="J643" s="29"/>
      <c r="K643" s="29" t="s">
        <v>4236</v>
      </c>
      <c r="L643" s="32" t="n">
        <v>6</v>
      </c>
      <c r="M643" s="33" t="s">
        <v>4237</v>
      </c>
      <c r="N643" s="34" t="n">
        <v>75016</v>
      </c>
      <c r="O643" s="35" t="s">
        <v>55</v>
      </c>
      <c r="P643" s="36"/>
      <c r="Q643" s="36" t="n">
        <v>2</v>
      </c>
      <c r="R643" s="32" t="n">
        <v>211</v>
      </c>
      <c r="S643" s="32" t="n">
        <v>2</v>
      </c>
      <c r="T643" s="32"/>
      <c r="U643" s="32"/>
      <c r="V643" s="37"/>
      <c r="W643" s="32"/>
      <c r="X643" s="34" t="n">
        <v>1</v>
      </c>
      <c r="Y643" s="34"/>
      <c r="Z643" s="32"/>
      <c r="AA643" s="32" t="s">
        <v>4238</v>
      </c>
      <c r="AB643" s="32" t="s">
        <v>4239</v>
      </c>
      <c r="AC643" s="38" t="str">
        <f aca="false">HYPERLINK("https://biocodex6--c.vf.force.com/0014L00000KFPI5QAP", "ANDRO CLAIRE MARINE")</f>
        <v>ANDRO CLAIRE MARINE</v>
      </c>
      <c r="AD643" s="38" t="str">
        <f aca="false">HYPERLINK("https://annuairesante.ameli.fr/professionnels-de-sante/recherche/fiche-detaillee-B7c1kjY2NzSw.html", "ANDRO CLAIRE MARINE")</f>
        <v>ANDRO CLAIRE MARINE</v>
      </c>
      <c r="AE643" s="39" t="n">
        <v>45279.4583333333</v>
      </c>
      <c r="AF643" s="40" t="s">
        <v>4240</v>
      </c>
      <c r="AG643" s="41"/>
      <c r="AH643" s="32"/>
      <c r="AI643" s="32"/>
      <c r="AL643" s="43" t="s">
        <v>4241</v>
      </c>
      <c r="AM643" s="43" t="s">
        <v>910</v>
      </c>
      <c r="AN643" s="43" t="s">
        <v>4242</v>
      </c>
      <c r="AO643" s="43" t="s">
        <v>4243</v>
      </c>
      <c r="AP643" s="43" t="s">
        <v>4241</v>
      </c>
      <c r="AQ643" s="43" t="s">
        <v>910</v>
      </c>
      <c r="AR643" s="43" t="s">
        <v>4244</v>
      </c>
      <c r="AS643" s="43" t="s">
        <v>4245</v>
      </c>
      <c r="AT643" s="43" t="s">
        <v>4246</v>
      </c>
      <c r="AU643" s="43" t="s">
        <v>910</v>
      </c>
      <c r="XEY643" s="27"/>
      <c r="XEZ643" s="27"/>
      <c r="XFA643" s="27"/>
      <c r="XFB643" s="27"/>
      <c r="XFC643" s="27"/>
      <c r="XFD643" s="27"/>
    </row>
    <row r="644" s="42" customFormat="true" ht="14.15" hidden="false" customHeight="true" outlineLevel="0" collapsed="false">
      <c r="A644" s="28" t="s">
        <v>619</v>
      </c>
      <c r="B644" s="29" t="s">
        <v>1955</v>
      </c>
      <c r="C644" s="29" t="s">
        <v>4247</v>
      </c>
      <c r="D644" s="30" t="s">
        <v>244</v>
      </c>
      <c r="E644" s="30" t="s">
        <v>245</v>
      </c>
      <c r="F644" s="32" t="n">
        <v>79</v>
      </c>
      <c r="G644" s="31"/>
      <c r="H644" s="31" t="n">
        <v>1</v>
      </c>
      <c r="I644" s="31" t="s">
        <v>77</v>
      </c>
      <c r="J644" s="29"/>
      <c r="K644" s="29" t="s">
        <v>4248</v>
      </c>
      <c r="L644" s="32" t="n">
        <v>121</v>
      </c>
      <c r="M644" s="33" t="s">
        <v>806</v>
      </c>
      <c r="N644" s="34" t="n">
        <v>92200</v>
      </c>
      <c r="O644" s="35" t="s">
        <v>81</v>
      </c>
      <c r="P644" s="36" t="s">
        <v>4249</v>
      </c>
      <c r="Q644" s="36" t="n">
        <v>1</v>
      </c>
      <c r="R644" s="32" t="n">
        <v>211</v>
      </c>
      <c r="S644" s="32" t="n">
        <v>2</v>
      </c>
      <c r="T644" s="32"/>
      <c r="U644" s="32"/>
      <c r="V644" s="37"/>
      <c r="W644" s="32"/>
      <c r="X644" s="34"/>
      <c r="Y644" s="34"/>
      <c r="Z644" s="32"/>
      <c r="AA644" s="32" t="s">
        <v>4250</v>
      </c>
      <c r="AB644" s="32"/>
      <c r="AC644" s="38" t="str">
        <f aca="false">HYPERLINK("https://biocodex6--c.vf.force.com/0014L00000KFW9TQAX", "CHARLES REMI")</f>
        <v>CHARLES REMI</v>
      </c>
      <c r="AD644" s="38"/>
      <c r="AE644" s="39"/>
      <c r="AF644" s="40"/>
      <c r="AG644" s="41"/>
      <c r="AH644" s="32"/>
      <c r="AI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XEY644" s="27"/>
      <c r="XEZ644" s="27"/>
      <c r="XFA644" s="27"/>
      <c r="XFB644" s="27"/>
      <c r="XFC644" s="27"/>
      <c r="XFD644" s="27"/>
    </row>
    <row r="645" s="42" customFormat="true" ht="14.15" hidden="false" customHeight="true" outlineLevel="0" collapsed="false">
      <c r="A645" s="28" t="s">
        <v>4251</v>
      </c>
      <c r="B645" s="29" t="s">
        <v>2081</v>
      </c>
      <c r="C645" s="29" t="s">
        <v>4252</v>
      </c>
      <c r="D645" s="30" t="s">
        <v>112</v>
      </c>
      <c r="E645" s="31"/>
      <c r="F645" s="32" t="n">
        <v>65</v>
      </c>
      <c r="G645" s="31"/>
      <c r="H645" s="31" t="n">
        <v>2</v>
      </c>
      <c r="I645" s="31" t="s">
        <v>77</v>
      </c>
      <c r="J645" s="29"/>
      <c r="K645" s="29" t="s">
        <v>4253</v>
      </c>
      <c r="L645" s="32" t="n">
        <v>5</v>
      </c>
      <c r="M645" s="33" t="s">
        <v>4254</v>
      </c>
      <c r="N645" s="34" t="n">
        <v>92200</v>
      </c>
      <c r="O645" s="35" t="s">
        <v>81</v>
      </c>
      <c r="P645" s="36" t="s">
        <v>4255</v>
      </c>
      <c r="Q645" s="36" t="n">
        <v>1</v>
      </c>
      <c r="R645" s="32" t="n">
        <v>211</v>
      </c>
      <c r="S645" s="32" t="n">
        <v>2</v>
      </c>
      <c r="T645" s="32"/>
      <c r="U645" s="32"/>
      <c r="V645" s="37"/>
      <c r="W645" s="32"/>
      <c r="X645" s="34"/>
      <c r="Y645" s="34"/>
      <c r="Z645" s="32"/>
      <c r="AA645" s="32" t="s">
        <v>4256</v>
      </c>
      <c r="AB645" s="32"/>
      <c r="AC645" s="38" t="str">
        <f aca="false">HYPERLINK("https://biocodex6--c.vf.force.com/0014L00000KFcNmQAL", "DWORZAK ROPERT PATRICIA")</f>
        <v>DWORZAK ROPERT PATRICIA</v>
      </c>
      <c r="AD645" s="38"/>
      <c r="AE645" s="39"/>
      <c r="AF645" s="40"/>
      <c r="AG645" s="41"/>
      <c r="AH645" s="32"/>
      <c r="AI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XEY645" s="27"/>
      <c r="XEZ645" s="27"/>
      <c r="XFA645" s="27"/>
      <c r="XFB645" s="27"/>
      <c r="XFC645" s="27"/>
      <c r="XFD645" s="27"/>
    </row>
    <row r="646" s="42" customFormat="true" ht="14.15" hidden="false" customHeight="true" outlineLevel="0" collapsed="false">
      <c r="A646" s="28" t="s">
        <v>4257</v>
      </c>
      <c r="B646" s="29" t="s">
        <v>3255</v>
      </c>
      <c r="C646" s="29" t="s">
        <v>4258</v>
      </c>
      <c r="D646" s="30" t="s">
        <v>50</v>
      </c>
      <c r="E646" s="30" t="s">
        <v>386</v>
      </c>
      <c r="F646" s="32" t="n">
        <v>72</v>
      </c>
      <c r="G646" s="31" t="s">
        <v>215</v>
      </c>
      <c r="H646" s="31" t="n">
        <v>1</v>
      </c>
      <c r="I646" s="31" t="s">
        <v>173</v>
      </c>
      <c r="J646" s="29"/>
      <c r="K646" s="29" t="s">
        <v>4259</v>
      </c>
      <c r="L646" s="32" t="n">
        <v>10</v>
      </c>
      <c r="M646" s="33" t="s">
        <v>4260</v>
      </c>
      <c r="N646" s="34" t="n">
        <v>75016</v>
      </c>
      <c r="O646" s="35" t="s">
        <v>55</v>
      </c>
      <c r="P646" s="36" t="s">
        <v>4261</v>
      </c>
      <c r="Q646" s="36" t="n">
        <v>1</v>
      </c>
      <c r="R646" s="32" t="n">
        <v>210</v>
      </c>
      <c r="S646" s="32" t="n">
        <v>2</v>
      </c>
      <c r="T646" s="32"/>
      <c r="U646" s="32"/>
      <c r="V646" s="37"/>
      <c r="W646" s="32"/>
      <c r="X646" s="34"/>
      <c r="Y646" s="34"/>
      <c r="Z646" s="36"/>
      <c r="AA646" s="32" t="s">
        <v>4262</v>
      </c>
      <c r="AB646" s="32" t="s">
        <v>4263</v>
      </c>
      <c r="AC646" s="38" t="str">
        <f aca="false">HYPERLINK("https://biocodex6--c.vf.force.com/0014L00000KFX9mQAH", "COLIN DENIS")</f>
        <v>COLIN DENIS</v>
      </c>
      <c r="AD646" s="38" t="str">
        <f aca="false">HYPERLINK("https://annuairesante.ameli.fr/professionnels-de-sante/recherche/fiche-detaillee-B7c1kTU3Nzu7.html", "COLIN DENIS")</f>
        <v>COLIN DENIS</v>
      </c>
      <c r="AE646" s="39"/>
      <c r="AF646" s="40"/>
      <c r="AG646" s="41"/>
      <c r="AH646" s="32" t="s">
        <v>179</v>
      </c>
      <c r="AI646" s="32"/>
      <c r="AL646" s="43" t="s">
        <v>263</v>
      </c>
      <c r="AM646" s="43" t="s">
        <v>328</v>
      </c>
      <c r="AN646" s="43" t="s">
        <v>263</v>
      </c>
      <c r="AO646" s="43" t="s">
        <v>328</v>
      </c>
      <c r="AP646" s="32"/>
      <c r="AQ646" s="32"/>
      <c r="AR646" s="43" t="s">
        <v>263</v>
      </c>
      <c r="AS646" s="43" t="s">
        <v>328</v>
      </c>
      <c r="AT646" s="43" t="s">
        <v>263</v>
      </c>
      <c r="AU646" s="43" t="s">
        <v>328</v>
      </c>
      <c r="XEY646" s="27"/>
      <c r="XEZ646" s="27"/>
      <c r="XFA646" s="27"/>
      <c r="XFB646" s="27"/>
      <c r="XFC646" s="27"/>
      <c r="XFD646" s="27"/>
    </row>
    <row r="647" s="42" customFormat="true" ht="14.15" hidden="false" customHeight="true" outlineLevel="0" collapsed="false">
      <c r="A647" s="28" t="s">
        <v>4264</v>
      </c>
      <c r="B647" s="29" t="s">
        <v>4265</v>
      </c>
      <c r="C647" s="29" t="s">
        <v>4266</v>
      </c>
      <c r="D647" s="30" t="s">
        <v>244</v>
      </c>
      <c r="E647" s="30" t="s">
        <v>245</v>
      </c>
      <c r="F647" s="32" t="n">
        <v>48</v>
      </c>
      <c r="G647" s="31" t="s">
        <v>215</v>
      </c>
      <c r="H647" s="31" t="n">
        <v>1</v>
      </c>
      <c r="I647" s="31" t="s">
        <v>51</v>
      </c>
      <c r="J647" s="29"/>
      <c r="K647" s="29" t="s">
        <v>4267</v>
      </c>
      <c r="L647" s="32" t="n">
        <v>254</v>
      </c>
      <c r="M647" s="33" t="s">
        <v>852</v>
      </c>
      <c r="N647" s="34" t="n">
        <v>75015</v>
      </c>
      <c r="O647" s="35" t="s">
        <v>55</v>
      </c>
      <c r="P647" s="36" t="s">
        <v>4268</v>
      </c>
      <c r="Q647" s="36" t="n">
        <v>2</v>
      </c>
      <c r="R647" s="32" t="n">
        <v>209</v>
      </c>
      <c r="S647" s="32" t="n">
        <v>2</v>
      </c>
      <c r="T647" s="32"/>
      <c r="U647" s="32"/>
      <c r="V647" s="37" t="n">
        <v>3</v>
      </c>
      <c r="W647" s="32"/>
      <c r="X647" s="34"/>
      <c r="Y647" s="34"/>
      <c r="Z647" s="32"/>
      <c r="AA647" s="32"/>
      <c r="AB647" s="32" t="s">
        <v>4269</v>
      </c>
      <c r="AC647" s="38"/>
      <c r="AD647" s="38" t="str">
        <f aca="false">HYPERLINK("https://annuairesante.ameli.fr/professionnels-de-sante/recherche/fiche-detaillee-B7c1kzAzNjK1.html", "YVER CARINE")</f>
        <v>YVER CARINE</v>
      </c>
      <c r="AE647" s="39"/>
      <c r="AF647" s="40"/>
      <c r="AG647" s="45"/>
      <c r="AH647" s="32"/>
      <c r="AI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XEY647" s="27"/>
      <c r="XEZ647" s="27"/>
      <c r="XFA647" s="27"/>
      <c r="XFB647" s="27"/>
      <c r="XFC647" s="27"/>
      <c r="XFD647" s="27"/>
    </row>
    <row r="648" s="42" customFormat="true" ht="14.15" hidden="false" customHeight="true" outlineLevel="0" collapsed="false">
      <c r="A648" s="28" t="s">
        <v>4270</v>
      </c>
      <c r="B648" s="29" t="s">
        <v>4271</v>
      </c>
      <c r="C648" s="29" t="s">
        <v>4272</v>
      </c>
      <c r="D648" s="30" t="s">
        <v>244</v>
      </c>
      <c r="E648" s="30" t="s">
        <v>245</v>
      </c>
      <c r="F648" s="32" t="n">
        <v>70</v>
      </c>
      <c r="G648" s="31"/>
      <c r="H648" s="31" t="n">
        <v>1</v>
      </c>
      <c r="I648" s="31" t="s">
        <v>62</v>
      </c>
      <c r="J648" s="29"/>
      <c r="K648" s="29" t="s">
        <v>2989</v>
      </c>
      <c r="L648" s="32" t="n">
        <v>151</v>
      </c>
      <c r="M648" s="33" t="s">
        <v>646</v>
      </c>
      <c r="N648" s="34" t="n">
        <v>75017</v>
      </c>
      <c r="O648" s="35" t="s">
        <v>55</v>
      </c>
      <c r="P648" s="36" t="s">
        <v>4273</v>
      </c>
      <c r="Q648" s="36" t="n">
        <v>3</v>
      </c>
      <c r="R648" s="32" t="n">
        <v>206</v>
      </c>
      <c r="S648" s="32" t="n">
        <v>2</v>
      </c>
      <c r="T648" s="32"/>
      <c r="U648" s="32" t="n">
        <v>3</v>
      </c>
      <c r="V648" s="37"/>
      <c r="W648" s="32" t="n">
        <v>3</v>
      </c>
      <c r="X648" s="34"/>
      <c r="Y648" s="34" t="n">
        <v>1</v>
      </c>
      <c r="Z648" s="32" t="s">
        <v>4274</v>
      </c>
      <c r="AA648" s="32" t="s">
        <v>4275</v>
      </c>
      <c r="AB648" s="32"/>
      <c r="AC648" s="38" t="str">
        <f aca="false">HYPERLINK("https://biocodex6--c.vf.force.com/0014L00000KFWQ1QAP", "CHERRIER PIERRE CHARLES")</f>
        <v>CHERRIER PIERRE CHARLES</v>
      </c>
      <c r="AD648" s="38"/>
      <c r="AE648" s="39"/>
      <c r="AF648" s="40"/>
      <c r="AG648" s="41"/>
      <c r="AH648" s="32"/>
      <c r="AI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XEY648" s="27"/>
      <c r="XEZ648" s="27"/>
      <c r="XFA648" s="27"/>
      <c r="XFB648" s="27"/>
      <c r="XFC648" s="27"/>
      <c r="XFD648" s="27"/>
    </row>
    <row r="649" s="42" customFormat="true" ht="14.15" hidden="false" customHeight="true" outlineLevel="0" collapsed="false">
      <c r="A649" s="28" t="s">
        <v>4276</v>
      </c>
      <c r="B649" s="29" t="s">
        <v>3439</v>
      </c>
      <c r="C649" s="29" t="s">
        <v>4277</v>
      </c>
      <c r="D649" s="30" t="s">
        <v>50</v>
      </c>
      <c r="E649" s="30" t="s">
        <v>421</v>
      </c>
      <c r="F649" s="32" t="n">
        <v>63</v>
      </c>
      <c r="G649" s="31"/>
      <c r="H649" s="31" t="n">
        <v>1</v>
      </c>
      <c r="I649" s="31" t="s">
        <v>51</v>
      </c>
      <c r="J649" s="29" t="s">
        <v>2010</v>
      </c>
      <c r="K649" s="29" t="s">
        <v>2011</v>
      </c>
      <c r="L649" s="32" t="n">
        <v>37</v>
      </c>
      <c r="M649" s="33" t="s">
        <v>2012</v>
      </c>
      <c r="N649" s="34" t="n">
        <v>75015</v>
      </c>
      <c r="O649" s="35" t="s">
        <v>55</v>
      </c>
      <c r="P649" s="36" t="s">
        <v>2013</v>
      </c>
      <c r="Q649" s="36" t="n">
        <v>19</v>
      </c>
      <c r="R649" s="32" t="n">
        <v>205</v>
      </c>
      <c r="S649" s="32" t="n">
        <v>2</v>
      </c>
      <c r="T649" s="32"/>
      <c r="U649" s="32"/>
      <c r="V649" s="37"/>
      <c r="W649" s="32"/>
      <c r="X649" s="34"/>
      <c r="Y649" s="34"/>
      <c r="Z649" s="32"/>
      <c r="AA649" s="32" t="s">
        <v>4278</v>
      </c>
      <c r="AB649" s="32"/>
      <c r="AC649" s="38" t="str">
        <f aca="false">HYPERLINK("https://biocodex6--c.vf.force.com/0014L00000KFmXaQAL", "LAVILLE PASCALE")</f>
        <v>LAVILLE PASCALE</v>
      </c>
      <c r="AD649" s="38"/>
      <c r="AE649" s="39" t="n">
        <v>45243.6666666667</v>
      </c>
      <c r="AF649" s="40"/>
      <c r="AG649" s="41"/>
      <c r="AH649" s="32"/>
      <c r="AI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XEY649" s="27"/>
      <c r="XEZ649" s="27"/>
      <c r="XFA649" s="27"/>
      <c r="XFB649" s="27"/>
      <c r="XFC649" s="27"/>
      <c r="XFD649" s="27"/>
    </row>
    <row r="650" s="42" customFormat="true" ht="14.15" hidden="false" customHeight="true" outlineLevel="0" collapsed="false">
      <c r="A650" s="28" t="s">
        <v>4279</v>
      </c>
      <c r="B650" s="29" t="s">
        <v>3011</v>
      </c>
      <c r="C650" s="29" t="s">
        <v>4280</v>
      </c>
      <c r="D650" s="30" t="s">
        <v>244</v>
      </c>
      <c r="E650" s="30" t="s">
        <v>4281</v>
      </c>
      <c r="F650" s="32" t="n">
        <v>66</v>
      </c>
      <c r="G650" s="31"/>
      <c r="H650" s="31" t="n">
        <v>1</v>
      </c>
      <c r="I650" s="31" t="s">
        <v>119</v>
      </c>
      <c r="J650" s="29"/>
      <c r="K650" s="29" t="s">
        <v>4282</v>
      </c>
      <c r="L650" s="32" t="n">
        <v>129</v>
      </c>
      <c r="M650" s="33" t="s">
        <v>54</v>
      </c>
      <c r="N650" s="34" t="n">
        <v>75007</v>
      </c>
      <c r="O650" s="35" t="s">
        <v>55</v>
      </c>
      <c r="P650" s="36" t="s">
        <v>4283</v>
      </c>
      <c r="Q650" s="36" t="n">
        <v>1</v>
      </c>
      <c r="R650" s="32" t="n">
        <v>205</v>
      </c>
      <c r="S650" s="32" t="n">
        <v>2</v>
      </c>
      <c r="T650" s="32"/>
      <c r="U650" s="32"/>
      <c r="V650" s="37" t="n">
        <v>3</v>
      </c>
      <c r="W650" s="32"/>
      <c r="X650" s="34"/>
      <c r="Y650" s="34"/>
      <c r="Z650" s="32"/>
      <c r="AA650" s="32" t="s">
        <v>4284</v>
      </c>
      <c r="AB650" s="32"/>
      <c r="AC650" s="38" t="str">
        <f aca="false">HYPERLINK("https://biocodex6--c.vf.force.com/0014L00000KFnouQAD", "LEMETTE NADINE")</f>
        <v>LEMETTE NADINE</v>
      </c>
      <c r="AD650" s="38"/>
      <c r="AE650" s="39"/>
      <c r="AF650" s="40"/>
      <c r="AG650" s="41"/>
      <c r="AH650" s="32"/>
      <c r="AI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XEY650" s="27"/>
      <c r="XEZ650" s="27"/>
      <c r="XFA650" s="27"/>
      <c r="XFB650" s="27"/>
      <c r="XFC650" s="27"/>
      <c r="XFD650" s="27"/>
    </row>
    <row r="651" s="42" customFormat="true" ht="14.15" hidden="false" customHeight="true" outlineLevel="0" collapsed="false">
      <c r="A651" s="28" t="s">
        <v>375</v>
      </c>
      <c r="B651" s="29" t="s">
        <v>4285</v>
      </c>
      <c r="C651" s="29" t="s">
        <v>4286</v>
      </c>
      <c r="D651" s="30" t="s">
        <v>50</v>
      </c>
      <c r="E651" s="31"/>
      <c r="F651" s="32" t="n">
        <v>40</v>
      </c>
      <c r="G651" s="31" t="s">
        <v>98</v>
      </c>
      <c r="H651" s="31" t="n">
        <v>1</v>
      </c>
      <c r="I651" s="31" t="s">
        <v>295</v>
      </c>
      <c r="J651" s="29"/>
      <c r="K651" s="29" t="s">
        <v>4287</v>
      </c>
      <c r="L651" s="32" t="n">
        <v>58</v>
      </c>
      <c r="M651" s="33" t="s">
        <v>1050</v>
      </c>
      <c r="N651" s="34" t="n">
        <v>92300</v>
      </c>
      <c r="O651" s="35" t="s">
        <v>298</v>
      </c>
      <c r="P651" s="36" t="s">
        <v>4288</v>
      </c>
      <c r="Q651" s="36" t="n">
        <v>1</v>
      </c>
      <c r="R651" s="32" t="n">
        <v>205</v>
      </c>
      <c r="S651" s="32" t="n">
        <v>2</v>
      </c>
      <c r="T651" s="32"/>
      <c r="U651" s="32"/>
      <c r="V651" s="37"/>
      <c r="W651" s="32"/>
      <c r="X651" s="34"/>
      <c r="Y651" s="34"/>
      <c r="Z651" s="32"/>
      <c r="AA651" s="32" t="s">
        <v>4289</v>
      </c>
      <c r="AB651" s="32" t="s">
        <v>4290</v>
      </c>
      <c r="AC651" s="38" t="str">
        <f aca="false">HYPERLINK("https://biocodex6--c.vf.force.com/0014L00000KFLB7QAP", "ICHOU JENNIFER")</f>
        <v>ICHOU JENNIFER</v>
      </c>
      <c r="AD651" s="38" t="str">
        <f aca="false">HYPERLINK("https://annuairesante.ameli.fr/professionnels-de-sante/recherche/fiche-detaillee-CbA1kjA1Nje7.html", "ICHOU JENNIFER")</f>
        <v>ICHOU JENNIFER</v>
      </c>
      <c r="AE651" s="39"/>
      <c r="AF651" s="40"/>
      <c r="AG651" s="41"/>
      <c r="AH651" s="32"/>
      <c r="AI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XEY651" s="27"/>
      <c r="XEZ651" s="27"/>
      <c r="XFA651" s="27"/>
      <c r="XFB651" s="27"/>
      <c r="XFC651" s="27"/>
      <c r="XFD651" s="27"/>
    </row>
    <row r="652" s="42" customFormat="true" ht="14.15" hidden="false" customHeight="true" outlineLevel="0" collapsed="false">
      <c r="A652" s="28" t="s">
        <v>4291</v>
      </c>
      <c r="B652" s="29" t="s">
        <v>4292</v>
      </c>
      <c r="C652" s="29" t="s">
        <v>4293</v>
      </c>
      <c r="D652" s="30" t="s">
        <v>50</v>
      </c>
      <c r="E652" s="31"/>
      <c r="F652" s="32" t="n">
        <v>38</v>
      </c>
      <c r="G652" s="31" t="s">
        <v>98</v>
      </c>
      <c r="H652" s="31" t="n">
        <v>1</v>
      </c>
      <c r="I652" s="31" t="s">
        <v>119</v>
      </c>
      <c r="J652" s="29"/>
      <c r="K652" s="29" t="s">
        <v>1715</v>
      </c>
      <c r="L652" s="32" t="n">
        <v>85</v>
      </c>
      <c r="M652" s="33" t="s">
        <v>1716</v>
      </c>
      <c r="N652" s="34" t="n">
        <v>75007</v>
      </c>
      <c r="O652" s="35" t="s">
        <v>55</v>
      </c>
      <c r="P652" s="36" t="s">
        <v>4294</v>
      </c>
      <c r="Q652" s="36" t="n">
        <v>2</v>
      </c>
      <c r="R652" s="32" t="n">
        <v>203</v>
      </c>
      <c r="S652" s="32" t="n">
        <v>2</v>
      </c>
      <c r="T652" s="32"/>
      <c r="U652" s="32"/>
      <c r="V652" s="37"/>
      <c r="W652" s="32"/>
      <c r="X652" s="34"/>
      <c r="Y652" s="34"/>
      <c r="Z652" s="32"/>
      <c r="AA652" s="32" t="s">
        <v>4295</v>
      </c>
      <c r="AB652" s="32" t="s">
        <v>4296</v>
      </c>
      <c r="AC652" s="38" t="str">
        <f aca="false">HYPERLINK("https://biocodex6--c.vf.force.com/0014L00000KFO3nQAH", "DOUKHAN ILANA")</f>
        <v>DOUKHAN ILANA</v>
      </c>
      <c r="AD652" s="38" t="str">
        <f aca="false">HYPERLINK("https://annuairesante.ameli.fr/professionnels-de-sante/recherche/fiche-detaillee-B7c1kjE2MTa2.html", "DOUKHAN ILANA")</f>
        <v>DOUKHAN ILANA</v>
      </c>
      <c r="AE652" s="39"/>
      <c r="AF652" s="40"/>
      <c r="AG652" s="41"/>
      <c r="AH652" s="32"/>
      <c r="AI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XEY652" s="27"/>
      <c r="XEZ652" s="27"/>
      <c r="XFA652" s="27"/>
      <c r="XFB652" s="27"/>
      <c r="XFC652" s="27"/>
      <c r="XFD652" s="27"/>
    </row>
    <row r="653" s="42" customFormat="true" ht="14.15" hidden="false" customHeight="true" outlineLevel="0" collapsed="false">
      <c r="A653" s="28" t="s">
        <v>1134</v>
      </c>
      <c r="B653" s="29" t="s">
        <v>4112</v>
      </c>
      <c r="C653" s="29" t="s">
        <v>4297</v>
      </c>
      <c r="D653" s="30" t="s">
        <v>112</v>
      </c>
      <c r="E653" s="30" t="s">
        <v>776</v>
      </c>
      <c r="F653" s="32" t="n">
        <v>65</v>
      </c>
      <c r="G653" s="31" t="s">
        <v>215</v>
      </c>
      <c r="H653" s="31" t="n">
        <v>2</v>
      </c>
      <c r="I653" s="31" t="s">
        <v>62</v>
      </c>
      <c r="J653" s="29"/>
      <c r="K653" s="29" t="s">
        <v>4298</v>
      </c>
      <c r="L653" s="32" t="n">
        <v>12</v>
      </c>
      <c r="M653" s="33" t="s">
        <v>4299</v>
      </c>
      <c r="N653" s="34" t="n">
        <v>75017</v>
      </c>
      <c r="O653" s="35" t="s">
        <v>55</v>
      </c>
      <c r="P653" s="36" t="s">
        <v>4300</v>
      </c>
      <c r="Q653" s="36" t="n">
        <v>1</v>
      </c>
      <c r="R653" s="32" t="n">
        <v>199</v>
      </c>
      <c r="S653" s="32" t="n">
        <v>2</v>
      </c>
      <c r="T653" s="32"/>
      <c r="U653" s="32" t="n">
        <v>3</v>
      </c>
      <c r="V653" s="37" t="n">
        <v>3</v>
      </c>
      <c r="W653" s="32" t="n">
        <v>3</v>
      </c>
      <c r="X653" s="34"/>
      <c r="Y653" s="34" t="n">
        <v>2</v>
      </c>
      <c r="Z653" s="32"/>
      <c r="AA653" s="32" t="s">
        <v>4301</v>
      </c>
      <c r="AB653" s="32" t="s">
        <v>4302</v>
      </c>
      <c r="AC653" s="38" t="str">
        <f aca="false">HYPERLINK("https://biocodex6--c.vf.force.com/0014L00000KFX26QAH", "COHEN JOSEPH")</f>
        <v>COHEN JOSEPH</v>
      </c>
      <c r="AD653" s="38" t="str">
        <f aca="false">HYPERLINK("https://annuairesante.ameli.fr/professionnels-de-sante/recherche/fiche-detaillee-B7c1lzQzMzCx.html", "COHEN JOSEPH")</f>
        <v>COHEN JOSEPH</v>
      </c>
      <c r="AE653" s="39" t="n">
        <v>45450.3541666667</v>
      </c>
      <c r="AF653" s="40"/>
      <c r="AG653" s="41"/>
      <c r="AH653" s="32"/>
      <c r="AI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XEY653" s="27"/>
      <c r="XEZ653" s="27"/>
      <c r="XFA653" s="27"/>
      <c r="XFB653" s="27"/>
      <c r="XFC653" s="27"/>
      <c r="XFD653" s="27"/>
    </row>
    <row r="654" s="42" customFormat="true" ht="14.15" hidden="false" customHeight="true" outlineLevel="0" collapsed="false">
      <c r="A654" s="28" t="s">
        <v>4303</v>
      </c>
      <c r="B654" s="29" t="s">
        <v>4304</v>
      </c>
      <c r="C654" s="29" t="s">
        <v>4305</v>
      </c>
      <c r="D654" s="30" t="s">
        <v>50</v>
      </c>
      <c r="E654" s="31"/>
      <c r="F654" s="32" t="n">
        <v>41</v>
      </c>
      <c r="G654" s="31" t="s">
        <v>98</v>
      </c>
      <c r="H654" s="31" t="n">
        <v>1</v>
      </c>
      <c r="I654" s="31" t="s">
        <v>99</v>
      </c>
      <c r="J654" s="29"/>
      <c r="K654" s="29" t="s">
        <v>4306</v>
      </c>
      <c r="L654" s="32" t="n">
        <v>10</v>
      </c>
      <c r="M654" s="33" t="s">
        <v>4307</v>
      </c>
      <c r="N654" s="34" t="n">
        <v>75015</v>
      </c>
      <c r="O654" s="35" t="s">
        <v>55</v>
      </c>
      <c r="P654" s="36" t="s">
        <v>4308</v>
      </c>
      <c r="Q654" s="36" t="n">
        <v>1</v>
      </c>
      <c r="R654" s="32" t="n">
        <v>196</v>
      </c>
      <c r="S654" s="32" t="n">
        <v>2</v>
      </c>
      <c r="T654" s="32"/>
      <c r="U654" s="32"/>
      <c r="V654" s="37"/>
      <c r="W654" s="32"/>
      <c r="X654" s="34"/>
      <c r="Y654" s="34"/>
      <c r="Z654" s="36"/>
      <c r="AA654" s="32" t="s">
        <v>4309</v>
      </c>
      <c r="AB654" s="32" t="s">
        <v>4310</v>
      </c>
      <c r="AC654" s="38" t="str">
        <f aca="false">HYPERLINK("https://biocodex6--c.vf.force.com/0014L00000KFep7QAD", "CHETIOUI JACKIE")</f>
        <v>CHETIOUI JACKIE</v>
      </c>
      <c r="AD654" s="38" t="str">
        <f aca="false">HYPERLINK("https://annuairesante.ameli.fr/professionnels-de-sante/recherche/fiche-detaillee-B7c1mzYyODOw.html", "CHETIOUI JACKIE")</f>
        <v>CHETIOUI JACKIE</v>
      </c>
      <c r="AE654" s="39"/>
      <c r="AF654" s="40"/>
      <c r="AG654" s="41"/>
      <c r="AH654" s="32" t="s">
        <v>179</v>
      </c>
      <c r="AI654" s="32"/>
      <c r="AL654" s="43" t="s">
        <v>85</v>
      </c>
      <c r="AM654" s="43" t="s">
        <v>534</v>
      </c>
      <c r="AN654" s="43" t="s">
        <v>85</v>
      </c>
      <c r="AO654" s="43" t="s">
        <v>534</v>
      </c>
      <c r="AP654" s="43" t="s">
        <v>2262</v>
      </c>
      <c r="AQ654" s="32"/>
      <c r="AR654" s="43" t="s">
        <v>85</v>
      </c>
      <c r="AS654" s="43" t="s">
        <v>534</v>
      </c>
      <c r="AT654" s="43" t="s">
        <v>85</v>
      </c>
      <c r="AU654" s="43" t="s">
        <v>534</v>
      </c>
      <c r="XEY654" s="27"/>
      <c r="XEZ654" s="27"/>
      <c r="XFA654" s="27"/>
      <c r="XFB654" s="27"/>
      <c r="XFC654" s="27"/>
      <c r="XFD654" s="27"/>
    </row>
    <row r="655" s="42" customFormat="true" ht="14.15" hidden="false" customHeight="true" outlineLevel="0" collapsed="false">
      <c r="A655" s="28" t="s">
        <v>4311</v>
      </c>
      <c r="B655" s="29" t="s">
        <v>839</v>
      </c>
      <c r="C655" s="29" t="s">
        <v>4312</v>
      </c>
      <c r="D655" s="30" t="s">
        <v>50</v>
      </c>
      <c r="E655" s="30" t="s">
        <v>4028</v>
      </c>
      <c r="F655" s="32" t="n">
        <v>66</v>
      </c>
      <c r="G655" s="31"/>
      <c r="H655" s="31" t="n">
        <v>1</v>
      </c>
      <c r="I655" s="31" t="s">
        <v>62</v>
      </c>
      <c r="J655" s="29"/>
      <c r="K655" s="29" t="s">
        <v>4313</v>
      </c>
      <c r="L655" s="32" t="n">
        <v>7</v>
      </c>
      <c r="M655" s="33" t="s">
        <v>4314</v>
      </c>
      <c r="N655" s="34" t="n">
        <v>75017</v>
      </c>
      <c r="O655" s="35" t="s">
        <v>55</v>
      </c>
      <c r="P655" s="36" t="s">
        <v>4315</v>
      </c>
      <c r="Q655" s="36" t="n">
        <v>1</v>
      </c>
      <c r="R655" s="32" t="n">
        <v>196</v>
      </c>
      <c r="S655" s="32" t="n">
        <v>2</v>
      </c>
      <c r="T655" s="32"/>
      <c r="U655" s="32"/>
      <c r="V655" s="37"/>
      <c r="W655" s="32"/>
      <c r="X655" s="34"/>
      <c r="Y655" s="34"/>
      <c r="Z655" s="32"/>
      <c r="AA655" s="32" t="s">
        <v>4316</v>
      </c>
      <c r="AB655" s="32"/>
      <c r="AC655" s="38" t="str">
        <f aca="false">HYPERLINK("https://biocodex6--c.vf.force.com/0014L00000KFVtHQAX", "CESSOT GILLES")</f>
        <v>CESSOT GILLES</v>
      </c>
      <c r="AD655" s="38"/>
      <c r="AE655" s="39"/>
      <c r="AF655" s="40"/>
      <c r="AG655" s="41"/>
      <c r="AH655" s="32"/>
      <c r="AI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XEY655" s="27"/>
      <c r="XEZ655" s="27"/>
      <c r="XFA655" s="27"/>
      <c r="XFB655" s="27"/>
      <c r="XFC655" s="27"/>
      <c r="XFD655" s="27"/>
    </row>
    <row r="656" s="42" customFormat="true" ht="14.15" hidden="false" customHeight="true" outlineLevel="0" collapsed="false">
      <c r="A656" s="28" t="s">
        <v>4317</v>
      </c>
      <c r="B656" s="29" t="s">
        <v>4318</v>
      </c>
      <c r="C656" s="29" t="s">
        <v>4319</v>
      </c>
      <c r="D656" s="30" t="s">
        <v>75</v>
      </c>
      <c r="E656" s="30" t="s">
        <v>76</v>
      </c>
      <c r="F656" s="32" t="n">
        <v>51</v>
      </c>
      <c r="G656" s="31" t="s">
        <v>215</v>
      </c>
      <c r="H656" s="31" t="n">
        <v>1</v>
      </c>
      <c r="I656" s="31" t="s">
        <v>173</v>
      </c>
      <c r="J656" s="29"/>
      <c r="K656" s="29" t="s">
        <v>4320</v>
      </c>
      <c r="L656" s="32" t="n">
        <v>5</v>
      </c>
      <c r="M656" s="33" t="s">
        <v>4321</v>
      </c>
      <c r="N656" s="34" t="n">
        <v>75016</v>
      </c>
      <c r="O656" s="35" t="s">
        <v>55</v>
      </c>
      <c r="P656" s="36"/>
      <c r="Q656" s="36" t="n">
        <v>3</v>
      </c>
      <c r="R656" s="32" t="n">
        <v>196</v>
      </c>
      <c r="S656" s="32" t="n">
        <v>2</v>
      </c>
      <c r="T656" s="32"/>
      <c r="U656" s="32"/>
      <c r="V656" s="37"/>
      <c r="W656" s="32"/>
      <c r="X656" s="34"/>
      <c r="Y656" s="34"/>
      <c r="Z656" s="32"/>
      <c r="AA656" s="32" t="s">
        <v>4322</v>
      </c>
      <c r="AB656" s="32" t="s">
        <v>4323</v>
      </c>
      <c r="AC656" s="38" t="str">
        <f aca="false">HYPERLINK("https://biocodex6--c.vf.force.com/0014L00000KFaiiQAD", "FARTOUX LAETITIA")</f>
        <v>FARTOUX LAETITIA</v>
      </c>
      <c r="AD656" s="38" t="str">
        <f aca="false">HYPERLINK("https://annuairesante.ameli.fr/professionnels-de-sante/recherche/fiche-detaillee-B7c1lTYyMTK3.html", "FARTOUX LAETITIA")</f>
        <v>FARTOUX LAETITIA</v>
      </c>
      <c r="AE656" s="39"/>
      <c r="AF656" s="40"/>
      <c r="AG656" s="41"/>
      <c r="AH656" s="32"/>
      <c r="AI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XEY656" s="27"/>
      <c r="XEZ656" s="27"/>
      <c r="XFA656" s="27"/>
      <c r="XFB656" s="27"/>
      <c r="XFC656" s="27"/>
      <c r="XFD656" s="27"/>
    </row>
    <row r="657" s="42" customFormat="true" ht="14.15" hidden="false" customHeight="true" outlineLevel="0" collapsed="false">
      <c r="A657" s="28" t="s">
        <v>4324</v>
      </c>
      <c r="B657" s="29" t="s">
        <v>4325</v>
      </c>
      <c r="C657" s="29" t="s">
        <v>4326</v>
      </c>
      <c r="D657" s="30" t="s">
        <v>50</v>
      </c>
      <c r="E657" s="31"/>
      <c r="F657" s="32" t="n">
        <v>34</v>
      </c>
      <c r="G657" s="31"/>
      <c r="H657" s="31" t="n">
        <v>1</v>
      </c>
      <c r="I657" s="31" t="s">
        <v>233</v>
      </c>
      <c r="J657" s="29"/>
      <c r="K657" s="29" t="s">
        <v>4327</v>
      </c>
      <c r="L657" s="32" t="n">
        <v>65</v>
      </c>
      <c r="M657" s="33" t="s">
        <v>4328</v>
      </c>
      <c r="N657" s="34" t="n">
        <v>75015</v>
      </c>
      <c r="O657" s="35" t="s">
        <v>55</v>
      </c>
      <c r="P657" s="36" t="s">
        <v>4329</v>
      </c>
      <c r="Q657" s="36" t="n">
        <v>1</v>
      </c>
      <c r="R657" s="32" t="n">
        <v>187</v>
      </c>
      <c r="S657" s="32" t="n">
        <v>2</v>
      </c>
      <c r="T657" s="32"/>
      <c r="U657" s="32"/>
      <c r="V657" s="37"/>
      <c r="W657" s="32"/>
      <c r="X657" s="34"/>
      <c r="Y657" s="34"/>
      <c r="Z657" s="32"/>
      <c r="AA657" s="32" t="s">
        <v>4330</v>
      </c>
      <c r="AB657" s="32"/>
      <c r="AC657" s="38" t="str">
        <f aca="false">HYPERLINK("https://biocodex6--c.vf.force.com/0014L00000KGCKGQA5", "HUGUES ALBANE")</f>
        <v>HUGUES ALBANE</v>
      </c>
      <c r="AD657" s="38"/>
      <c r="AE657" s="39"/>
      <c r="AF657" s="40"/>
      <c r="AG657" s="41"/>
      <c r="AH657" s="32"/>
      <c r="AI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XEY657" s="27"/>
      <c r="XEZ657" s="27"/>
      <c r="XFA657" s="27"/>
      <c r="XFB657" s="27"/>
      <c r="XFC657" s="27"/>
      <c r="XFD657" s="27"/>
    </row>
    <row r="658" s="42" customFormat="true" ht="14.15" hidden="false" customHeight="true" outlineLevel="0" collapsed="false">
      <c r="A658" s="28" t="s">
        <v>4331</v>
      </c>
      <c r="B658" s="29" t="s">
        <v>1777</v>
      </c>
      <c r="C658" s="29" t="s">
        <v>4332</v>
      </c>
      <c r="D658" s="30" t="s">
        <v>50</v>
      </c>
      <c r="E658" s="30" t="s">
        <v>916</v>
      </c>
      <c r="F658" s="32" t="n">
        <v>56</v>
      </c>
      <c r="G658" s="31" t="s">
        <v>98</v>
      </c>
      <c r="H658" s="31" t="n">
        <v>1</v>
      </c>
      <c r="I658" s="31" t="s">
        <v>173</v>
      </c>
      <c r="J658" s="29"/>
      <c r="K658" s="29" t="s">
        <v>4333</v>
      </c>
      <c r="L658" s="32" t="n">
        <v>95</v>
      </c>
      <c r="M658" s="33" t="s">
        <v>175</v>
      </c>
      <c r="N658" s="34" t="n">
        <v>75016</v>
      </c>
      <c r="O658" s="35" t="s">
        <v>55</v>
      </c>
      <c r="P658" s="36" t="s">
        <v>4334</v>
      </c>
      <c r="Q658" s="36" t="n">
        <v>1</v>
      </c>
      <c r="R658" s="32" t="n">
        <v>186</v>
      </c>
      <c r="S658" s="32" t="n">
        <v>2</v>
      </c>
      <c r="T658" s="32"/>
      <c r="U658" s="32"/>
      <c r="V658" s="37"/>
      <c r="W658" s="32"/>
      <c r="X658" s="34"/>
      <c r="Y658" s="34"/>
      <c r="Z658" s="32"/>
      <c r="AA658" s="32" t="s">
        <v>4335</v>
      </c>
      <c r="AB658" s="32" t="s">
        <v>4336</v>
      </c>
      <c r="AC658" s="38" t="str">
        <f aca="false">HYPERLINK("https://biocodex6--c.vf.force.com/0014L00000KFTafQAH", "BENSHIMON VALERIE")</f>
        <v>BENSHIMON VALERIE</v>
      </c>
      <c r="AD658" s="38" t="str">
        <f aca="false">HYPERLINK("https://annuairesante.ameli.fr/professionnels-de-sante/recherche/fiche-detaillee-B7c1lDYxODSx.html", "BENSHIMON VALERIE")</f>
        <v>BENSHIMON VALERIE</v>
      </c>
      <c r="AE658" s="39"/>
      <c r="AF658" s="40"/>
      <c r="AG658" s="41"/>
      <c r="AH658" s="32"/>
      <c r="AI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XEY658" s="27"/>
      <c r="XEZ658" s="27"/>
      <c r="XFA658" s="27"/>
      <c r="XFB658" s="27"/>
      <c r="XFC658" s="27"/>
      <c r="XFD658" s="27"/>
    </row>
    <row r="659" s="42" customFormat="true" ht="14.15" hidden="false" customHeight="true" outlineLevel="0" collapsed="false">
      <c r="A659" s="28" t="s">
        <v>4337</v>
      </c>
      <c r="B659" s="29" t="s">
        <v>4338</v>
      </c>
      <c r="C659" s="29" t="s">
        <v>4339</v>
      </c>
      <c r="D659" s="30" t="s">
        <v>50</v>
      </c>
      <c r="E659" s="31"/>
      <c r="F659" s="32" t="n">
        <v>41</v>
      </c>
      <c r="G659" s="31"/>
      <c r="H659" s="31" t="n">
        <v>3</v>
      </c>
      <c r="I659" s="31" t="s">
        <v>99</v>
      </c>
      <c r="J659" s="29" t="s">
        <v>595</v>
      </c>
      <c r="K659" s="29" t="s">
        <v>596</v>
      </c>
      <c r="L659" s="32" t="n">
        <v>20</v>
      </c>
      <c r="M659" s="33" t="s">
        <v>597</v>
      </c>
      <c r="N659" s="34" t="n">
        <v>75015</v>
      </c>
      <c r="O659" s="35" t="s">
        <v>55</v>
      </c>
      <c r="P659" s="36" t="s">
        <v>4340</v>
      </c>
      <c r="Q659" s="36" t="n">
        <v>90</v>
      </c>
      <c r="R659" s="32" t="n">
        <v>185</v>
      </c>
      <c r="S659" s="32" t="n">
        <v>2</v>
      </c>
      <c r="T659" s="32"/>
      <c r="U659" s="32"/>
      <c r="V659" s="37"/>
      <c r="W659" s="32"/>
      <c r="X659" s="34" t="n">
        <v>1</v>
      </c>
      <c r="Y659" s="34"/>
      <c r="Z659" s="32"/>
      <c r="AA659" s="32" t="s">
        <v>4341</v>
      </c>
      <c r="AB659" s="32"/>
      <c r="AC659" s="38" t="str">
        <f aca="false">HYPERLINK("https://biocodex6--c.vf.force.com/0014L00000KFnbOQAT", "LANDRIN TERENCE")</f>
        <v>LANDRIN TERENCE</v>
      </c>
      <c r="AD659" s="38"/>
      <c r="AE659" s="39" t="n">
        <v>45282.40625</v>
      </c>
      <c r="AF659" s="40" t="s">
        <v>4342</v>
      </c>
      <c r="AG659" s="41"/>
      <c r="AH659" s="32"/>
      <c r="AI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XEY659" s="27"/>
      <c r="XEZ659" s="27"/>
      <c r="XFA659" s="27"/>
      <c r="XFB659" s="27"/>
      <c r="XFC659" s="27"/>
      <c r="XFD659" s="27"/>
    </row>
    <row r="660" s="42" customFormat="true" ht="14.15" hidden="false" customHeight="true" outlineLevel="0" collapsed="false">
      <c r="A660" s="28" t="s">
        <v>4343</v>
      </c>
      <c r="B660" s="29" t="s">
        <v>4344</v>
      </c>
      <c r="C660" s="29" t="s">
        <v>4345</v>
      </c>
      <c r="D660" s="30" t="s">
        <v>75</v>
      </c>
      <c r="E660" s="31"/>
      <c r="F660" s="32" t="n">
        <v>42</v>
      </c>
      <c r="G660" s="31"/>
      <c r="H660" s="31" t="n">
        <v>3</v>
      </c>
      <c r="I660" s="31" t="s">
        <v>99</v>
      </c>
      <c r="J660" s="29" t="s">
        <v>595</v>
      </c>
      <c r="K660" s="29" t="s">
        <v>596</v>
      </c>
      <c r="L660" s="32" t="n">
        <v>20</v>
      </c>
      <c r="M660" s="33" t="s">
        <v>597</v>
      </c>
      <c r="N660" s="34" t="n">
        <v>75015</v>
      </c>
      <c r="O660" s="35" t="s">
        <v>55</v>
      </c>
      <c r="P660" s="36"/>
      <c r="Q660" s="36" t="n">
        <v>90</v>
      </c>
      <c r="R660" s="32" t="n">
        <v>185</v>
      </c>
      <c r="S660" s="32" t="n">
        <v>2</v>
      </c>
      <c r="T660" s="32"/>
      <c r="U660" s="32"/>
      <c r="V660" s="37"/>
      <c r="W660" s="32"/>
      <c r="X660" s="34"/>
      <c r="Y660" s="34"/>
      <c r="Z660" s="32"/>
      <c r="AA660" s="32" t="s">
        <v>4346</v>
      </c>
      <c r="AB660" s="32"/>
      <c r="AC660" s="38" t="str">
        <f aca="false">HYPERLINK("https://biocodex6--c.vf.force.com/0014L00000KFSqWQAX", "BENOSMAN HEDI")</f>
        <v>BENOSMAN HEDI</v>
      </c>
      <c r="AD660" s="38"/>
      <c r="AE660" s="39"/>
      <c r="AF660" s="40"/>
      <c r="AG660" s="41"/>
      <c r="AH660" s="32"/>
      <c r="AI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XEY660" s="27"/>
      <c r="XEZ660" s="27"/>
      <c r="XFA660" s="27"/>
      <c r="XFB660" s="27"/>
      <c r="XFC660" s="27"/>
      <c r="XFD660" s="27"/>
    </row>
    <row r="661" s="42" customFormat="true" ht="14.15" hidden="false" customHeight="true" outlineLevel="0" collapsed="false">
      <c r="A661" s="28" t="s">
        <v>4347</v>
      </c>
      <c r="B661" s="29" t="s">
        <v>2880</v>
      </c>
      <c r="C661" s="29" t="s">
        <v>4348</v>
      </c>
      <c r="D661" s="30" t="s">
        <v>75</v>
      </c>
      <c r="E661" s="30" t="s">
        <v>76</v>
      </c>
      <c r="F661" s="32" t="n">
        <v>63</v>
      </c>
      <c r="G661" s="31"/>
      <c r="H661" s="31" t="n">
        <v>1</v>
      </c>
      <c r="I661" s="31" t="s">
        <v>99</v>
      </c>
      <c r="J661" s="29" t="s">
        <v>595</v>
      </c>
      <c r="K661" s="29" t="s">
        <v>596</v>
      </c>
      <c r="L661" s="32" t="n">
        <v>20</v>
      </c>
      <c r="M661" s="33" t="s">
        <v>597</v>
      </c>
      <c r="N661" s="34" t="n">
        <v>75015</v>
      </c>
      <c r="O661" s="35" t="s">
        <v>55</v>
      </c>
      <c r="P661" s="36" t="s">
        <v>2251</v>
      </c>
      <c r="Q661" s="36" t="n">
        <v>90</v>
      </c>
      <c r="R661" s="32" t="n">
        <v>185</v>
      </c>
      <c r="S661" s="32" t="n">
        <v>2</v>
      </c>
      <c r="T661" s="32"/>
      <c r="U661" s="32"/>
      <c r="V661" s="37"/>
      <c r="W661" s="32"/>
      <c r="X661" s="34"/>
      <c r="Y661" s="34"/>
      <c r="Z661" s="32"/>
      <c r="AA661" s="32" t="s">
        <v>4349</v>
      </c>
      <c r="AB661" s="32"/>
      <c r="AC661" s="38" t="str">
        <f aca="false">HYPERLINK("https://biocodex6--c.vf.force.com/0014L00000KFltIQAT", "LANDI BRUNO")</f>
        <v>LANDI BRUNO</v>
      </c>
      <c r="AD661" s="38"/>
      <c r="AE661" s="39"/>
      <c r="AF661" s="40"/>
      <c r="AG661" s="41"/>
      <c r="AH661" s="32"/>
      <c r="AI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XEY661" s="27"/>
      <c r="XEZ661" s="27"/>
      <c r="XFA661" s="27"/>
      <c r="XFB661" s="27"/>
      <c r="XFC661" s="27"/>
      <c r="XFD661" s="27"/>
    </row>
    <row r="662" s="42" customFormat="true" ht="14.15" hidden="false" customHeight="true" outlineLevel="0" collapsed="false">
      <c r="A662" s="28" t="s">
        <v>4350</v>
      </c>
      <c r="B662" s="29" t="s">
        <v>1156</v>
      </c>
      <c r="C662" s="29" t="s">
        <v>4351</v>
      </c>
      <c r="D662" s="30" t="s">
        <v>75</v>
      </c>
      <c r="E662" s="30" t="s">
        <v>76</v>
      </c>
      <c r="F662" s="32" t="n">
        <v>52</v>
      </c>
      <c r="G662" s="31"/>
      <c r="H662" s="31" t="n">
        <v>1</v>
      </c>
      <c r="I662" s="31" t="s">
        <v>99</v>
      </c>
      <c r="J662" s="29" t="s">
        <v>595</v>
      </c>
      <c r="K662" s="29" t="s">
        <v>596</v>
      </c>
      <c r="L662" s="32" t="n">
        <v>20</v>
      </c>
      <c r="M662" s="33" t="s">
        <v>597</v>
      </c>
      <c r="N662" s="34" t="n">
        <v>75015</v>
      </c>
      <c r="O662" s="35" t="s">
        <v>55</v>
      </c>
      <c r="P662" s="36" t="s">
        <v>2251</v>
      </c>
      <c r="Q662" s="36" t="n">
        <v>90</v>
      </c>
      <c r="R662" s="32" t="n">
        <v>185</v>
      </c>
      <c r="S662" s="32" t="n">
        <v>2</v>
      </c>
      <c r="T662" s="32"/>
      <c r="U662" s="32"/>
      <c r="V662" s="37"/>
      <c r="W662" s="32"/>
      <c r="X662" s="34"/>
      <c r="Y662" s="34"/>
      <c r="Z662" s="32"/>
      <c r="AA662" s="32" t="s">
        <v>4352</v>
      </c>
      <c r="AB662" s="32"/>
      <c r="AC662" s="38" t="str">
        <f aca="false">HYPERLINK("https://biocodex6--c.vf.force.com/0014L00000KFoOTQA1", "LEPERE CELINE")</f>
        <v>LEPERE CELINE</v>
      </c>
      <c r="AD662" s="38"/>
      <c r="AE662" s="39"/>
      <c r="AF662" s="40"/>
      <c r="AG662" s="41"/>
      <c r="AH662" s="32"/>
      <c r="AI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XEY662" s="27"/>
      <c r="XEZ662" s="27"/>
      <c r="XFA662" s="27"/>
      <c r="XFB662" s="27"/>
      <c r="XFC662" s="27"/>
      <c r="XFD662" s="27"/>
    </row>
    <row r="663" s="42" customFormat="true" ht="14.15" hidden="false" customHeight="true" outlineLevel="0" collapsed="false">
      <c r="A663" s="28" t="s">
        <v>4353</v>
      </c>
      <c r="B663" s="29" t="s">
        <v>4354</v>
      </c>
      <c r="C663" s="29" t="s">
        <v>4355</v>
      </c>
      <c r="D663" s="30" t="s">
        <v>75</v>
      </c>
      <c r="E663" s="31"/>
      <c r="F663" s="32" t="n">
        <v>0</v>
      </c>
      <c r="G663" s="31"/>
      <c r="H663" s="31" t="n">
        <v>1</v>
      </c>
      <c r="I663" s="31" t="s">
        <v>99</v>
      </c>
      <c r="J663" s="29" t="s">
        <v>595</v>
      </c>
      <c r="K663" s="29" t="s">
        <v>596</v>
      </c>
      <c r="L663" s="32" t="n">
        <v>20</v>
      </c>
      <c r="M663" s="33" t="s">
        <v>597</v>
      </c>
      <c r="N663" s="34" t="n">
        <v>75015</v>
      </c>
      <c r="O663" s="35" t="s">
        <v>55</v>
      </c>
      <c r="P663" s="36" t="s">
        <v>4356</v>
      </c>
      <c r="Q663" s="36" t="n">
        <v>90</v>
      </c>
      <c r="R663" s="32" t="n">
        <v>184</v>
      </c>
      <c r="S663" s="32" t="n">
        <v>2</v>
      </c>
      <c r="T663" s="32"/>
      <c r="U663" s="32"/>
      <c r="V663" s="37"/>
      <c r="W663" s="32"/>
      <c r="X663" s="34"/>
      <c r="Y663" s="34"/>
      <c r="Z663" s="32"/>
      <c r="AA663" s="32" t="s">
        <v>4357</v>
      </c>
      <c r="AB663" s="32"/>
      <c r="AC663" s="38" t="str">
        <f aca="false">HYPERLINK("https://biocodex6--c.vf.force.com/0014L00000KFiuPQAT", "KHARRASSE GHIZLANE")</f>
        <v>KHARRASSE GHIZLANE</v>
      </c>
      <c r="AD663" s="38"/>
      <c r="AE663" s="39"/>
      <c r="AF663" s="40"/>
      <c r="AG663" s="41"/>
      <c r="AH663" s="32"/>
      <c r="AI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XEY663" s="27"/>
      <c r="XEZ663" s="27"/>
      <c r="XFA663" s="27"/>
      <c r="XFB663" s="27"/>
      <c r="XFC663" s="27"/>
      <c r="XFD663" s="27"/>
    </row>
    <row r="664" s="42" customFormat="true" ht="14.15" hidden="false" customHeight="true" outlineLevel="0" collapsed="false">
      <c r="A664" s="28" t="s">
        <v>1134</v>
      </c>
      <c r="B664" s="29" t="s">
        <v>1377</v>
      </c>
      <c r="C664" s="29" t="s">
        <v>4358</v>
      </c>
      <c r="D664" s="30" t="s">
        <v>50</v>
      </c>
      <c r="E664" s="30" t="s">
        <v>776</v>
      </c>
      <c r="F664" s="32" t="n">
        <v>72</v>
      </c>
      <c r="G664" s="31"/>
      <c r="H664" s="31" t="n">
        <v>1</v>
      </c>
      <c r="I664" s="31" t="s">
        <v>51</v>
      </c>
      <c r="J664" s="29" t="s">
        <v>2010</v>
      </c>
      <c r="K664" s="29" t="s">
        <v>2011</v>
      </c>
      <c r="L664" s="32" t="n">
        <v>37</v>
      </c>
      <c r="M664" s="33" t="s">
        <v>2012</v>
      </c>
      <c r="N664" s="34" t="n">
        <v>75015</v>
      </c>
      <c r="O664" s="35" t="s">
        <v>55</v>
      </c>
      <c r="P664" s="36" t="s">
        <v>2013</v>
      </c>
      <c r="Q664" s="36" t="n">
        <v>19</v>
      </c>
      <c r="R664" s="32" t="n">
        <v>182</v>
      </c>
      <c r="S664" s="32" t="n">
        <v>2</v>
      </c>
      <c r="T664" s="32"/>
      <c r="U664" s="32"/>
      <c r="V664" s="37"/>
      <c r="W664" s="32"/>
      <c r="X664" s="34"/>
      <c r="Y664" s="34"/>
      <c r="Z664" s="32"/>
      <c r="AA664" s="32" t="s">
        <v>4359</v>
      </c>
      <c r="AB664" s="32"/>
      <c r="AC664" s="38" t="str">
        <f aca="false">HYPERLINK("https://biocodex6--c.vf.force.com/0014L00000KFX1rQAH", "COHEN HELENE")</f>
        <v>COHEN HELENE</v>
      </c>
      <c r="AD664" s="38"/>
      <c r="AE664" s="39"/>
      <c r="AF664" s="40"/>
      <c r="AG664" s="41"/>
      <c r="AH664" s="32"/>
      <c r="AI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XEY664" s="27"/>
      <c r="XEZ664" s="27"/>
      <c r="XFA664" s="27"/>
      <c r="XFB664" s="27"/>
      <c r="XFC664" s="27"/>
      <c r="XFD664" s="27"/>
    </row>
    <row r="665" s="42" customFormat="true" ht="14.15" hidden="false" customHeight="true" outlineLevel="0" collapsed="false">
      <c r="A665" s="28" t="s">
        <v>4360</v>
      </c>
      <c r="B665" s="29" t="s">
        <v>1928</v>
      </c>
      <c r="C665" s="29" t="s">
        <v>4361</v>
      </c>
      <c r="D665" s="30" t="s">
        <v>50</v>
      </c>
      <c r="E665" s="31"/>
      <c r="F665" s="32" t="n">
        <v>39</v>
      </c>
      <c r="G665" s="31"/>
      <c r="H665" s="31" t="n">
        <v>2</v>
      </c>
      <c r="I665" s="31" t="s">
        <v>51</v>
      </c>
      <c r="J665" s="29" t="s">
        <v>850</v>
      </c>
      <c r="K665" s="29" t="s">
        <v>851</v>
      </c>
      <c r="L665" s="32" t="n">
        <v>178</v>
      </c>
      <c r="M665" s="33" t="s">
        <v>852</v>
      </c>
      <c r="N665" s="34" t="n">
        <v>75015</v>
      </c>
      <c r="O665" s="35" t="s">
        <v>55</v>
      </c>
      <c r="P665" s="36" t="s">
        <v>853</v>
      </c>
      <c r="Q665" s="36" t="n">
        <v>24</v>
      </c>
      <c r="R665" s="32" t="n">
        <v>180</v>
      </c>
      <c r="S665" s="32" t="n">
        <v>2</v>
      </c>
      <c r="T665" s="32"/>
      <c r="U665" s="32"/>
      <c r="V665" s="37"/>
      <c r="W665" s="32"/>
      <c r="X665" s="34"/>
      <c r="Y665" s="34"/>
      <c r="Z665" s="36"/>
      <c r="AA665" s="32" t="s">
        <v>4362</v>
      </c>
      <c r="AB665" s="32"/>
      <c r="AC665" s="38" t="str">
        <f aca="false">HYPERLINK("https://biocodex6--c.vf.force.com/0014L00000KFx37QAD", "PLANTUREUX MATHILDE")</f>
        <v>PLANTUREUX MATHILDE</v>
      </c>
      <c r="AD665" s="38"/>
      <c r="AE665" s="39"/>
      <c r="AF665" s="40"/>
      <c r="AG665" s="41"/>
      <c r="AH665" s="32" t="s">
        <v>179</v>
      </c>
      <c r="AI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XEY665" s="27"/>
      <c r="XEZ665" s="27"/>
      <c r="XFA665" s="27"/>
      <c r="XFB665" s="27"/>
      <c r="XFC665" s="27"/>
      <c r="XFD665" s="27"/>
    </row>
    <row r="666" s="42" customFormat="true" ht="14.15" hidden="false" customHeight="true" outlineLevel="0" collapsed="false">
      <c r="A666" s="28" t="s">
        <v>4363</v>
      </c>
      <c r="B666" s="29" t="s">
        <v>839</v>
      </c>
      <c r="C666" s="29" t="s">
        <v>4364</v>
      </c>
      <c r="D666" s="30" t="s">
        <v>50</v>
      </c>
      <c r="E666" s="30" t="s">
        <v>4365</v>
      </c>
      <c r="F666" s="32" t="n">
        <v>76</v>
      </c>
      <c r="G666" s="31" t="s">
        <v>215</v>
      </c>
      <c r="H666" s="31" t="n">
        <v>4</v>
      </c>
      <c r="I666" s="31" t="s">
        <v>99</v>
      </c>
      <c r="J666" s="29"/>
      <c r="K666" s="29" t="s">
        <v>4366</v>
      </c>
      <c r="L666" s="32" t="n">
        <v>82</v>
      </c>
      <c r="M666" s="33" t="s">
        <v>4367</v>
      </c>
      <c r="N666" s="34" t="n">
        <v>75015</v>
      </c>
      <c r="O666" s="35" t="s">
        <v>55</v>
      </c>
      <c r="P666" s="36" t="s">
        <v>4368</v>
      </c>
      <c r="Q666" s="36" t="n">
        <v>1</v>
      </c>
      <c r="R666" s="32" t="n">
        <v>173</v>
      </c>
      <c r="S666" s="32" t="n">
        <v>2</v>
      </c>
      <c r="T666" s="32"/>
      <c r="U666" s="32"/>
      <c r="V666" s="37"/>
      <c r="W666" s="32"/>
      <c r="X666" s="34"/>
      <c r="Y666" s="34"/>
      <c r="Z666" s="32"/>
      <c r="AA666" s="32" t="s">
        <v>4369</v>
      </c>
      <c r="AB666" s="32" t="s">
        <v>4370</v>
      </c>
      <c r="AC666" s="38" t="str">
        <f aca="false">HYPERLINK("https://biocodex6--c.vf.force.com/0014L00000KFQSlQAP", "ANDRES GILLES")</f>
        <v>ANDRES GILLES</v>
      </c>
      <c r="AD666" s="38" t="str">
        <f aca="false">HYPERLINK("https://annuairesante.ameli.fr/professionnels-de-sante/recherche/fiche-detaillee-B7c1kTo3NDuz.html", "ANDRES GILLES")</f>
        <v>ANDRES GILLES</v>
      </c>
      <c r="AE666" s="39"/>
      <c r="AF666" s="40"/>
      <c r="AG666" s="41"/>
      <c r="AH666" s="32"/>
      <c r="AI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XEY666" s="27"/>
      <c r="XEZ666" s="27"/>
      <c r="XFA666" s="27"/>
      <c r="XFB666" s="27"/>
      <c r="XFC666" s="27"/>
      <c r="XFD666" s="27"/>
    </row>
    <row r="667" s="42" customFormat="true" ht="14.15" hidden="false" customHeight="true" outlineLevel="0" collapsed="false">
      <c r="A667" s="28" t="s">
        <v>4371</v>
      </c>
      <c r="B667" s="29" t="s">
        <v>4372</v>
      </c>
      <c r="C667" s="29" t="s">
        <v>4373</v>
      </c>
      <c r="D667" s="30" t="s">
        <v>50</v>
      </c>
      <c r="E667" s="30" t="s">
        <v>421</v>
      </c>
      <c r="F667" s="32" t="n">
        <v>41</v>
      </c>
      <c r="G667" s="31"/>
      <c r="H667" s="31" t="n">
        <v>2</v>
      </c>
      <c r="I667" s="31" t="s">
        <v>51</v>
      </c>
      <c r="J667" s="29" t="s">
        <v>2010</v>
      </c>
      <c r="K667" s="29" t="s">
        <v>2011</v>
      </c>
      <c r="L667" s="32" t="n">
        <v>37</v>
      </c>
      <c r="M667" s="33" t="s">
        <v>2012</v>
      </c>
      <c r="N667" s="34" t="n">
        <v>75015</v>
      </c>
      <c r="O667" s="35" t="s">
        <v>55</v>
      </c>
      <c r="P667" s="36" t="s">
        <v>2013</v>
      </c>
      <c r="Q667" s="36" t="n">
        <v>19</v>
      </c>
      <c r="R667" s="32" t="n">
        <v>173</v>
      </c>
      <c r="S667" s="32" t="n">
        <v>2</v>
      </c>
      <c r="T667" s="32"/>
      <c r="U667" s="32"/>
      <c r="V667" s="37"/>
      <c r="W667" s="32"/>
      <c r="X667" s="34"/>
      <c r="Y667" s="34"/>
      <c r="Z667" s="32"/>
      <c r="AA667" s="32" t="s">
        <v>4374</v>
      </c>
      <c r="AB667" s="32"/>
      <c r="AC667" s="38" t="str">
        <f aca="false">HYPERLINK("https://biocodex6--c.vf.force.com/0014L00000KG1lZQAT", "DE LA ROBERTIE EMELINE")</f>
        <v>DE LA ROBERTIE EMELINE</v>
      </c>
      <c r="AD667" s="38"/>
      <c r="AE667" s="39"/>
      <c r="AF667" s="40"/>
      <c r="AG667" s="41"/>
      <c r="AH667" s="32"/>
      <c r="AI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XEY667" s="27"/>
      <c r="XEZ667" s="27"/>
      <c r="XFA667" s="27"/>
      <c r="XFB667" s="27"/>
      <c r="XFC667" s="27"/>
      <c r="XFD667" s="27"/>
    </row>
    <row r="668" s="42" customFormat="true" ht="14.15" hidden="false" customHeight="true" outlineLevel="0" collapsed="false">
      <c r="A668" s="28" t="s">
        <v>3977</v>
      </c>
      <c r="B668" s="29" t="s">
        <v>4375</v>
      </c>
      <c r="C668" s="29" t="s">
        <v>4376</v>
      </c>
      <c r="D668" s="30" t="s">
        <v>50</v>
      </c>
      <c r="E668" s="30" t="s">
        <v>796</v>
      </c>
      <c r="F668" s="32" t="n">
        <v>63</v>
      </c>
      <c r="G668" s="31" t="s">
        <v>215</v>
      </c>
      <c r="H668" s="31" t="n">
        <v>1</v>
      </c>
      <c r="I668" s="31" t="s">
        <v>197</v>
      </c>
      <c r="J668" s="29"/>
      <c r="K668" s="29" t="s">
        <v>4377</v>
      </c>
      <c r="L668" s="32" t="n">
        <v>85</v>
      </c>
      <c r="M668" s="33" t="s">
        <v>2936</v>
      </c>
      <c r="N668" s="34" t="n">
        <v>75017</v>
      </c>
      <c r="O668" s="35" t="s">
        <v>55</v>
      </c>
      <c r="P668" s="36" t="s">
        <v>4378</v>
      </c>
      <c r="Q668" s="36" t="n">
        <v>2</v>
      </c>
      <c r="R668" s="32" t="n">
        <v>173</v>
      </c>
      <c r="S668" s="32" t="n">
        <v>2</v>
      </c>
      <c r="T668" s="32"/>
      <c r="U668" s="32"/>
      <c r="V668" s="37"/>
      <c r="W668" s="32"/>
      <c r="X668" s="34"/>
      <c r="Y668" s="34"/>
      <c r="Z668" s="32"/>
      <c r="AA668" s="32" t="s">
        <v>4379</v>
      </c>
      <c r="AB668" s="32" t="s">
        <v>4380</v>
      </c>
      <c r="AC668" s="38" t="str">
        <f aca="false">HYPERLINK("https://biocodex6--c.vf.force.com/0014L00000KFsLVQA1", "MIMOUN JACQUELINE")</f>
        <v>MIMOUN JACQUELINE</v>
      </c>
      <c r="AD668" s="38" t="str">
        <f aca="false">HYPERLINK("https://annuairesante.ameli.fr/professionnels-de-sante/recherche/fiche-detaillee-B7c1lzAxNDW7.html", "MIMOUN JACQUELINE")</f>
        <v>MIMOUN JACQUELINE</v>
      </c>
      <c r="AE668" s="39"/>
      <c r="AF668" s="40"/>
      <c r="AG668" s="41"/>
      <c r="AH668" s="32"/>
      <c r="AI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XEY668" s="27"/>
      <c r="XEZ668" s="27"/>
      <c r="XFA668" s="27"/>
      <c r="XFB668" s="27"/>
      <c r="XFC668" s="27"/>
      <c r="XFD668" s="27"/>
    </row>
    <row r="669" s="42" customFormat="true" ht="14.15" hidden="false" customHeight="true" outlineLevel="0" collapsed="false">
      <c r="A669" s="28" t="s">
        <v>4381</v>
      </c>
      <c r="B669" s="29" t="s">
        <v>4382</v>
      </c>
      <c r="C669" s="29" t="s">
        <v>4383</v>
      </c>
      <c r="D669" s="30" t="s">
        <v>50</v>
      </c>
      <c r="E669" s="31"/>
      <c r="F669" s="32" t="n">
        <v>70</v>
      </c>
      <c r="G669" s="31" t="s">
        <v>98</v>
      </c>
      <c r="H669" s="31" t="n">
        <v>2</v>
      </c>
      <c r="I669" s="31" t="s">
        <v>387</v>
      </c>
      <c r="J669" s="29"/>
      <c r="K669" s="29" t="s">
        <v>2903</v>
      </c>
      <c r="L669" s="32" t="n">
        <v>57</v>
      </c>
      <c r="M669" s="33" t="s">
        <v>2499</v>
      </c>
      <c r="N669" s="34" t="n">
        <v>75016</v>
      </c>
      <c r="O669" s="35" t="s">
        <v>55</v>
      </c>
      <c r="P669" s="36"/>
      <c r="Q669" s="36" t="n">
        <v>4</v>
      </c>
      <c r="R669" s="32" t="n">
        <v>171</v>
      </c>
      <c r="S669" s="32" t="n">
        <v>2</v>
      </c>
      <c r="T669" s="32"/>
      <c r="U669" s="32"/>
      <c r="V669" s="37"/>
      <c r="W669" s="32"/>
      <c r="X669" s="34"/>
      <c r="Y669" s="34"/>
      <c r="Z669" s="36"/>
      <c r="AA669" s="32" t="s">
        <v>4384</v>
      </c>
      <c r="AB669" s="32" t="s">
        <v>4385</v>
      </c>
      <c r="AC669" s="38" t="str">
        <f aca="false">HYPERLINK("https://biocodex6--c.vf.force.com/0014L00000KG020QAD", "SABBAH ABRAHAM")</f>
        <v>SABBAH ABRAHAM</v>
      </c>
      <c r="AD669" s="38" t="str">
        <f aca="false">HYPERLINK("https://annuairesante.ameli.fr/professionnels-de-sante/recherche/fiche-detaillee-B7c1ljAwODax.html", "SABBAH ABRAHAM")</f>
        <v>SABBAH ABRAHAM</v>
      </c>
      <c r="AE669" s="39"/>
      <c r="AF669" s="40"/>
      <c r="AG669" s="41"/>
      <c r="AH669" s="32" t="s">
        <v>179</v>
      </c>
      <c r="AI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XEY669" s="27"/>
      <c r="XEZ669" s="27"/>
      <c r="XFA669" s="27"/>
      <c r="XFB669" s="27"/>
      <c r="XFC669" s="27"/>
      <c r="XFD669" s="27"/>
    </row>
    <row r="670" s="42" customFormat="true" ht="14.15" hidden="false" customHeight="true" outlineLevel="0" collapsed="false">
      <c r="A670" s="28" t="s">
        <v>4386</v>
      </c>
      <c r="B670" s="29" t="s">
        <v>195</v>
      </c>
      <c r="C670" s="29" t="s">
        <v>4387</v>
      </c>
      <c r="D670" s="30" t="s">
        <v>75</v>
      </c>
      <c r="E670" s="31"/>
      <c r="F670" s="32"/>
      <c r="G670" s="31"/>
      <c r="H670" s="31" t="n">
        <v>1</v>
      </c>
      <c r="I670" s="31" t="s">
        <v>435</v>
      </c>
      <c r="J670" s="29"/>
      <c r="K670" s="29" t="s">
        <v>4388</v>
      </c>
      <c r="L670" s="32" t="n">
        <v>10</v>
      </c>
      <c r="M670" s="33" t="s">
        <v>4389</v>
      </c>
      <c r="N670" s="34" t="n">
        <v>75016</v>
      </c>
      <c r="O670" s="35" t="s">
        <v>55</v>
      </c>
      <c r="P670" s="36"/>
      <c r="Q670" s="36" t="n">
        <v>3</v>
      </c>
      <c r="R670" s="32" t="n">
        <v>169</v>
      </c>
      <c r="S670" s="32" t="n">
        <v>2</v>
      </c>
      <c r="T670" s="32"/>
      <c r="U670" s="32" t="n">
        <v>3</v>
      </c>
      <c r="V670" s="37"/>
      <c r="W670" s="32" t="n">
        <v>3</v>
      </c>
      <c r="X670" s="34"/>
      <c r="Y670" s="34" t="n">
        <v>1</v>
      </c>
      <c r="Z670" s="32"/>
      <c r="AA670" s="32"/>
      <c r="AB670" s="32"/>
      <c r="AC670" s="38"/>
      <c r="AD670" s="38"/>
      <c r="AE670" s="39"/>
      <c r="AF670" s="40"/>
      <c r="AG670" s="45"/>
      <c r="AH670" s="32" t="s">
        <v>70</v>
      </c>
      <c r="AI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XEY670" s="27"/>
      <c r="XEZ670" s="27"/>
      <c r="XFA670" s="27"/>
      <c r="XFB670" s="27"/>
      <c r="XFC670" s="27"/>
      <c r="XFD670" s="27"/>
    </row>
    <row r="671" s="42" customFormat="true" ht="14.15" hidden="false" customHeight="true" outlineLevel="0" collapsed="false">
      <c r="A671" s="28" t="s">
        <v>4390</v>
      </c>
      <c r="B671" s="29" t="s">
        <v>4391</v>
      </c>
      <c r="C671" s="29" t="s">
        <v>4392</v>
      </c>
      <c r="D671" s="30" t="s">
        <v>50</v>
      </c>
      <c r="E671" s="31"/>
      <c r="F671" s="32" t="n">
        <v>0</v>
      </c>
      <c r="G671" s="31"/>
      <c r="H671" s="31" t="n">
        <v>1</v>
      </c>
      <c r="I671" s="31" t="s">
        <v>51</v>
      </c>
      <c r="J671" s="29" t="s">
        <v>850</v>
      </c>
      <c r="K671" s="29" t="s">
        <v>851</v>
      </c>
      <c r="L671" s="32" t="n">
        <v>178</v>
      </c>
      <c r="M671" s="33" t="s">
        <v>852</v>
      </c>
      <c r="N671" s="34" t="n">
        <v>75015</v>
      </c>
      <c r="O671" s="35" t="s">
        <v>55</v>
      </c>
      <c r="P671" s="36" t="s">
        <v>853</v>
      </c>
      <c r="Q671" s="36" t="n">
        <v>24</v>
      </c>
      <c r="R671" s="32" t="n">
        <v>167</v>
      </c>
      <c r="S671" s="32" t="n">
        <v>2</v>
      </c>
      <c r="T671" s="32"/>
      <c r="U671" s="32" t="n">
        <v>3</v>
      </c>
      <c r="V671" s="37"/>
      <c r="W671" s="32" t="n">
        <v>3</v>
      </c>
      <c r="X671" s="34"/>
      <c r="Y671" s="34" t="n">
        <v>1</v>
      </c>
      <c r="Z671" s="32"/>
      <c r="AA671" s="32" t="s">
        <v>4393</v>
      </c>
      <c r="AB671" s="32"/>
      <c r="AC671" s="38" t="str">
        <f aca="false">HYPERLINK("https://biocodex6--c.vf.force.com/0014L00000KFPy7QAH", "GAZET JOHANNA")</f>
        <v>GAZET JOHANNA</v>
      </c>
      <c r="AD671" s="38"/>
      <c r="AE671" s="39" t="n">
        <v>45355.5625</v>
      </c>
      <c r="AF671" s="40" t="s">
        <v>4394</v>
      </c>
      <c r="AG671" s="41"/>
      <c r="AH671" s="32"/>
      <c r="AI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XEY671" s="27"/>
      <c r="XEZ671" s="27"/>
      <c r="XFA671" s="27"/>
      <c r="XFB671" s="27"/>
      <c r="XFC671" s="27"/>
      <c r="XFD671" s="27"/>
    </row>
    <row r="672" s="42" customFormat="true" ht="14.15" hidden="false" customHeight="true" outlineLevel="0" collapsed="false">
      <c r="A672" s="28" t="s">
        <v>4395</v>
      </c>
      <c r="B672" s="29" t="s">
        <v>4396</v>
      </c>
      <c r="C672" s="29" t="s">
        <v>4397</v>
      </c>
      <c r="D672" s="30" t="s">
        <v>244</v>
      </c>
      <c r="E672" s="30" t="s">
        <v>245</v>
      </c>
      <c r="F672" s="32" t="n">
        <v>70</v>
      </c>
      <c r="G672" s="31" t="s">
        <v>215</v>
      </c>
      <c r="H672" s="31" t="n">
        <v>1</v>
      </c>
      <c r="I672" s="31" t="s">
        <v>173</v>
      </c>
      <c r="J672" s="29"/>
      <c r="K672" s="29" t="s">
        <v>4398</v>
      </c>
      <c r="L672" s="32" t="n">
        <v>10</v>
      </c>
      <c r="M672" s="33" t="s">
        <v>3039</v>
      </c>
      <c r="N672" s="34" t="n">
        <v>75016</v>
      </c>
      <c r="O672" s="35" t="s">
        <v>55</v>
      </c>
      <c r="P672" s="36" t="s">
        <v>4399</v>
      </c>
      <c r="Q672" s="36" t="n">
        <v>2</v>
      </c>
      <c r="R672" s="32" t="n">
        <v>167</v>
      </c>
      <c r="S672" s="32" t="n">
        <v>2</v>
      </c>
      <c r="T672" s="32"/>
      <c r="U672" s="32"/>
      <c r="V672" s="37"/>
      <c r="W672" s="32"/>
      <c r="X672" s="34"/>
      <c r="Y672" s="34"/>
      <c r="Z672" s="32"/>
      <c r="AA672" s="32" t="s">
        <v>4400</v>
      </c>
      <c r="AB672" s="32" t="s">
        <v>4401</v>
      </c>
      <c r="AC672" s="38" t="str">
        <f aca="false">HYPERLINK("https://biocodex6--c.vf.force.com/0014L00000KG1o1QAD", "SOLAL PIERRE HENRI")</f>
        <v>SOLAL PIERRE HENRI</v>
      </c>
      <c r="AD672" s="38" t="str">
        <f aca="false">HYPERLINK("https://annuairesante.ameli.fr/professionnels-de-sante/recherche/fiche-detaillee-B7c1ljc1OTS6.html", "SOLAL PIERRE HENRI")</f>
        <v>SOLAL PIERRE HENRI</v>
      </c>
      <c r="AE672" s="39"/>
      <c r="AF672" s="40"/>
      <c r="AG672" s="41"/>
      <c r="AH672" s="32"/>
      <c r="AI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XEY672" s="27"/>
      <c r="XEZ672" s="27"/>
      <c r="XFA672" s="27"/>
      <c r="XFB672" s="27"/>
      <c r="XFC672" s="27"/>
      <c r="XFD672" s="27"/>
    </row>
    <row r="673" s="42" customFormat="true" ht="14.15" hidden="false" customHeight="true" outlineLevel="0" collapsed="false">
      <c r="A673" s="28" t="s">
        <v>4402</v>
      </c>
      <c r="B673" s="29" t="s">
        <v>2794</v>
      </c>
      <c r="C673" s="29" t="s">
        <v>4403</v>
      </c>
      <c r="D673" s="30" t="s">
        <v>50</v>
      </c>
      <c r="E673" s="30" t="s">
        <v>916</v>
      </c>
      <c r="F673" s="32" t="n">
        <v>39</v>
      </c>
      <c r="G673" s="31"/>
      <c r="H673" s="31" t="n">
        <v>1</v>
      </c>
      <c r="I673" s="31" t="s">
        <v>99</v>
      </c>
      <c r="J673" s="29" t="s">
        <v>595</v>
      </c>
      <c r="K673" s="29" t="s">
        <v>596</v>
      </c>
      <c r="L673" s="32" t="n">
        <v>20</v>
      </c>
      <c r="M673" s="33" t="s">
        <v>597</v>
      </c>
      <c r="N673" s="34" t="n">
        <v>75015</v>
      </c>
      <c r="O673" s="35" t="s">
        <v>55</v>
      </c>
      <c r="P673" s="36" t="s">
        <v>4404</v>
      </c>
      <c r="Q673" s="36" t="n">
        <v>90</v>
      </c>
      <c r="R673" s="32" t="n">
        <v>164</v>
      </c>
      <c r="S673" s="32" t="n">
        <v>2</v>
      </c>
      <c r="T673" s="32"/>
      <c r="U673" s="32"/>
      <c r="V673" s="37"/>
      <c r="W673" s="32"/>
      <c r="X673" s="34"/>
      <c r="Y673" s="34"/>
      <c r="Z673" s="32"/>
      <c r="AA673" s="32" t="s">
        <v>4405</v>
      </c>
      <c r="AB673" s="32"/>
      <c r="AC673" s="38" t="str">
        <f aca="false">HYPERLINK("https://biocodex6--c.vf.force.com/0014L00000KFLeVQAX", "RIVES LANGE CLAIRE")</f>
        <v>RIVES LANGE CLAIRE</v>
      </c>
      <c r="AD673" s="38"/>
      <c r="AE673" s="39"/>
      <c r="AF673" s="40"/>
      <c r="AG673" s="41"/>
      <c r="AH673" s="32"/>
      <c r="AI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XEY673" s="27"/>
      <c r="XEZ673" s="27"/>
      <c r="XFA673" s="27"/>
      <c r="XFB673" s="27"/>
      <c r="XFC673" s="27"/>
      <c r="XFD673" s="27"/>
    </row>
    <row r="674" s="42" customFormat="true" ht="14.15" hidden="false" customHeight="true" outlineLevel="0" collapsed="false">
      <c r="A674" s="28" t="s">
        <v>4406</v>
      </c>
      <c r="B674" s="29" t="s">
        <v>4407</v>
      </c>
      <c r="C674" s="29" t="s">
        <v>4408</v>
      </c>
      <c r="D674" s="30" t="s">
        <v>50</v>
      </c>
      <c r="E674" s="31"/>
      <c r="F674" s="32" t="n">
        <v>35</v>
      </c>
      <c r="G674" s="31"/>
      <c r="H674" s="31" t="n">
        <v>1</v>
      </c>
      <c r="I674" s="31" t="s">
        <v>99</v>
      </c>
      <c r="J674" s="29" t="s">
        <v>595</v>
      </c>
      <c r="K674" s="29" t="s">
        <v>596</v>
      </c>
      <c r="L674" s="32" t="n">
        <v>20</v>
      </c>
      <c r="M674" s="33" t="s">
        <v>597</v>
      </c>
      <c r="N674" s="34" t="n">
        <v>75015</v>
      </c>
      <c r="O674" s="35" t="s">
        <v>55</v>
      </c>
      <c r="P674" s="36" t="s">
        <v>4409</v>
      </c>
      <c r="Q674" s="36" t="n">
        <v>90</v>
      </c>
      <c r="R674" s="32" t="n">
        <v>163</v>
      </c>
      <c r="S674" s="32" t="n">
        <v>2</v>
      </c>
      <c r="T674" s="32"/>
      <c r="U674" s="32"/>
      <c r="V674" s="37"/>
      <c r="W674" s="32"/>
      <c r="X674" s="34"/>
      <c r="Y674" s="34"/>
      <c r="Z674" s="32"/>
      <c r="AA674" s="32" t="s">
        <v>4410</v>
      </c>
      <c r="AB674" s="32"/>
      <c r="AC674" s="38" t="str">
        <f aca="false">HYPERLINK("https://biocodex6--c.vf.force.com/0014L00000KGEPmQAP", "AUDIBERT SIMON")</f>
        <v>AUDIBERT SIMON</v>
      </c>
      <c r="AD674" s="38"/>
      <c r="AE674" s="39"/>
      <c r="AF674" s="40"/>
      <c r="AG674" s="41"/>
      <c r="AH674" s="32"/>
      <c r="AI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43" t="s">
        <v>866</v>
      </c>
      <c r="XEY674" s="27"/>
      <c r="XEZ674" s="27"/>
      <c r="XFA674" s="27"/>
      <c r="XFB674" s="27"/>
      <c r="XFC674" s="27"/>
      <c r="XFD674" s="27"/>
    </row>
    <row r="675" s="42" customFormat="true" ht="14.15" hidden="false" customHeight="true" outlineLevel="0" collapsed="false">
      <c r="A675" s="53" t="s">
        <v>2775</v>
      </c>
      <c r="B675" s="49" t="s">
        <v>1226</v>
      </c>
      <c r="C675" s="49" t="s">
        <v>4411</v>
      </c>
      <c r="D675" s="30" t="s">
        <v>244</v>
      </c>
      <c r="E675" s="30"/>
      <c r="F675" s="32" t="n">
        <v>79</v>
      </c>
      <c r="G675" s="30"/>
      <c r="H675" s="30" t="n">
        <v>4</v>
      </c>
      <c r="I675" s="30" t="s">
        <v>572</v>
      </c>
      <c r="J675" s="49" t="s">
        <v>678</v>
      </c>
      <c r="K675" s="49" t="s">
        <v>679</v>
      </c>
      <c r="L675" s="43" t="n">
        <v>6</v>
      </c>
      <c r="M675" s="54" t="s">
        <v>680</v>
      </c>
      <c r="N675" s="34" t="n">
        <v>75008</v>
      </c>
      <c r="O675" s="35" t="s">
        <v>55</v>
      </c>
      <c r="P675" s="50" t="s">
        <v>870</v>
      </c>
      <c r="Q675" s="50" t="n">
        <v>43</v>
      </c>
      <c r="R675" s="32" t="n">
        <v>162</v>
      </c>
      <c r="S675" s="32" t="n">
        <v>2</v>
      </c>
      <c r="T675" s="43"/>
      <c r="U675" s="32"/>
      <c r="V675" s="37" t="n">
        <v>3</v>
      </c>
      <c r="W675" s="43" t="n">
        <v>4</v>
      </c>
      <c r="X675" s="34"/>
      <c r="Y675" s="34" t="n">
        <v>1</v>
      </c>
      <c r="Z675" s="43"/>
      <c r="AA675" s="43" t="s">
        <v>4412</v>
      </c>
      <c r="AB675" s="43"/>
      <c r="AC675" s="38" t="str">
        <f aca="false">HYPERLINK("https://biocodex6--c.vf.force.com/0014L00000KFtAzQAL", "NACCACHE JEAN PIERRE")</f>
        <v>NACCACHE JEAN PIERRE</v>
      </c>
      <c r="AD675" s="38"/>
      <c r="AE675" s="39" t="n">
        <v>45251.4166666667</v>
      </c>
      <c r="AF675" s="40"/>
      <c r="AG675" s="41"/>
      <c r="AH675" s="43"/>
      <c r="AI675" s="43"/>
      <c r="AJ675" s="55" t="s">
        <v>4413</v>
      </c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XEY675" s="27"/>
      <c r="XEZ675" s="27"/>
      <c r="XFA675" s="27"/>
      <c r="XFB675" s="27"/>
      <c r="XFC675" s="27"/>
      <c r="XFD675" s="27"/>
    </row>
    <row r="676" s="42" customFormat="true" ht="14.15" hidden="false" customHeight="true" outlineLevel="0" collapsed="false">
      <c r="A676" s="28" t="s">
        <v>4414</v>
      </c>
      <c r="B676" s="29" t="s">
        <v>4415</v>
      </c>
      <c r="C676" s="29" t="s">
        <v>4416</v>
      </c>
      <c r="D676" s="30" t="s">
        <v>50</v>
      </c>
      <c r="E676" s="31"/>
      <c r="F676" s="32" t="n">
        <v>38</v>
      </c>
      <c r="G676" s="31"/>
      <c r="H676" s="31" t="n">
        <v>1</v>
      </c>
      <c r="I676" s="31" t="s">
        <v>99</v>
      </c>
      <c r="J676" s="29" t="s">
        <v>595</v>
      </c>
      <c r="K676" s="29" t="s">
        <v>596</v>
      </c>
      <c r="L676" s="32" t="n">
        <v>20</v>
      </c>
      <c r="M676" s="33" t="s">
        <v>597</v>
      </c>
      <c r="N676" s="34" t="n">
        <v>75015</v>
      </c>
      <c r="O676" s="35" t="s">
        <v>55</v>
      </c>
      <c r="P676" s="36" t="s">
        <v>4409</v>
      </c>
      <c r="Q676" s="36" t="n">
        <v>90</v>
      </c>
      <c r="R676" s="32" t="n">
        <v>162</v>
      </c>
      <c r="S676" s="32" t="n">
        <v>2</v>
      </c>
      <c r="T676" s="32"/>
      <c r="U676" s="32"/>
      <c r="V676" s="37"/>
      <c r="W676" s="32"/>
      <c r="X676" s="34"/>
      <c r="Y676" s="34"/>
      <c r="Z676" s="32"/>
      <c r="AA676" s="32" t="s">
        <v>4417</v>
      </c>
      <c r="AB676" s="32"/>
      <c r="AC676" s="38" t="str">
        <f aca="false">HYPERLINK("https://biocodex6--c.vf.force.com/0014L00000KGE2UQAX", "TOURY GUSTAVE")</f>
        <v>TOURY GUSTAVE</v>
      </c>
      <c r="AD676" s="38"/>
      <c r="AE676" s="39"/>
      <c r="AF676" s="40"/>
      <c r="AG676" s="41"/>
      <c r="AH676" s="32"/>
      <c r="AI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XEY676" s="27"/>
      <c r="XEZ676" s="27"/>
      <c r="XFA676" s="27"/>
      <c r="XFB676" s="27"/>
      <c r="XFC676" s="27"/>
      <c r="XFD676" s="27"/>
    </row>
    <row r="677" s="42" customFormat="true" ht="14.15" hidden="false" customHeight="true" outlineLevel="0" collapsed="false">
      <c r="A677" s="53" t="s">
        <v>2775</v>
      </c>
      <c r="B677" s="49" t="s">
        <v>1226</v>
      </c>
      <c r="C677" s="49" t="s">
        <v>4411</v>
      </c>
      <c r="D677" s="30" t="s">
        <v>244</v>
      </c>
      <c r="E677" s="30"/>
      <c r="F677" s="32" t="n">
        <v>79</v>
      </c>
      <c r="G677" s="30"/>
      <c r="H677" s="30" t="n">
        <v>4</v>
      </c>
      <c r="I677" s="30" t="s">
        <v>62</v>
      </c>
      <c r="J677" s="49"/>
      <c r="K677" s="49" t="s">
        <v>4418</v>
      </c>
      <c r="L677" s="43" t="n">
        <v>1</v>
      </c>
      <c r="M677" s="54" t="s">
        <v>2804</v>
      </c>
      <c r="N677" s="34" t="n">
        <v>75017</v>
      </c>
      <c r="O677" s="35" t="s">
        <v>55</v>
      </c>
      <c r="P677" s="50"/>
      <c r="Q677" s="50" t="n">
        <v>43</v>
      </c>
      <c r="R677" s="32" t="n">
        <v>162</v>
      </c>
      <c r="S677" s="32" t="n">
        <v>2</v>
      </c>
      <c r="T677" s="43"/>
      <c r="U677" s="32"/>
      <c r="V677" s="37" t="n">
        <v>3</v>
      </c>
      <c r="W677" s="43" t="n">
        <v>4</v>
      </c>
      <c r="X677" s="34"/>
      <c r="Y677" s="34" t="n">
        <v>1</v>
      </c>
      <c r="Z677" s="43"/>
      <c r="AA677" s="43" t="s">
        <v>4412</v>
      </c>
      <c r="AB677" s="43"/>
      <c r="AC677" s="38" t="str">
        <f aca="false">HYPERLINK("https://biocodex6--c.vf.force.com/0014L00000KFtAzQAL", "NACCACHE JEAN PIERRE")</f>
        <v>NACCACHE JEAN PIERRE</v>
      </c>
      <c r="AD677" s="38"/>
      <c r="AE677" s="39" t="n">
        <v>45251.4166666667</v>
      </c>
      <c r="AF677" s="40"/>
      <c r="AG677" s="41"/>
      <c r="AH677" s="43"/>
      <c r="AI677" s="43"/>
      <c r="AJ677" s="55" t="s">
        <v>4413</v>
      </c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XEY677" s="27"/>
      <c r="XEZ677" s="27"/>
      <c r="XFA677" s="27"/>
      <c r="XFB677" s="27"/>
      <c r="XFC677" s="27"/>
      <c r="XFD677" s="27"/>
    </row>
    <row r="678" s="42" customFormat="true" ht="14.15" hidden="false" customHeight="true" outlineLevel="0" collapsed="false">
      <c r="A678" s="28" t="s">
        <v>1134</v>
      </c>
      <c r="B678" s="29" t="s">
        <v>4419</v>
      </c>
      <c r="C678" s="29" t="s">
        <v>4420</v>
      </c>
      <c r="D678" s="30" t="s">
        <v>244</v>
      </c>
      <c r="E678" s="30" t="s">
        <v>4421</v>
      </c>
      <c r="F678" s="32" t="n">
        <v>41</v>
      </c>
      <c r="G678" s="31" t="s">
        <v>215</v>
      </c>
      <c r="H678" s="31" t="n">
        <v>3</v>
      </c>
      <c r="I678" s="31" t="s">
        <v>62</v>
      </c>
      <c r="J678" s="29" t="s">
        <v>3407</v>
      </c>
      <c r="K678" s="29" t="s">
        <v>3408</v>
      </c>
      <c r="L678" s="32" t="n">
        <v>9</v>
      </c>
      <c r="M678" s="33" t="s">
        <v>757</v>
      </c>
      <c r="N678" s="34" t="n">
        <v>75017</v>
      </c>
      <c r="O678" s="35" t="s">
        <v>55</v>
      </c>
      <c r="P678" s="36" t="s">
        <v>4422</v>
      </c>
      <c r="Q678" s="36" t="n">
        <v>5</v>
      </c>
      <c r="R678" s="32" t="n">
        <v>161</v>
      </c>
      <c r="S678" s="32" t="n">
        <v>2</v>
      </c>
      <c r="T678" s="32"/>
      <c r="U678" s="32"/>
      <c r="V678" s="37"/>
      <c r="W678" s="32"/>
      <c r="X678" s="34"/>
      <c r="Y678" s="34"/>
      <c r="Z678" s="36"/>
      <c r="AA678" s="32" t="s">
        <v>4423</v>
      </c>
      <c r="AB678" s="32" t="s">
        <v>4424</v>
      </c>
      <c r="AC678" s="38" t="str">
        <f aca="false">HYPERLINK("https://biocodex6--c.vf.force.com/0014L00000KFjpAQAT", "COHEN JONATHAN")</f>
        <v>COHEN JONATHAN</v>
      </c>
      <c r="AD678" s="38" t="str">
        <f aca="false">HYPERLINK("https://annuairesante.ameli.fr/professionnels-de-sante/recherche/fiche-detaillee-B7c1mjA5Nze1.html", "COHEN JONATHAN")</f>
        <v>COHEN JONATHAN</v>
      </c>
      <c r="AE678" s="39" t="n">
        <v>45356.4791666667</v>
      </c>
      <c r="AF678" s="40" t="s">
        <v>4425</v>
      </c>
      <c r="AG678" s="41"/>
      <c r="AH678" s="32" t="s">
        <v>179</v>
      </c>
      <c r="AI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XEY678" s="27"/>
      <c r="XEZ678" s="27"/>
      <c r="XFA678" s="27"/>
      <c r="XFB678" s="27"/>
      <c r="XFC678" s="27"/>
      <c r="XFD678" s="27"/>
    </row>
    <row r="679" s="42" customFormat="true" ht="14.15" hidden="false" customHeight="true" outlineLevel="0" collapsed="false">
      <c r="A679" s="28" t="s">
        <v>4426</v>
      </c>
      <c r="B679" s="29" t="s">
        <v>4073</v>
      </c>
      <c r="C679" s="29" t="s">
        <v>4427</v>
      </c>
      <c r="D679" s="30" t="s">
        <v>50</v>
      </c>
      <c r="E679" s="31"/>
      <c r="F679" s="32" t="n">
        <v>47</v>
      </c>
      <c r="G679" s="31"/>
      <c r="H679" s="31" t="n">
        <v>1</v>
      </c>
      <c r="I679" s="31" t="s">
        <v>119</v>
      </c>
      <c r="J679" s="29"/>
      <c r="K679" s="29" t="s">
        <v>4428</v>
      </c>
      <c r="L679" s="32" t="n">
        <v>1</v>
      </c>
      <c r="M679" s="33" t="s">
        <v>4429</v>
      </c>
      <c r="N679" s="34" t="n">
        <v>75007</v>
      </c>
      <c r="O679" s="35" t="s">
        <v>55</v>
      </c>
      <c r="P679" s="36" t="s">
        <v>4430</v>
      </c>
      <c r="Q679" s="36" t="n">
        <v>2</v>
      </c>
      <c r="R679" s="32" t="n">
        <v>161</v>
      </c>
      <c r="S679" s="32" t="n">
        <v>2</v>
      </c>
      <c r="T679" s="32"/>
      <c r="U679" s="32"/>
      <c r="V679" s="37"/>
      <c r="W679" s="32"/>
      <c r="X679" s="34"/>
      <c r="Y679" s="34"/>
      <c r="Z679" s="32"/>
      <c r="AA679" s="32" t="s">
        <v>4431</v>
      </c>
      <c r="AB679" s="32"/>
      <c r="AC679" s="38" t="str">
        <f aca="false">HYPERLINK("https://biocodex6--c.vf.force.com/0014L00000KFyOOQA1", "REMOND ODILE")</f>
        <v>REMOND ODILE</v>
      </c>
      <c r="AD679" s="38"/>
      <c r="AE679" s="39"/>
      <c r="AF679" s="40"/>
      <c r="AG679" s="41"/>
      <c r="AH679" s="32"/>
      <c r="AI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XEY679" s="27"/>
      <c r="XEZ679" s="27"/>
      <c r="XFA679" s="27"/>
      <c r="XFB679" s="27"/>
      <c r="XFC679" s="27"/>
      <c r="XFD679" s="27"/>
    </row>
    <row r="680" s="42" customFormat="true" ht="14.15" hidden="false" customHeight="true" outlineLevel="0" collapsed="false">
      <c r="A680" s="28" t="s">
        <v>4432</v>
      </c>
      <c r="B680" s="29" t="s">
        <v>4324</v>
      </c>
      <c r="C680" s="29" t="s">
        <v>4433</v>
      </c>
      <c r="D680" s="30" t="s">
        <v>75</v>
      </c>
      <c r="E680" s="30" t="s">
        <v>1176</v>
      </c>
      <c r="F680" s="32" t="n">
        <v>76</v>
      </c>
      <c r="G680" s="31" t="s">
        <v>215</v>
      </c>
      <c r="H680" s="31" t="n">
        <v>3</v>
      </c>
      <c r="I680" s="31" t="s">
        <v>173</v>
      </c>
      <c r="J680" s="29"/>
      <c r="K680" s="29" t="s">
        <v>4434</v>
      </c>
      <c r="L680" s="32" t="n">
        <v>22</v>
      </c>
      <c r="M680" s="33" t="s">
        <v>3039</v>
      </c>
      <c r="N680" s="34" t="n">
        <v>75016</v>
      </c>
      <c r="O680" s="35" t="s">
        <v>55</v>
      </c>
      <c r="P680" s="36" t="s">
        <v>4435</v>
      </c>
      <c r="Q680" s="36" t="n">
        <v>1</v>
      </c>
      <c r="R680" s="32" t="n">
        <v>160</v>
      </c>
      <c r="S680" s="32" t="n">
        <v>2</v>
      </c>
      <c r="T680" s="32"/>
      <c r="U680" s="32" t="n">
        <v>3</v>
      </c>
      <c r="V680" s="37"/>
      <c r="W680" s="32" t="n">
        <v>2</v>
      </c>
      <c r="X680" s="34"/>
      <c r="Y680" s="34" t="n">
        <v>1</v>
      </c>
      <c r="Z680" s="32"/>
      <c r="AA680" s="32" t="s">
        <v>4436</v>
      </c>
      <c r="AB680" s="32" t="s">
        <v>4437</v>
      </c>
      <c r="AC680" s="38" t="str">
        <f aca="false">HYPERLINK("https://biocodex6--c.vf.force.com/0014L00000KG2v2QAD", "THAUVIN HUGUES")</f>
        <v>THAUVIN HUGUES</v>
      </c>
      <c r="AD680" s="38" t="str">
        <f aca="false">HYPERLINK("https://annuairesante.ameli.fr/professionnels-de-sante/recherche/fiche-detaillee-B7c1ljIwMjK7.html", "THAUVIN HUGUES")</f>
        <v>THAUVIN HUGUES</v>
      </c>
      <c r="AE680" s="39" t="n">
        <v>45345.375</v>
      </c>
      <c r="AF680" s="40"/>
      <c r="AG680" s="41"/>
      <c r="AH680" s="32"/>
      <c r="AI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XEY680" s="27"/>
      <c r="XEZ680" s="27"/>
      <c r="XFA680" s="27"/>
      <c r="XFB680" s="27"/>
      <c r="XFC680" s="27"/>
      <c r="XFD680" s="27"/>
    </row>
    <row r="681" s="42" customFormat="true" ht="14.15" hidden="false" customHeight="true" outlineLevel="0" collapsed="false">
      <c r="A681" s="28" t="s">
        <v>4438</v>
      </c>
      <c r="B681" s="29" t="s">
        <v>59</v>
      </c>
      <c r="C681" s="29" t="s">
        <v>4439</v>
      </c>
      <c r="D681" s="30" t="s">
        <v>50</v>
      </c>
      <c r="E681" s="31"/>
      <c r="F681" s="32" t="n">
        <v>39</v>
      </c>
      <c r="G681" s="31"/>
      <c r="H681" s="31" t="n">
        <v>1</v>
      </c>
      <c r="I681" s="31" t="s">
        <v>99</v>
      </c>
      <c r="J681" s="29" t="s">
        <v>595</v>
      </c>
      <c r="K681" s="29" t="s">
        <v>596</v>
      </c>
      <c r="L681" s="32" t="n">
        <v>20</v>
      </c>
      <c r="M681" s="33" t="s">
        <v>597</v>
      </c>
      <c r="N681" s="34" t="n">
        <v>75015</v>
      </c>
      <c r="O681" s="35" t="s">
        <v>55</v>
      </c>
      <c r="P681" s="36" t="s">
        <v>4409</v>
      </c>
      <c r="Q681" s="36" t="n">
        <v>90</v>
      </c>
      <c r="R681" s="32" t="n">
        <v>159</v>
      </c>
      <c r="S681" s="32" t="n">
        <v>2</v>
      </c>
      <c r="T681" s="32"/>
      <c r="U681" s="32"/>
      <c r="V681" s="37"/>
      <c r="W681" s="32"/>
      <c r="X681" s="34"/>
      <c r="Y681" s="34"/>
      <c r="Z681" s="36"/>
      <c r="AA681" s="32" t="s">
        <v>4440</v>
      </c>
      <c r="AB681" s="32"/>
      <c r="AC681" s="38" t="str">
        <f aca="false">HYPERLINK("https://biocodex6--c.vf.force.com/0014L00000KFMC0QAP", "CHOCRON RICHARD")</f>
        <v>CHOCRON RICHARD</v>
      </c>
      <c r="AD681" s="38"/>
      <c r="AE681" s="39"/>
      <c r="AF681" s="40"/>
      <c r="AG681" s="41"/>
      <c r="AH681" s="32" t="s">
        <v>179</v>
      </c>
      <c r="AI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XEY681" s="27"/>
      <c r="XEZ681" s="27"/>
      <c r="XFA681" s="27"/>
      <c r="XFB681" s="27"/>
      <c r="XFC681" s="27"/>
      <c r="XFD681" s="27"/>
    </row>
    <row r="682" s="42" customFormat="true" ht="14.15" hidden="false" customHeight="true" outlineLevel="0" collapsed="false">
      <c r="A682" s="28" t="s">
        <v>4441</v>
      </c>
      <c r="B682" s="29" t="s">
        <v>4442</v>
      </c>
      <c r="C682" s="29" t="s">
        <v>4443</v>
      </c>
      <c r="D682" s="30" t="s">
        <v>50</v>
      </c>
      <c r="E682" s="30" t="s">
        <v>255</v>
      </c>
      <c r="F682" s="32" t="n">
        <v>51</v>
      </c>
      <c r="G682" s="31"/>
      <c r="H682" s="31" t="n">
        <v>1</v>
      </c>
      <c r="I682" s="31" t="s">
        <v>99</v>
      </c>
      <c r="J682" s="29" t="s">
        <v>595</v>
      </c>
      <c r="K682" s="29" t="s">
        <v>596</v>
      </c>
      <c r="L682" s="32" t="n">
        <v>20</v>
      </c>
      <c r="M682" s="33" t="s">
        <v>597</v>
      </c>
      <c r="N682" s="34" t="n">
        <v>75015</v>
      </c>
      <c r="O682" s="35" t="s">
        <v>55</v>
      </c>
      <c r="P682" s="36"/>
      <c r="Q682" s="36" t="n">
        <v>90</v>
      </c>
      <c r="R682" s="32" t="n">
        <v>159</v>
      </c>
      <c r="S682" s="32" t="n">
        <v>2</v>
      </c>
      <c r="T682" s="32"/>
      <c r="U682" s="32"/>
      <c r="V682" s="37"/>
      <c r="W682" s="32"/>
      <c r="X682" s="34"/>
      <c r="Y682" s="34"/>
      <c r="Z682" s="32"/>
      <c r="AA682" s="32" t="s">
        <v>4444</v>
      </c>
      <c r="AB682" s="32"/>
      <c r="AC682" s="38" t="str">
        <f aca="false">HYPERLINK("https://biocodex6--c.vf.force.com/0014L00000KFo6cQAD", "LAHJIBI PAULET HAYAT")</f>
        <v>LAHJIBI PAULET HAYAT</v>
      </c>
      <c r="AD682" s="38"/>
      <c r="AE682" s="39"/>
      <c r="AF682" s="40"/>
      <c r="AG682" s="41"/>
      <c r="AH682" s="32"/>
      <c r="AI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XEY682" s="27"/>
      <c r="XEZ682" s="27"/>
      <c r="XFA682" s="27"/>
      <c r="XFB682" s="27"/>
      <c r="XFC682" s="27"/>
      <c r="XFD682" s="27"/>
    </row>
    <row r="683" s="42" customFormat="true" ht="14.15" hidden="false" customHeight="true" outlineLevel="0" collapsed="false">
      <c r="A683" s="28" t="s">
        <v>4445</v>
      </c>
      <c r="B683" s="29" t="s">
        <v>1539</v>
      </c>
      <c r="C683" s="29" t="s">
        <v>4446</v>
      </c>
      <c r="D683" s="30" t="s">
        <v>112</v>
      </c>
      <c r="E683" s="31"/>
      <c r="F683" s="32" t="n">
        <v>50</v>
      </c>
      <c r="G683" s="31"/>
      <c r="H683" s="31" t="n">
        <v>1</v>
      </c>
      <c r="I683" s="31" t="s">
        <v>51</v>
      </c>
      <c r="J683" s="29" t="s">
        <v>52</v>
      </c>
      <c r="K683" s="29" t="s">
        <v>53</v>
      </c>
      <c r="L683" s="32" t="n">
        <v>149</v>
      </c>
      <c r="M683" s="33" t="s">
        <v>54</v>
      </c>
      <c r="N683" s="34" t="n">
        <v>75015</v>
      </c>
      <c r="O683" s="35" t="s">
        <v>55</v>
      </c>
      <c r="P683" s="36" t="s">
        <v>885</v>
      </c>
      <c r="Q683" s="36" t="n">
        <v>236</v>
      </c>
      <c r="R683" s="32" t="n">
        <v>159</v>
      </c>
      <c r="S683" s="32" t="n">
        <v>2</v>
      </c>
      <c r="T683" s="32"/>
      <c r="U683" s="32"/>
      <c r="V683" s="37"/>
      <c r="W683" s="32"/>
      <c r="X683" s="34"/>
      <c r="Y683" s="34"/>
      <c r="Z683" s="32"/>
      <c r="AA683" s="32" t="s">
        <v>4447</v>
      </c>
      <c r="AB683" s="32"/>
      <c r="AC683" s="38" t="str">
        <f aca="false">HYPERLINK("https://biocodex6--c.vf.force.com/0014L00000KFs7RQAT", "KERBOUC H STEPHANIE")</f>
        <v>KERBOUC H STEPHANIE</v>
      </c>
      <c r="AD683" s="38"/>
      <c r="AE683" s="39"/>
      <c r="AF683" s="40"/>
      <c r="AG683" s="41"/>
      <c r="AH683" s="32"/>
      <c r="AI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XEY683" s="27"/>
      <c r="XEZ683" s="27"/>
      <c r="XFA683" s="27"/>
      <c r="XFB683" s="27"/>
      <c r="XFC683" s="27"/>
      <c r="XFD683" s="27"/>
    </row>
    <row r="684" s="42" customFormat="true" ht="14.15" hidden="false" customHeight="true" outlineLevel="0" collapsed="false">
      <c r="A684" s="28" t="s">
        <v>4448</v>
      </c>
      <c r="B684" s="29" t="s">
        <v>543</v>
      </c>
      <c r="C684" s="29" t="s">
        <v>4449</v>
      </c>
      <c r="D684" s="30" t="s">
        <v>244</v>
      </c>
      <c r="E684" s="30" t="s">
        <v>2740</v>
      </c>
      <c r="F684" s="32" t="n">
        <v>71</v>
      </c>
      <c r="G684" s="31" t="s">
        <v>215</v>
      </c>
      <c r="H684" s="31" t="n">
        <v>1</v>
      </c>
      <c r="I684" s="31" t="s">
        <v>119</v>
      </c>
      <c r="J684" s="29"/>
      <c r="K684" s="29" t="s">
        <v>4450</v>
      </c>
      <c r="L684" s="32" t="n">
        <v>151</v>
      </c>
      <c r="M684" s="33" t="s">
        <v>1221</v>
      </c>
      <c r="N684" s="34" t="n">
        <v>75007</v>
      </c>
      <c r="O684" s="35" t="s">
        <v>55</v>
      </c>
      <c r="P684" s="36" t="s">
        <v>4451</v>
      </c>
      <c r="Q684" s="36" t="n">
        <v>1</v>
      </c>
      <c r="R684" s="32" t="n">
        <v>157</v>
      </c>
      <c r="S684" s="32" t="n">
        <v>2</v>
      </c>
      <c r="T684" s="32"/>
      <c r="U684" s="32" t="n">
        <v>3</v>
      </c>
      <c r="V684" s="37"/>
      <c r="W684" s="32" t="n">
        <v>3</v>
      </c>
      <c r="X684" s="34"/>
      <c r="Y684" s="34" t="n">
        <v>2</v>
      </c>
      <c r="Z684" s="32"/>
      <c r="AA684" s="32" t="s">
        <v>4452</v>
      </c>
      <c r="AB684" s="32" t="s">
        <v>4453</v>
      </c>
      <c r="AC684" s="38" t="str">
        <f aca="false">HYPERLINK("https://biocodex6--c.vf.force.com/0014L00000KFzYrQAL", "ROULLET CHRISTINE")</f>
        <v>ROULLET CHRISTINE</v>
      </c>
      <c r="AD684" s="38" t="str">
        <f aca="false">HYPERLINK("https://annuairesante.ameli.fr/professionnels-de-sante/recherche/fiche-detaillee-B7c1ljA4NTCx.html", "ROULLET CHRISTINE")</f>
        <v>ROULLET CHRISTINE</v>
      </c>
      <c r="AE684" s="39" t="n">
        <v>45373.5833333333</v>
      </c>
      <c r="AF684" s="40" t="s">
        <v>4454</v>
      </c>
      <c r="AG684" s="41"/>
      <c r="AH684" s="32"/>
      <c r="AI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XEY684" s="27"/>
      <c r="XEZ684" s="27"/>
      <c r="XFA684" s="27"/>
      <c r="XFB684" s="27"/>
      <c r="XFC684" s="27"/>
      <c r="XFD684" s="27"/>
    </row>
    <row r="685" s="42" customFormat="true" ht="14.15" hidden="false" customHeight="true" outlineLevel="0" collapsed="false">
      <c r="A685" s="28" t="s">
        <v>4455</v>
      </c>
      <c r="B685" s="29" t="s">
        <v>4456</v>
      </c>
      <c r="C685" s="29" t="s">
        <v>4457</v>
      </c>
      <c r="D685" s="30" t="s">
        <v>50</v>
      </c>
      <c r="E685" s="30" t="s">
        <v>2281</v>
      </c>
      <c r="F685" s="32" t="n">
        <v>34</v>
      </c>
      <c r="G685" s="31"/>
      <c r="H685" s="31" t="n">
        <v>1</v>
      </c>
      <c r="I685" s="31" t="s">
        <v>572</v>
      </c>
      <c r="J685" s="29"/>
      <c r="K685" s="29" t="s">
        <v>4458</v>
      </c>
      <c r="L685" s="32" t="n">
        <v>29</v>
      </c>
      <c r="M685" s="33" t="s">
        <v>4459</v>
      </c>
      <c r="N685" s="34" t="n">
        <v>75008</v>
      </c>
      <c r="O685" s="35" t="s">
        <v>55</v>
      </c>
      <c r="P685" s="36" t="s">
        <v>4460</v>
      </c>
      <c r="Q685" s="36" t="n">
        <v>2</v>
      </c>
      <c r="R685" s="32" t="n">
        <v>156</v>
      </c>
      <c r="S685" s="32" t="n">
        <v>2</v>
      </c>
      <c r="T685" s="32"/>
      <c r="U685" s="32"/>
      <c r="V685" s="37"/>
      <c r="W685" s="32"/>
      <c r="X685" s="34"/>
      <c r="Y685" s="34"/>
      <c r="Z685" s="32"/>
      <c r="AA685" s="32" t="s">
        <v>4461</v>
      </c>
      <c r="AB685" s="32"/>
      <c r="AC685" s="38" t="str">
        <f aca="false">HYPERLINK("https://biocodex6--c.vf.force.com/0014L00000KGEPEQA5", "VONDERWEIDT FRANCE")</f>
        <v>VONDERWEIDT FRANCE</v>
      </c>
      <c r="AD685" s="38"/>
      <c r="AE685" s="39"/>
      <c r="AF685" s="40"/>
      <c r="AG685" s="41"/>
      <c r="AH685" s="32"/>
      <c r="AI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XEY685" s="27"/>
      <c r="XEZ685" s="27"/>
      <c r="XFA685" s="27"/>
      <c r="XFB685" s="27"/>
      <c r="XFC685" s="27"/>
      <c r="XFD685" s="27"/>
    </row>
    <row r="686" s="42" customFormat="true" ht="14.15" hidden="false" customHeight="true" outlineLevel="0" collapsed="false">
      <c r="A686" s="28" t="s">
        <v>4462</v>
      </c>
      <c r="B686" s="29" t="s">
        <v>4463</v>
      </c>
      <c r="C686" s="29" t="s">
        <v>4464</v>
      </c>
      <c r="D686" s="30" t="s">
        <v>50</v>
      </c>
      <c r="E686" s="31"/>
      <c r="F686" s="32" t="n">
        <v>37</v>
      </c>
      <c r="G686" s="31"/>
      <c r="H686" s="31" t="n">
        <v>1</v>
      </c>
      <c r="I686" s="31" t="s">
        <v>295</v>
      </c>
      <c r="J686" s="29" t="s">
        <v>489</v>
      </c>
      <c r="K686" s="29" t="s">
        <v>1183</v>
      </c>
      <c r="L686" s="32" t="n">
        <v>4</v>
      </c>
      <c r="M686" s="33" t="s">
        <v>297</v>
      </c>
      <c r="N686" s="34" t="n">
        <v>92300</v>
      </c>
      <c r="O686" s="35" t="s">
        <v>298</v>
      </c>
      <c r="P686" s="36" t="s">
        <v>1184</v>
      </c>
      <c r="Q686" s="36" t="n">
        <v>27</v>
      </c>
      <c r="R686" s="32" t="n">
        <v>156</v>
      </c>
      <c r="S686" s="32" t="n">
        <v>2</v>
      </c>
      <c r="T686" s="32"/>
      <c r="U686" s="32"/>
      <c r="V686" s="37"/>
      <c r="W686" s="32"/>
      <c r="X686" s="34"/>
      <c r="Y686" s="34"/>
      <c r="Z686" s="32"/>
      <c r="AA686" s="32" t="s">
        <v>4465</v>
      </c>
      <c r="AB686" s="32"/>
      <c r="AC686" s="38" t="str">
        <f aca="false">HYPERLINK("https://biocodex6--c.vf.force.com/0014L00000KG9k9QAD", "BOUCHY NICOLAS")</f>
        <v>BOUCHY NICOLAS</v>
      </c>
      <c r="AD686" s="38"/>
      <c r="AE686" s="39"/>
      <c r="AF686" s="40"/>
      <c r="AG686" s="41"/>
      <c r="AH686" s="32"/>
      <c r="AI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XEY686" s="27"/>
      <c r="XEZ686" s="27"/>
      <c r="XFA686" s="27"/>
      <c r="XFB686" s="27"/>
      <c r="XFC686" s="27"/>
      <c r="XFD686" s="27"/>
    </row>
    <row r="687" s="42" customFormat="true" ht="14.15" hidden="false" customHeight="true" outlineLevel="0" collapsed="false">
      <c r="A687" s="28" t="s">
        <v>4466</v>
      </c>
      <c r="B687" s="29" t="s">
        <v>4375</v>
      </c>
      <c r="C687" s="29" t="s">
        <v>4467</v>
      </c>
      <c r="D687" s="30" t="s">
        <v>75</v>
      </c>
      <c r="E687" s="31"/>
      <c r="F687" s="32" t="n">
        <v>70</v>
      </c>
      <c r="G687" s="31"/>
      <c r="H687" s="31" t="n">
        <v>1</v>
      </c>
      <c r="I687" s="31" t="s">
        <v>572</v>
      </c>
      <c r="J687" s="29" t="s">
        <v>678</v>
      </c>
      <c r="K687" s="29" t="s">
        <v>679</v>
      </c>
      <c r="L687" s="32" t="n">
        <v>6</v>
      </c>
      <c r="M687" s="33" t="s">
        <v>680</v>
      </c>
      <c r="N687" s="34" t="n">
        <v>75008</v>
      </c>
      <c r="O687" s="35" t="s">
        <v>55</v>
      </c>
      <c r="P687" s="36" t="s">
        <v>4468</v>
      </c>
      <c r="Q687" s="36" t="n">
        <v>43</v>
      </c>
      <c r="R687" s="32" t="n">
        <v>153</v>
      </c>
      <c r="S687" s="32" t="n">
        <v>2</v>
      </c>
      <c r="T687" s="32"/>
      <c r="U687" s="32"/>
      <c r="V687" s="37"/>
      <c r="W687" s="32"/>
      <c r="X687" s="34"/>
      <c r="Y687" s="34"/>
      <c r="Z687" s="32"/>
      <c r="AA687" s="32" t="s">
        <v>4469</v>
      </c>
      <c r="AB687" s="32"/>
      <c r="AC687" s="38" t="str">
        <f aca="false">HYPERLINK("https://biocodex6--c.vf.force.com/0014L00000KG4UAQA1", "VASSEUR LEFORT JACQUELINE")</f>
        <v>VASSEUR LEFORT JACQUELINE</v>
      </c>
      <c r="AD687" s="38"/>
      <c r="AE687" s="39"/>
      <c r="AF687" s="40"/>
      <c r="AG687" s="41"/>
      <c r="AH687" s="32"/>
      <c r="AI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XEY687" s="27"/>
      <c r="XEZ687" s="27"/>
      <c r="XFA687" s="27"/>
      <c r="XFB687" s="27"/>
      <c r="XFC687" s="27"/>
      <c r="XFD687" s="27"/>
    </row>
    <row r="688" s="42" customFormat="true" ht="14.15" hidden="false" customHeight="true" outlineLevel="0" collapsed="false">
      <c r="A688" s="28" t="s">
        <v>4470</v>
      </c>
      <c r="B688" s="29" t="s">
        <v>4471</v>
      </c>
      <c r="C688" s="29" t="s">
        <v>4472</v>
      </c>
      <c r="D688" s="30" t="s">
        <v>112</v>
      </c>
      <c r="E688" s="30" t="s">
        <v>401</v>
      </c>
      <c r="F688" s="32" t="n">
        <v>35</v>
      </c>
      <c r="G688" s="31"/>
      <c r="H688" s="31" t="n">
        <v>1</v>
      </c>
      <c r="I688" s="31" t="s">
        <v>51</v>
      </c>
      <c r="J688" s="29" t="s">
        <v>52</v>
      </c>
      <c r="K688" s="29" t="s">
        <v>53</v>
      </c>
      <c r="L688" s="32" t="n">
        <v>149</v>
      </c>
      <c r="M688" s="33" t="s">
        <v>54</v>
      </c>
      <c r="N688" s="34" t="n">
        <v>75015</v>
      </c>
      <c r="O688" s="35" t="s">
        <v>55</v>
      </c>
      <c r="P688" s="36" t="s">
        <v>1949</v>
      </c>
      <c r="Q688" s="36" t="n">
        <v>236</v>
      </c>
      <c r="R688" s="32" t="n">
        <v>151</v>
      </c>
      <c r="S688" s="32" t="n">
        <v>2</v>
      </c>
      <c r="T688" s="32"/>
      <c r="U688" s="32"/>
      <c r="V688" s="37"/>
      <c r="W688" s="32"/>
      <c r="X688" s="34"/>
      <c r="Y688" s="34"/>
      <c r="Z688" s="32"/>
      <c r="AA688" s="32" t="s">
        <v>4473</v>
      </c>
      <c r="AB688" s="32"/>
      <c r="AC688" s="38" t="str">
        <f aca="false">HYPERLINK("https://biocodex6--c.vf.force.com/0014L00000KGCIQQA5", "ABAKKA SAMYA")</f>
        <v>ABAKKA SAMYA</v>
      </c>
      <c r="AD688" s="38"/>
      <c r="AE688" s="39"/>
      <c r="AF688" s="40"/>
      <c r="AG688" s="41"/>
      <c r="AH688" s="32"/>
      <c r="AI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XEY688" s="27"/>
      <c r="XEZ688" s="27"/>
      <c r="XFA688" s="27"/>
      <c r="XFB688" s="27"/>
      <c r="XFC688" s="27"/>
      <c r="XFD688" s="27"/>
    </row>
    <row r="689" s="42" customFormat="true" ht="14.15" hidden="false" customHeight="true" outlineLevel="0" collapsed="false">
      <c r="A689" s="28" t="s">
        <v>4474</v>
      </c>
      <c r="B689" s="29" t="s">
        <v>4475</v>
      </c>
      <c r="C689" s="29" t="s">
        <v>4476</v>
      </c>
      <c r="D689" s="30" t="s">
        <v>50</v>
      </c>
      <c r="E689" s="30" t="s">
        <v>112</v>
      </c>
      <c r="F689" s="32" t="n">
        <v>65</v>
      </c>
      <c r="G689" s="31"/>
      <c r="H689" s="31" t="n">
        <v>2</v>
      </c>
      <c r="I689" s="31" t="s">
        <v>99</v>
      </c>
      <c r="J689" s="29"/>
      <c r="K689" s="29" t="s">
        <v>4477</v>
      </c>
      <c r="L689" s="32" t="n">
        <v>21</v>
      </c>
      <c r="M689" s="33" t="s">
        <v>892</v>
      </c>
      <c r="N689" s="34" t="n">
        <v>75015</v>
      </c>
      <c r="O689" s="35" t="s">
        <v>55</v>
      </c>
      <c r="P689" s="36" t="s">
        <v>4478</v>
      </c>
      <c r="Q689" s="36" t="n">
        <v>1</v>
      </c>
      <c r="R689" s="32" t="n">
        <v>150</v>
      </c>
      <c r="S689" s="32" t="n">
        <v>2</v>
      </c>
      <c r="T689" s="32"/>
      <c r="U689" s="32"/>
      <c r="V689" s="37"/>
      <c r="W689" s="32"/>
      <c r="X689" s="34"/>
      <c r="Y689" s="34"/>
      <c r="Z689" s="32"/>
      <c r="AA689" s="32" t="s">
        <v>4479</v>
      </c>
      <c r="AB689" s="32"/>
      <c r="AC689" s="38" t="str">
        <f aca="false">HYPERLINK("https://biocodex6--c.vf.force.com/0014L00000KG11TQAT", "SEBAN ALAIN LOUIS")</f>
        <v>SEBAN ALAIN LOUIS</v>
      </c>
      <c r="AD689" s="38"/>
      <c r="AE689" s="39"/>
      <c r="AF689" s="40"/>
      <c r="AG689" s="41"/>
      <c r="AH689" s="32"/>
      <c r="AI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XEY689" s="27"/>
      <c r="XEZ689" s="27"/>
      <c r="XFA689" s="27"/>
      <c r="XFB689" s="27"/>
      <c r="XFC689" s="27"/>
      <c r="XFD689" s="27"/>
    </row>
    <row r="690" s="42" customFormat="true" ht="14.15" hidden="false" customHeight="true" outlineLevel="0" collapsed="false">
      <c r="A690" s="28" t="s">
        <v>4480</v>
      </c>
      <c r="B690" s="29" t="s">
        <v>1510</v>
      </c>
      <c r="C690" s="29" t="s">
        <v>4481</v>
      </c>
      <c r="D690" s="30" t="s">
        <v>50</v>
      </c>
      <c r="E690" s="31"/>
      <c r="F690" s="32" t="n">
        <v>39</v>
      </c>
      <c r="G690" s="31"/>
      <c r="H690" s="31" t="n">
        <v>1</v>
      </c>
      <c r="I690" s="31" t="s">
        <v>233</v>
      </c>
      <c r="J690" s="29" t="s">
        <v>4482</v>
      </c>
      <c r="K690" s="29" t="s">
        <v>4483</v>
      </c>
      <c r="L690" s="32" t="n">
        <v>10</v>
      </c>
      <c r="M690" s="33" t="s">
        <v>4484</v>
      </c>
      <c r="N690" s="34" t="n">
        <v>75015</v>
      </c>
      <c r="O690" s="35" t="s">
        <v>55</v>
      </c>
      <c r="P690" s="36" t="s">
        <v>4485</v>
      </c>
      <c r="Q690" s="36" t="n">
        <v>7</v>
      </c>
      <c r="R690" s="32" t="n">
        <v>149</v>
      </c>
      <c r="S690" s="32" t="n">
        <v>2</v>
      </c>
      <c r="T690" s="32"/>
      <c r="U690" s="32"/>
      <c r="V690" s="37"/>
      <c r="W690" s="32"/>
      <c r="X690" s="34"/>
      <c r="Y690" s="34"/>
      <c r="Z690" s="32"/>
      <c r="AA690" s="32" t="s">
        <v>4486</v>
      </c>
      <c r="AB690" s="32"/>
      <c r="AC690" s="38" t="str">
        <f aca="false">HYPERLINK("https://biocodex6--c.vf.force.com/0014L00000KFMvOQAX", "BOURZAM MOUNA")</f>
        <v>BOURZAM MOUNA</v>
      </c>
      <c r="AD690" s="38"/>
      <c r="AE690" s="39"/>
      <c r="AF690" s="40"/>
      <c r="AG690" s="41"/>
      <c r="AH690" s="32"/>
      <c r="AI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XEY690" s="27"/>
      <c r="XEZ690" s="27"/>
      <c r="XFA690" s="27"/>
      <c r="XFB690" s="27"/>
      <c r="XFC690" s="27"/>
      <c r="XFD690" s="27"/>
    </row>
    <row r="691" s="42" customFormat="true" ht="14.15" hidden="false" customHeight="true" outlineLevel="0" collapsed="false">
      <c r="A691" s="28" t="s">
        <v>4487</v>
      </c>
      <c r="B691" s="29" t="s">
        <v>4488</v>
      </c>
      <c r="C691" s="29" t="s">
        <v>4489</v>
      </c>
      <c r="D691" s="30" t="s">
        <v>244</v>
      </c>
      <c r="E691" s="30" t="s">
        <v>245</v>
      </c>
      <c r="F691" s="32" t="n">
        <v>43</v>
      </c>
      <c r="G691" s="31" t="s">
        <v>215</v>
      </c>
      <c r="H691" s="31" t="n">
        <v>3</v>
      </c>
      <c r="I691" s="31" t="s">
        <v>197</v>
      </c>
      <c r="J691" s="29"/>
      <c r="K691" s="29" t="s">
        <v>4490</v>
      </c>
      <c r="L691" s="32" t="n">
        <v>28</v>
      </c>
      <c r="M691" s="33" t="s">
        <v>199</v>
      </c>
      <c r="N691" s="34" t="n">
        <v>75017</v>
      </c>
      <c r="O691" s="35" t="s">
        <v>55</v>
      </c>
      <c r="P691" s="36" t="s">
        <v>4491</v>
      </c>
      <c r="Q691" s="36" t="n">
        <v>1</v>
      </c>
      <c r="R691" s="32" t="n">
        <v>148</v>
      </c>
      <c r="S691" s="32" t="n">
        <v>2</v>
      </c>
      <c r="T691" s="32"/>
      <c r="U691" s="32"/>
      <c r="V691" s="37" t="n">
        <v>3</v>
      </c>
      <c r="W691" s="32"/>
      <c r="X691" s="34"/>
      <c r="Y691" s="34"/>
      <c r="Z691" s="32"/>
      <c r="AA691" s="32" t="s">
        <v>4492</v>
      </c>
      <c r="AB691" s="32" t="s">
        <v>4493</v>
      </c>
      <c r="AC691" s="38" t="str">
        <f aca="false">HYPERLINK("https://biocodex6--c.vf.force.com/0014L00000KFNFsQAP", "METHNI AHLEM")</f>
        <v>METHNI AHLEM</v>
      </c>
      <c r="AD691" s="38" t="str">
        <f aca="false">HYPERLINK("https://annuairesante.ameli.fr/professionnels-de-sante/recherche/fiche-detaillee-CbA1mjYxMzS7.html", "METHNI AHLEM")</f>
        <v>METHNI AHLEM</v>
      </c>
      <c r="AE691" s="39"/>
      <c r="AF691" s="40"/>
      <c r="AG691" s="41"/>
      <c r="AH691" s="32"/>
      <c r="AI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XEY691" s="27"/>
      <c r="XEZ691" s="27"/>
      <c r="XFA691" s="27"/>
      <c r="XFB691" s="27"/>
      <c r="XFC691" s="27"/>
      <c r="XFD691" s="27"/>
    </row>
    <row r="692" s="42" customFormat="true" ht="14.15" hidden="false" customHeight="true" outlineLevel="0" collapsed="false">
      <c r="A692" s="28" t="s">
        <v>4494</v>
      </c>
      <c r="B692" s="29" t="s">
        <v>4495</v>
      </c>
      <c r="C692" s="29" t="s">
        <v>4496</v>
      </c>
      <c r="D692" s="30" t="s">
        <v>50</v>
      </c>
      <c r="E692" s="31"/>
      <c r="F692" s="32" t="n">
        <v>37</v>
      </c>
      <c r="G692" s="31"/>
      <c r="H692" s="31" t="n">
        <v>1</v>
      </c>
      <c r="I692" s="31" t="s">
        <v>387</v>
      </c>
      <c r="J692" s="29" t="s">
        <v>3242</v>
      </c>
      <c r="K692" s="29" t="s">
        <v>3243</v>
      </c>
      <c r="L692" s="32" t="n">
        <v>11</v>
      </c>
      <c r="M692" s="33" t="s">
        <v>3244</v>
      </c>
      <c r="N692" s="34" t="n">
        <v>75016</v>
      </c>
      <c r="O692" s="35" t="s">
        <v>55</v>
      </c>
      <c r="P692" s="36" t="s">
        <v>4497</v>
      </c>
      <c r="Q692" s="36" t="n">
        <v>15</v>
      </c>
      <c r="R692" s="32" t="n">
        <v>143</v>
      </c>
      <c r="S692" s="32" t="n">
        <v>2</v>
      </c>
      <c r="T692" s="32"/>
      <c r="U692" s="32"/>
      <c r="V692" s="37"/>
      <c r="W692" s="32"/>
      <c r="X692" s="34"/>
      <c r="Y692" s="34"/>
      <c r="Z692" s="32"/>
      <c r="AA692" s="32" t="s">
        <v>4498</v>
      </c>
      <c r="AB692" s="32"/>
      <c r="AC692" s="38" t="str">
        <f aca="false">HYPERLINK("https://biocodex6--c.vf.force.com/0014L00000KGC6bQAH", "VYTHILINGUM DANY")</f>
        <v>VYTHILINGUM DANY</v>
      </c>
      <c r="AD692" s="38"/>
      <c r="AE692" s="39"/>
      <c r="AF692" s="40"/>
      <c r="AG692" s="41"/>
      <c r="AH692" s="32"/>
      <c r="AI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XEY692" s="27"/>
      <c r="XEZ692" s="27"/>
      <c r="XFA692" s="27"/>
      <c r="XFB692" s="27"/>
      <c r="XFC692" s="27"/>
      <c r="XFD692" s="27"/>
    </row>
    <row r="693" s="42" customFormat="true" ht="14.15" hidden="false" customHeight="true" outlineLevel="0" collapsed="false">
      <c r="A693" s="28" t="s">
        <v>4499</v>
      </c>
      <c r="B693" s="29" t="s">
        <v>419</v>
      </c>
      <c r="C693" s="29" t="s">
        <v>4500</v>
      </c>
      <c r="D693" s="30" t="s">
        <v>50</v>
      </c>
      <c r="E693" s="30" t="s">
        <v>1709</v>
      </c>
      <c r="F693" s="32" t="n">
        <v>46</v>
      </c>
      <c r="G693" s="31"/>
      <c r="H693" s="31" t="n">
        <v>1</v>
      </c>
      <c r="I693" s="31" t="s">
        <v>387</v>
      </c>
      <c r="J693" s="29" t="s">
        <v>3242</v>
      </c>
      <c r="K693" s="29" t="s">
        <v>3243</v>
      </c>
      <c r="L693" s="32" t="n">
        <v>11</v>
      </c>
      <c r="M693" s="33" t="s">
        <v>3244</v>
      </c>
      <c r="N693" s="34" t="n">
        <v>75016</v>
      </c>
      <c r="O693" s="35" t="s">
        <v>55</v>
      </c>
      <c r="P693" s="36" t="s">
        <v>4501</v>
      </c>
      <c r="Q693" s="36" t="n">
        <v>15</v>
      </c>
      <c r="R693" s="32" t="n">
        <v>142</v>
      </c>
      <c r="S693" s="32" t="n">
        <v>2</v>
      </c>
      <c r="T693" s="32"/>
      <c r="U693" s="32"/>
      <c r="V693" s="37"/>
      <c r="W693" s="32"/>
      <c r="X693" s="34"/>
      <c r="Y693" s="34"/>
      <c r="Z693" s="32"/>
      <c r="AA693" s="32" t="s">
        <v>4502</v>
      </c>
      <c r="AB693" s="32"/>
      <c r="AC693" s="38" t="str">
        <f aca="false">HYPERLINK("https://biocodex6--c.vf.force.com/0014L00000KFt7eQAD", "ASSELIN MULLER DE SCHONGOR FLORENCE")</f>
        <v>ASSELIN MULLER DE SCHONGOR FLORENCE</v>
      </c>
      <c r="AD693" s="38"/>
      <c r="AE693" s="39"/>
      <c r="AF693" s="40"/>
      <c r="AG693" s="41"/>
      <c r="AH693" s="32"/>
      <c r="AI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XEY693" s="27"/>
      <c r="XEZ693" s="27"/>
      <c r="XFA693" s="27"/>
      <c r="XFB693" s="27"/>
      <c r="XFC693" s="27"/>
      <c r="XFD693" s="27"/>
    </row>
    <row r="694" s="42" customFormat="true" ht="14.15" hidden="false" customHeight="true" outlineLevel="0" collapsed="false">
      <c r="A694" s="28" t="s">
        <v>4503</v>
      </c>
      <c r="B694" s="29" t="s">
        <v>4504</v>
      </c>
      <c r="C694" s="29" t="s">
        <v>4505</v>
      </c>
      <c r="D694" s="30" t="s">
        <v>244</v>
      </c>
      <c r="E694" s="30" t="s">
        <v>245</v>
      </c>
      <c r="F694" s="32" t="n">
        <v>44</v>
      </c>
      <c r="G694" s="31" t="s">
        <v>215</v>
      </c>
      <c r="H694" s="31" t="n">
        <v>1</v>
      </c>
      <c r="I694" s="31" t="s">
        <v>197</v>
      </c>
      <c r="J694" s="29"/>
      <c r="K694" s="29" t="s">
        <v>4506</v>
      </c>
      <c r="L694" s="32" t="n">
        <v>15</v>
      </c>
      <c r="M694" s="33" t="s">
        <v>2563</v>
      </c>
      <c r="N694" s="34" t="n">
        <v>75017</v>
      </c>
      <c r="O694" s="35" t="s">
        <v>55</v>
      </c>
      <c r="P694" s="36" t="s">
        <v>4507</v>
      </c>
      <c r="Q694" s="36" t="n">
        <v>1</v>
      </c>
      <c r="R694" s="32" t="n">
        <v>140</v>
      </c>
      <c r="S694" s="32" t="n">
        <v>2</v>
      </c>
      <c r="T694" s="32"/>
      <c r="U694" s="32" t="n">
        <v>3</v>
      </c>
      <c r="V694" s="37" t="n">
        <v>3</v>
      </c>
      <c r="W694" s="32" t="n">
        <v>3</v>
      </c>
      <c r="X694" s="34"/>
      <c r="Y694" s="34" t="n">
        <v>3</v>
      </c>
      <c r="Z694" s="32"/>
      <c r="AA694" s="32" t="s">
        <v>4508</v>
      </c>
      <c r="AB694" s="32" t="s">
        <v>4509</v>
      </c>
      <c r="AC694" s="38" t="str">
        <f aca="false">HYPERLINK("https://biocodex6--c.vf.force.com/0014L00000KFNBfQAP", "GATRI CHAIMA")</f>
        <v>GATRI CHAIMA</v>
      </c>
      <c r="AD694" s="38" t="str">
        <f aca="false">HYPERLINK("https://annuairesante.ameli.fr/professionnels-de-sante/recherche/fiche-detaillee-B7c1lTE1MDCz.html", "GATRI CHAIMA")</f>
        <v>GATRI CHAIMA</v>
      </c>
      <c r="AE694" s="39" t="n">
        <v>45365.6875</v>
      </c>
      <c r="AF694" s="40" t="s">
        <v>4510</v>
      </c>
      <c r="AG694" s="41"/>
      <c r="AH694" s="32"/>
      <c r="AI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XEY694" s="27"/>
      <c r="XEZ694" s="27"/>
      <c r="XFA694" s="27"/>
      <c r="XFB694" s="27"/>
      <c r="XFC694" s="27"/>
      <c r="XFD694" s="27"/>
    </row>
    <row r="695" s="42" customFormat="true" ht="14.15" hidden="false" customHeight="true" outlineLevel="0" collapsed="false">
      <c r="A695" s="28" t="s">
        <v>4511</v>
      </c>
      <c r="B695" s="29" t="s">
        <v>1584</v>
      </c>
      <c r="C695" s="29" t="s">
        <v>4512</v>
      </c>
      <c r="D695" s="30" t="s">
        <v>244</v>
      </c>
      <c r="E695" s="30" t="s">
        <v>741</v>
      </c>
      <c r="F695" s="32" t="n">
        <v>68</v>
      </c>
      <c r="G695" s="31" t="s">
        <v>61</v>
      </c>
      <c r="H695" s="31" t="n">
        <v>3</v>
      </c>
      <c r="I695" s="31" t="s">
        <v>197</v>
      </c>
      <c r="J695" s="29"/>
      <c r="K695" s="29" t="s">
        <v>4513</v>
      </c>
      <c r="L695" s="32" t="n">
        <v>37</v>
      </c>
      <c r="M695" s="33" t="s">
        <v>4514</v>
      </c>
      <c r="N695" s="34" t="n">
        <v>75017</v>
      </c>
      <c r="O695" s="35" t="s">
        <v>55</v>
      </c>
      <c r="P695" s="36" t="s">
        <v>4515</v>
      </c>
      <c r="Q695" s="36" t="n">
        <v>1</v>
      </c>
      <c r="R695" s="32" t="n">
        <v>138</v>
      </c>
      <c r="S695" s="32" t="n">
        <v>2</v>
      </c>
      <c r="T695" s="32"/>
      <c r="U695" s="32"/>
      <c r="V695" s="37" t="n">
        <v>3</v>
      </c>
      <c r="W695" s="32"/>
      <c r="X695" s="34"/>
      <c r="Y695" s="34"/>
      <c r="Z695" s="36"/>
      <c r="AA695" s="32" t="s">
        <v>4516</v>
      </c>
      <c r="AB695" s="32" t="s">
        <v>4517</v>
      </c>
      <c r="AC695" s="38" t="str">
        <f aca="false">HYPERLINK("https://biocodex6--c.vf.force.com/0014L00000KFrP2QAL", "MENG LAURENCE")</f>
        <v>MENG LAURENCE</v>
      </c>
      <c r="AD695" s="38" t="str">
        <f aca="false">HYPERLINK("https://annuairesante.ameli.fr/professionnels-de-sante/recherche/fiche-detaillee-B7c1ljs4MDa1.html", "MENG LAURENCE")</f>
        <v>MENG LAURENCE</v>
      </c>
      <c r="AE695" s="39"/>
      <c r="AF695" s="40"/>
      <c r="AG695" s="41"/>
      <c r="AH695" s="32" t="s">
        <v>179</v>
      </c>
      <c r="AI695" s="32"/>
      <c r="AL695" s="32"/>
      <c r="AM695" s="32"/>
      <c r="AN695" s="32"/>
      <c r="AO695" s="43" t="s">
        <v>660</v>
      </c>
      <c r="AP695" s="43" t="s">
        <v>263</v>
      </c>
      <c r="AQ695" s="32"/>
      <c r="AR695" s="43" t="s">
        <v>639</v>
      </c>
      <c r="AS695" s="43" t="s">
        <v>476</v>
      </c>
      <c r="AT695" s="32"/>
      <c r="AU695" s="43" t="s">
        <v>4518</v>
      </c>
      <c r="XEY695" s="27"/>
      <c r="XEZ695" s="27"/>
      <c r="XFA695" s="27"/>
      <c r="XFB695" s="27"/>
      <c r="XFC695" s="27"/>
      <c r="XFD695" s="27"/>
    </row>
    <row r="696" s="42" customFormat="true" ht="14.15" hidden="false" customHeight="true" outlineLevel="0" collapsed="false">
      <c r="A696" s="28" t="s">
        <v>4519</v>
      </c>
      <c r="B696" s="29" t="s">
        <v>4520</v>
      </c>
      <c r="C696" s="29" t="s">
        <v>4521</v>
      </c>
      <c r="D696" s="30" t="s">
        <v>112</v>
      </c>
      <c r="E696" s="31"/>
      <c r="F696" s="32" t="n">
        <v>60</v>
      </c>
      <c r="G696" s="31" t="s">
        <v>215</v>
      </c>
      <c r="H696" s="31" t="n">
        <v>1</v>
      </c>
      <c r="I696" s="31" t="s">
        <v>99</v>
      </c>
      <c r="J696" s="29"/>
      <c r="K696" s="29" t="s">
        <v>4522</v>
      </c>
      <c r="L696" s="32" t="n">
        <v>36</v>
      </c>
      <c r="M696" s="33" t="s">
        <v>3849</v>
      </c>
      <c r="N696" s="34" t="n">
        <v>75015</v>
      </c>
      <c r="O696" s="35" t="s">
        <v>55</v>
      </c>
      <c r="P696" s="36" t="s">
        <v>4523</v>
      </c>
      <c r="Q696" s="36" t="n">
        <v>2</v>
      </c>
      <c r="R696" s="32" t="n">
        <v>137</v>
      </c>
      <c r="S696" s="32" t="n">
        <v>2</v>
      </c>
      <c r="T696" s="32"/>
      <c r="U696" s="32"/>
      <c r="V696" s="37"/>
      <c r="W696" s="32"/>
      <c r="X696" s="34"/>
      <c r="Y696" s="34"/>
      <c r="Z696" s="32"/>
      <c r="AA696" s="32" t="s">
        <v>4524</v>
      </c>
      <c r="AB696" s="32" t="s">
        <v>4525</v>
      </c>
      <c r="AC696" s="38" t="str">
        <f aca="false">HYPERLINK("https://biocodex6--c.vf.force.com/0014L00000KFN0kQAH", "ALOVA ILONA")</f>
        <v>ALOVA ILONA</v>
      </c>
      <c r="AD696" s="38" t="str">
        <f aca="false">HYPERLINK("https://annuairesante.ameli.fr/professionnels-de-sante/recherche/fiche-detaillee-B7c1mzYxOTuy.html", "ALOVA ILONA")</f>
        <v>ALOVA ILONA</v>
      </c>
      <c r="AE696" s="39" t="n">
        <v>45204.6875</v>
      </c>
      <c r="AF696" s="40"/>
      <c r="AG696" s="41"/>
      <c r="AH696" s="32"/>
      <c r="AI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XEY696" s="27"/>
      <c r="XEZ696" s="27"/>
      <c r="XFA696" s="27"/>
      <c r="XFB696" s="27"/>
      <c r="XFC696" s="27"/>
      <c r="XFD696" s="27"/>
    </row>
    <row r="697" s="42" customFormat="true" ht="14.15" hidden="false" customHeight="true" outlineLevel="0" collapsed="false">
      <c r="A697" s="28" t="s">
        <v>4526</v>
      </c>
      <c r="B697" s="29" t="s">
        <v>1156</v>
      </c>
      <c r="C697" s="29" t="s">
        <v>4527</v>
      </c>
      <c r="D697" s="30" t="s">
        <v>112</v>
      </c>
      <c r="E697" s="30" t="s">
        <v>4528</v>
      </c>
      <c r="F697" s="32" t="n">
        <v>50</v>
      </c>
      <c r="G697" s="31" t="s">
        <v>215</v>
      </c>
      <c r="H697" s="31" t="n">
        <v>4</v>
      </c>
      <c r="I697" s="31" t="s">
        <v>51</v>
      </c>
      <c r="J697" s="49" t="s">
        <v>52</v>
      </c>
      <c r="K697" s="29" t="s">
        <v>53</v>
      </c>
      <c r="L697" s="32" t="n">
        <v>73</v>
      </c>
      <c r="M697" s="33" t="s">
        <v>4529</v>
      </c>
      <c r="N697" s="34" t="n">
        <v>75015</v>
      </c>
      <c r="O697" s="35" t="s">
        <v>55</v>
      </c>
      <c r="P697" s="36" t="s">
        <v>687</v>
      </c>
      <c r="Q697" s="36" t="n">
        <v>1</v>
      </c>
      <c r="R697" s="32" t="n">
        <v>134</v>
      </c>
      <c r="S697" s="32" t="n">
        <v>2</v>
      </c>
      <c r="T697" s="32"/>
      <c r="U697" s="32"/>
      <c r="V697" s="37"/>
      <c r="W697" s="32"/>
      <c r="X697" s="34"/>
      <c r="Y697" s="34"/>
      <c r="Z697" s="32"/>
      <c r="AA697" s="32" t="s">
        <v>4530</v>
      </c>
      <c r="AB697" s="32" t="s">
        <v>4531</v>
      </c>
      <c r="AC697" s="38" t="str">
        <f aca="false">HYPERLINK("https://biocodex6--c.vf.force.com/0014L00000KFUCIQA5", "BAILLY BOTUHA CELINE")</f>
        <v>BAILLY BOTUHA CELINE</v>
      </c>
      <c r="AD697" s="38" t="str">
        <f aca="false">HYPERLINK("https://annuairesante.ameli.fr/professionnels-de-sante/recherche/fiche-detaillee-B7c1mzY2OTu3.html", "BAILLY BOTUHA CELINE")</f>
        <v>BAILLY BOTUHA CELINE</v>
      </c>
      <c r="AE697" s="39"/>
      <c r="AF697" s="40"/>
      <c r="AG697" s="41"/>
      <c r="AH697" s="32"/>
      <c r="AI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XEY697" s="27"/>
      <c r="XEZ697" s="27"/>
      <c r="XFA697" s="27"/>
      <c r="XFB697" s="27"/>
      <c r="XFC697" s="27"/>
      <c r="XFD697" s="27"/>
    </row>
    <row r="698" s="42" customFormat="true" ht="14.15" hidden="false" customHeight="true" outlineLevel="0" collapsed="false">
      <c r="A698" s="28" t="s">
        <v>4532</v>
      </c>
      <c r="B698" s="29" t="s">
        <v>419</v>
      </c>
      <c r="C698" s="29" t="s">
        <v>4533</v>
      </c>
      <c r="D698" s="30" t="s">
        <v>112</v>
      </c>
      <c r="E698" s="30" t="s">
        <v>75</v>
      </c>
      <c r="F698" s="32" t="n">
        <v>62</v>
      </c>
      <c r="G698" s="31"/>
      <c r="H698" s="31" t="n">
        <v>1</v>
      </c>
      <c r="I698" s="31" t="s">
        <v>51</v>
      </c>
      <c r="J698" s="29" t="s">
        <v>52</v>
      </c>
      <c r="K698" s="29" t="s">
        <v>53</v>
      </c>
      <c r="L698" s="32" t="n">
        <v>149</v>
      </c>
      <c r="M698" s="33" t="s">
        <v>54</v>
      </c>
      <c r="N698" s="34" t="n">
        <v>75015</v>
      </c>
      <c r="O698" s="35" t="s">
        <v>55</v>
      </c>
      <c r="P698" s="36" t="s">
        <v>1807</v>
      </c>
      <c r="Q698" s="36" t="n">
        <v>236</v>
      </c>
      <c r="R698" s="32" t="n">
        <v>134</v>
      </c>
      <c r="S698" s="32" t="n">
        <v>2</v>
      </c>
      <c r="T698" s="32"/>
      <c r="U698" s="32"/>
      <c r="V698" s="37"/>
      <c r="W698" s="32"/>
      <c r="X698" s="34"/>
      <c r="Y698" s="34"/>
      <c r="Z698" s="36"/>
      <c r="AA698" s="32" t="s">
        <v>4534</v>
      </c>
      <c r="AB698" s="32"/>
      <c r="AC698" s="38" t="str">
        <f aca="false">HYPERLINK("https://biocodex6--c.vf.force.com/0014L00000KFo7LQAT", "LACAILLE FLORENCE")</f>
        <v>LACAILLE FLORENCE</v>
      </c>
      <c r="AD698" s="38"/>
      <c r="AE698" s="39"/>
      <c r="AF698" s="40"/>
      <c r="AG698" s="41"/>
      <c r="AH698" s="32" t="s">
        <v>179</v>
      </c>
      <c r="AI698" s="32"/>
      <c r="AJ698" s="42" t="s">
        <v>1809</v>
      </c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XEY698" s="27"/>
      <c r="XEZ698" s="27"/>
      <c r="XFA698" s="27"/>
      <c r="XFB698" s="27"/>
      <c r="XFC698" s="27"/>
      <c r="XFD698" s="27"/>
    </row>
    <row r="699" s="42" customFormat="true" ht="14.15" hidden="false" customHeight="true" outlineLevel="0" collapsed="false">
      <c r="A699" s="28" t="s">
        <v>4535</v>
      </c>
      <c r="B699" s="29" t="s">
        <v>1438</v>
      </c>
      <c r="C699" s="29" t="s">
        <v>4536</v>
      </c>
      <c r="D699" s="30" t="s">
        <v>112</v>
      </c>
      <c r="E699" s="31"/>
      <c r="F699" s="32" t="n">
        <v>47</v>
      </c>
      <c r="G699" s="31"/>
      <c r="H699" s="31" t="n">
        <v>1</v>
      </c>
      <c r="I699" s="31" t="s">
        <v>51</v>
      </c>
      <c r="J699" s="29" t="s">
        <v>52</v>
      </c>
      <c r="K699" s="29" t="s">
        <v>53</v>
      </c>
      <c r="L699" s="32" t="n">
        <v>149</v>
      </c>
      <c r="M699" s="33" t="s">
        <v>54</v>
      </c>
      <c r="N699" s="34" t="n">
        <v>75015</v>
      </c>
      <c r="O699" s="35" t="s">
        <v>55</v>
      </c>
      <c r="P699" s="36" t="s">
        <v>2769</v>
      </c>
      <c r="Q699" s="36" t="n">
        <v>236</v>
      </c>
      <c r="R699" s="32" t="n">
        <v>134</v>
      </c>
      <c r="S699" s="32" t="n">
        <v>2</v>
      </c>
      <c r="T699" s="32"/>
      <c r="U699" s="32"/>
      <c r="V699" s="37"/>
      <c r="W699" s="32" t="n">
        <v>3</v>
      </c>
      <c r="X699" s="34"/>
      <c r="Y699" s="34" t="n">
        <v>1</v>
      </c>
      <c r="Z699" s="32"/>
      <c r="AA699" s="32" t="s">
        <v>4537</v>
      </c>
      <c r="AB699" s="32"/>
      <c r="AC699" s="38" t="str">
        <f aca="false">HYPERLINK("https://biocodex6--c.vf.force.com/0014L00000KG4lTQAT", "TOUBIANA JULIE")</f>
        <v>TOUBIANA JULIE</v>
      </c>
      <c r="AD699" s="38"/>
      <c r="AE699" s="39"/>
      <c r="AF699" s="40"/>
      <c r="AG699" s="41"/>
      <c r="AH699" s="32"/>
      <c r="AI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XEY699" s="27"/>
      <c r="XEZ699" s="27"/>
      <c r="XFA699" s="27"/>
      <c r="XFB699" s="27"/>
      <c r="XFC699" s="27"/>
      <c r="XFD699" s="27"/>
    </row>
    <row r="700" s="42" customFormat="true" ht="14.15" hidden="false" customHeight="true" outlineLevel="0" collapsed="false">
      <c r="A700" s="28" t="s">
        <v>4538</v>
      </c>
      <c r="B700" s="29" t="s">
        <v>543</v>
      </c>
      <c r="C700" s="29" t="s">
        <v>4539</v>
      </c>
      <c r="D700" s="30" t="s">
        <v>112</v>
      </c>
      <c r="E700" s="30" t="s">
        <v>972</v>
      </c>
      <c r="F700" s="32" t="n">
        <v>53</v>
      </c>
      <c r="G700" s="31"/>
      <c r="H700" s="31" t="n">
        <v>1</v>
      </c>
      <c r="I700" s="31" t="s">
        <v>51</v>
      </c>
      <c r="J700" s="29" t="s">
        <v>52</v>
      </c>
      <c r="K700" s="29" t="s">
        <v>53</v>
      </c>
      <c r="L700" s="32" t="n">
        <v>149</v>
      </c>
      <c r="M700" s="33" t="s">
        <v>54</v>
      </c>
      <c r="N700" s="34" t="n">
        <v>75015</v>
      </c>
      <c r="O700" s="35" t="s">
        <v>55</v>
      </c>
      <c r="P700" s="36" t="s">
        <v>269</v>
      </c>
      <c r="Q700" s="36" t="n">
        <v>236</v>
      </c>
      <c r="R700" s="32" t="n">
        <v>134</v>
      </c>
      <c r="S700" s="32" t="n">
        <v>2</v>
      </c>
      <c r="T700" s="32"/>
      <c r="U700" s="32"/>
      <c r="V700" s="37"/>
      <c r="W700" s="32"/>
      <c r="X700" s="34"/>
      <c r="Y700" s="34"/>
      <c r="Z700" s="32"/>
      <c r="AA700" s="32" t="s">
        <v>4540</v>
      </c>
      <c r="AB700" s="32"/>
      <c r="AC700" s="38" t="str">
        <f aca="false">HYPERLINK("https://biocodex6--c.vf.force.com/0014L00000KFTuNQAX", "BARNERIAS CHRISTINE")</f>
        <v>BARNERIAS CHRISTINE</v>
      </c>
      <c r="AD700" s="38"/>
      <c r="AE700" s="39"/>
      <c r="AF700" s="40"/>
      <c r="AG700" s="41"/>
      <c r="AH700" s="32"/>
      <c r="AI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XEY700" s="27"/>
      <c r="XEZ700" s="27"/>
      <c r="XFA700" s="27"/>
      <c r="XFB700" s="27"/>
      <c r="XFC700" s="27"/>
      <c r="XFD700" s="27"/>
    </row>
    <row r="701" s="42" customFormat="true" ht="14.15" hidden="false" customHeight="true" outlineLevel="0" collapsed="false">
      <c r="A701" s="28" t="s">
        <v>4541</v>
      </c>
      <c r="B701" s="29" t="s">
        <v>4542</v>
      </c>
      <c r="C701" s="29" t="s">
        <v>4543</v>
      </c>
      <c r="D701" s="30" t="s">
        <v>112</v>
      </c>
      <c r="E701" s="31"/>
      <c r="F701" s="32" t="n">
        <v>45</v>
      </c>
      <c r="G701" s="31"/>
      <c r="H701" s="31" t="n">
        <v>1</v>
      </c>
      <c r="I701" s="31" t="s">
        <v>51</v>
      </c>
      <c r="J701" s="29" t="s">
        <v>52</v>
      </c>
      <c r="K701" s="29" t="s">
        <v>53</v>
      </c>
      <c r="L701" s="32" t="n">
        <v>149</v>
      </c>
      <c r="M701" s="33" t="s">
        <v>54</v>
      </c>
      <c r="N701" s="34" t="n">
        <v>75015</v>
      </c>
      <c r="O701" s="35" t="s">
        <v>55</v>
      </c>
      <c r="P701" s="36" t="s">
        <v>933</v>
      </c>
      <c r="Q701" s="36" t="n">
        <v>236</v>
      </c>
      <c r="R701" s="32" t="n">
        <v>134</v>
      </c>
      <c r="S701" s="32" t="n">
        <v>2</v>
      </c>
      <c r="T701" s="32"/>
      <c r="U701" s="32"/>
      <c r="V701" s="37"/>
      <c r="W701" s="32"/>
      <c r="X701" s="34"/>
      <c r="Y701" s="34"/>
      <c r="Z701" s="32"/>
      <c r="AA701" s="32" t="s">
        <v>4544</v>
      </c>
      <c r="AB701" s="32"/>
      <c r="AC701" s="38" t="str">
        <f aca="false">HYPERLINK("https://biocodex6--c.vf.force.com/0014L00000KFhGMQA1", "GILLION BOYER OLIVIA")</f>
        <v>GILLION BOYER OLIVIA</v>
      </c>
      <c r="AD701" s="38"/>
      <c r="AE701" s="39"/>
      <c r="AF701" s="40"/>
      <c r="AG701" s="41"/>
      <c r="AH701" s="32"/>
      <c r="AI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XEY701" s="27"/>
      <c r="XEZ701" s="27"/>
      <c r="XFA701" s="27"/>
      <c r="XFB701" s="27"/>
      <c r="XFC701" s="27"/>
      <c r="XFD701" s="27"/>
    </row>
    <row r="702" s="42" customFormat="true" ht="14.15" hidden="false" customHeight="true" outlineLevel="0" collapsed="false">
      <c r="A702" s="28" t="s">
        <v>4545</v>
      </c>
      <c r="B702" s="29" t="s">
        <v>1455</v>
      </c>
      <c r="C702" s="29" t="s">
        <v>4546</v>
      </c>
      <c r="D702" s="30" t="s">
        <v>112</v>
      </c>
      <c r="E702" s="30" t="s">
        <v>1709</v>
      </c>
      <c r="F702" s="32" t="n">
        <v>57</v>
      </c>
      <c r="G702" s="31"/>
      <c r="H702" s="31" t="n">
        <v>1</v>
      </c>
      <c r="I702" s="31" t="s">
        <v>51</v>
      </c>
      <c r="J702" s="29" t="s">
        <v>52</v>
      </c>
      <c r="K702" s="29" t="s">
        <v>53</v>
      </c>
      <c r="L702" s="32" t="n">
        <v>149</v>
      </c>
      <c r="M702" s="33" t="s">
        <v>54</v>
      </c>
      <c r="N702" s="34" t="n">
        <v>75015</v>
      </c>
      <c r="O702" s="35" t="s">
        <v>55</v>
      </c>
      <c r="P702" s="36" t="s">
        <v>2858</v>
      </c>
      <c r="Q702" s="36" t="n">
        <v>236</v>
      </c>
      <c r="R702" s="32" t="n">
        <v>134</v>
      </c>
      <c r="S702" s="32" t="n">
        <v>2</v>
      </c>
      <c r="T702" s="32"/>
      <c r="U702" s="32"/>
      <c r="V702" s="37"/>
      <c r="W702" s="32"/>
      <c r="X702" s="34"/>
      <c r="Y702" s="34"/>
      <c r="Z702" s="32"/>
      <c r="AA702" s="32" t="s">
        <v>4547</v>
      </c>
      <c r="AB702" s="32"/>
      <c r="AC702" s="38" t="str">
        <f aca="false">HYPERLINK("https://biocodex6--c.vf.force.com/0014L00000KFhWyQAL", "JUGIE MYRIAM")</f>
        <v>JUGIE MYRIAM</v>
      </c>
      <c r="AD702" s="38"/>
      <c r="AE702" s="39"/>
      <c r="AF702" s="40"/>
      <c r="AG702" s="41"/>
      <c r="AH702" s="32"/>
      <c r="AI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XEY702" s="27"/>
      <c r="XEZ702" s="27"/>
      <c r="XFA702" s="27"/>
      <c r="XFB702" s="27"/>
      <c r="XFC702" s="27"/>
      <c r="XFD702" s="27"/>
    </row>
    <row r="703" s="42" customFormat="true" ht="14.15" hidden="false" customHeight="true" outlineLevel="0" collapsed="false">
      <c r="A703" s="28" t="s">
        <v>4548</v>
      </c>
      <c r="B703" s="29" t="s">
        <v>4549</v>
      </c>
      <c r="C703" s="29" t="s">
        <v>4550</v>
      </c>
      <c r="D703" s="30" t="s">
        <v>112</v>
      </c>
      <c r="E703" s="30" t="s">
        <v>401</v>
      </c>
      <c r="F703" s="32" t="n">
        <v>45</v>
      </c>
      <c r="G703" s="31"/>
      <c r="H703" s="31" t="n">
        <v>1</v>
      </c>
      <c r="I703" s="31" t="s">
        <v>51</v>
      </c>
      <c r="J703" s="29" t="s">
        <v>52</v>
      </c>
      <c r="K703" s="29" t="s">
        <v>53</v>
      </c>
      <c r="L703" s="32" t="n">
        <v>149</v>
      </c>
      <c r="M703" s="33" t="s">
        <v>54</v>
      </c>
      <c r="N703" s="34" t="n">
        <v>75015</v>
      </c>
      <c r="O703" s="35" t="s">
        <v>55</v>
      </c>
      <c r="P703" s="36" t="s">
        <v>1949</v>
      </c>
      <c r="Q703" s="36" t="n">
        <v>236</v>
      </c>
      <c r="R703" s="32" t="n">
        <v>134</v>
      </c>
      <c r="S703" s="32" t="n">
        <v>2</v>
      </c>
      <c r="T703" s="32"/>
      <c r="U703" s="32"/>
      <c r="V703" s="37"/>
      <c r="W703" s="32"/>
      <c r="X703" s="34"/>
      <c r="Y703" s="34"/>
      <c r="Z703" s="32"/>
      <c r="AA703" s="32" t="s">
        <v>4551</v>
      </c>
      <c r="AB703" s="32"/>
      <c r="AC703" s="38" t="str">
        <f aca="false">HYPERLINK("https://biocodex6--c.vf.force.com/0014L00000KFkjsQAD", "KHRAICHE DIALA")</f>
        <v>KHRAICHE DIALA</v>
      </c>
      <c r="AD703" s="38"/>
      <c r="AE703" s="39"/>
      <c r="AF703" s="40"/>
      <c r="AG703" s="41"/>
      <c r="AH703" s="32"/>
      <c r="AI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XEY703" s="27"/>
      <c r="XEZ703" s="27"/>
      <c r="XFA703" s="27"/>
      <c r="XFB703" s="27"/>
      <c r="XFC703" s="27"/>
      <c r="XFD703" s="27"/>
    </row>
    <row r="704" s="42" customFormat="true" ht="14.15" hidden="false" customHeight="true" outlineLevel="0" collapsed="false">
      <c r="A704" s="28" t="s">
        <v>4552</v>
      </c>
      <c r="B704" s="29" t="s">
        <v>543</v>
      </c>
      <c r="C704" s="29" t="s">
        <v>4553</v>
      </c>
      <c r="D704" s="30" t="s">
        <v>112</v>
      </c>
      <c r="E704" s="31"/>
      <c r="F704" s="32" t="n">
        <v>51</v>
      </c>
      <c r="G704" s="31"/>
      <c r="H704" s="31" t="n">
        <v>1</v>
      </c>
      <c r="I704" s="31" t="s">
        <v>51</v>
      </c>
      <c r="J704" s="29" t="s">
        <v>52</v>
      </c>
      <c r="K704" s="29" t="s">
        <v>53</v>
      </c>
      <c r="L704" s="32" t="n">
        <v>149</v>
      </c>
      <c r="M704" s="33" t="s">
        <v>54</v>
      </c>
      <c r="N704" s="34" t="n">
        <v>75015</v>
      </c>
      <c r="O704" s="35" t="s">
        <v>55</v>
      </c>
      <c r="P704" s="36" t="s">
        <v>4554</v>
      </c>
      <c r="Q704" s="36" t="n">
        <v>236</v>
      </c>
      <c r="R704" s="32" t="n">
        <v>134</v>
      </c>
      <c r="S704" s="32" t="n">
        <v>2</v>
      </c>
      <c r="T704" s="32"/>
      <c r="U704" s="32"/>
      <c r="V704" s="37"/>
      <c r="W704" s="32"/>
      <c r="X704" s="34"/>
      <c r="Y704" s="34"/>
      <c r="Z704" s="32"/>
      <c r="AA704" s="32" t="s">
        <v>4555</v>
      </c>
      <c r="AB704" s="32"/>
      <c r="AC704" s="38" t="str">
        <f aca="false">HYPERLINK("https://biocodex6--c.vf.force.com/0014L00000KFwm9QAD", "PICHON CHRISTINE")</f>
        <v>PICHON CHRISTINE</v>
      </c>
      <c r="AD704" s="38"/>
      <c r="AE704" s="39"/>
      <c r="AF704" s="40"/>
      <c r="AG704" s="41"/>
      <c r="AH704" s="32"/>
      <c r="AI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XEY704" s="27"/>
      <c r="XEZ704" s="27"/>
      <c r="XFA704" s="27"/>
      <c r="XFB704" s="27"/>
      <c r="XFC704" s="27"/>
      <c r="XFD704" s="27"/>
    </row>
    <row r="705" s="42" customFormat="true" ht="14.15" hidden="false" customHeight="true" outlineLevel="0" collapsed="false">
      <c r="A705" s="28" t="s">
        <v>4556</v>
      </c>
      <c r="B705" s="29" t="s">
        <v>1377</v>
      </c>
      <c r="C705" s="29" t="s">
        <v>4557</v>
      </c>
      <c r="D705" s="30" t="s">
        <v>112</v>
      </c>
      <c r="E705" s="31"/>
      <c r="F705" s="32" t="n">
        <v>57</v>
      </c>
      <c r="G705" s="31"/>
      <c r="H705" s="31" t="n">
        <v>1</v>
      </c>
      <c r="I705" s="31" t="s">
        <v>51</v>
      </c>
      <c r="J705" s="29" t="s">
        <v>52</v>
      </c>
      <c r="K705" s="29" t="s">
        <v>53</v>
      </c>
      <c r="L705" s="32" t="n">
        <v>149</v>
      </c>
      <c r="M705" s="33" t="s">
        <v>54</v>
      </c>
      <c r="N705" s="34" t="n">
        <v>75015</v>
      </c>
      <c r="O705" s="35" t="s">
        <v>55</v>
      </c>
      <c r="P705" s="36" t="s">
        <v>2769</v>
      </c>
      <c r="Q705" s="36" t="n">
        <v>236</v>
      </c>
      <c r="R705" s="32" t="n">
        <v>134</v>
      </c>
      <c r="S705" s="32" t="n">
        <v>2</v>
      </c>
      <c r="T705" s="32"/>
      <c r="U705" s="32"/>
      <c r="V705" s="37"/>
      <c r="W705" s="32"/>
      <c r="X705" s="34"/>
      <c r="Y705" s="34"/>
      <c r="Z705" s="32"/>
      <c r="AA705" s="32" t="s">
        <v>4558</v>
      </c>
      <c r="AB705" s="32"/>
      <c r="AC705" s="38" t="str">
        <f aca="false">HYPERLINK("https://biocodex6--c.vf.force.com/0014L00000KG0cgQAD", "SAUVE MARTIN HELENE")</f>
        <v>SAUVE MARTIN HELENE</v>
      </c>
      <c r="AD705" s="38"/>
      <c r="AE705" s="39"/>
      <c r="AF705" s="40"/>
      <c r="AG705" s="41"/>
      <c r="AH705" s="32"/>
      <c r="AI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XEY705" s="27"/>
      <c r="XEZ705" s="27"/>
      <c r="XFA705" s="27"/>
      <c r="XFB705" s="27"/>
      <c r="XFC705" s="27"/>
      <c r="XFD705" s="27"/>
    </row>
    <row r="706" s="42" customFormat="true" ht="14.15" hidden="false" customHeight="true" outlineLevel="0" collapsed="false">
      <c r="A706" s="28" t="s">
        <v>4559</v>
      </c>
      <c r="B706" s="29" t="s">
        <v>1385</v>
      </c>
      <c r="C706" s="29" t="s">
        <v>4560</v>
      </c>
      <c r="D706" s="30" t="s">
        <v>112</v>
      </c>
      <c r="E706" s="30" t="s">
        <v>75</v>
      </c>
      <c r="F706" s="32" t="n">
        <v>56</v>
      </c>
      <c r="G706" s="31"/>
      <c r="H706" s="31" t="n">
        <v>1</v>
      </c>
      <c r="I706" s="31" t="s">
        <v>51</v>
      </c>
      <c r="J706" s="29" t="s">
        <v>52</v>
      </c>
      <c r="K706" s="29" t="s">
        <v>53</v>
      </c>
      <c r="L706" s="32" t="n">
        <v>149</v>
      </c>
      <c r="M706" s="33" t="s">
        <v>54</v>
      </c>
      <c r="N706" s="34" t="n">
        <v>75015</v>
      </c>
      <c r="O706" s="35" t="s">
        <v>55</v>
      </c>
      <c r="P706" s="36" t="s">
        <v>1807</v>
      </c>
      <c r="Q706" s="36" t="n">
        <v>236</v>
      </c>
      <c r="R706" s="32" t="n">
        <v>134</v>
      </c>
      <c r="S706" s="32" t="n">
        <v>2</v>
      </c>
      <c r="T706" s="32"/>
      <c r="U706" s="32"/>
      <c r="V706" s="37"/>
      <c r="W706" s="32"/>
      <c r="X706" s="34"/>
      <c r="Y706" s="34"/>
      <c r="Z706" s="32"/>
      <c r="AA706" s="32" t="s">
        <v>4561</v>
      </c>
      <c r="AB706" s="32"/>
      <c r="AC706" s="38" t="str">
        <f aca="false">HYPERLINK("https://biocodex6--c.vf.force.com/0014L00000KG3bQQAT", "TALBOTEC CECILE")</f>
        <v>TALBOTEC CECILE</v>
      </c>
      <c r="AD706" s="38"/>
      <c r="AE706" s="39"/>
      <c r="AF706" s="40"/>
      <c r="AG706" s="41"/>
      <c r="AH706" s="32"/>
      <c r="AI706" s="32"/>
      <c r="AJ706" s="42" t="s">
        <v>1809</v>
      </c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XEY706" s="27"/>
      <c r="XEZ706" s="27"/>
      <c r="XFA706" s="27"/>
      <c r="XFB706" s="27"/>
      <c r="XFC706" s="27"/>
      <c r="XFD706" s="27"/>
    </row>
    <row r="707" s="42" customFormat="true" ht="14.15" hidden="false" customHeight="true" outlineLevel="0" collapsed="false">
      <c r="A707" s="28" t="s">
        <v>4562</v>
      </c>
      <c r="B707" s="29" t="s">
        <v>419</v>
      </c>
      <c r="C707" s="29" t="s">
        <v>4563</v>
      </c>
      <c r="D707" s="30" t="s">
        <v>112</v>
      </c>
      <c r="E707" s="31"/>
      <c r="F707" s="32" t="n">
        <v>57</v>
      </c>
      <c r="G707" s="31"/>
      <c r="H707" s="31" t="n">
        <v>1</v>
      </c>
      <c r="I707" s="31" t="s">
        <v>51</v>
      </c>
      <c r="J707" s="29" t="s">
        <v>52</v>
      </c>
      <c r="K707" s="29" t="s">
        <v>53</v>
      </c>
      <c r="L707" s="32" t="n">
        <v>149</v>
      </c>
      <c r="M707" s="33" t="s">
        <v>54</v>
      </c>
      <c r="N707" s="34" t="n">
        <v>75015</v>
      </c>
      <c r="O707" s="35" t="s">
        <v>55</v>
      </c>
      <c r="P707" s="36" t="s">
        <v>4564</v>
      </c>
      <c r="Q707" s="36" t="n">
        <v>236</v>
      </c>
      <c r="R707" s="32" t="n">
        <v>134</v>
      </c>
      <c r="S707" s="32" t="n">
        <v>2</v>
      </c>
      <c r="T707" s="32"/>
      <c r="U707" s="32"/>
      <c r="V707" s="37"/>
      <c r="W707" s="32"/>
      <c r="X707" s="34"/>
      <c r="Y707" s="34"/>
      <c r="Z707" s="32"/>
      <c r="AA707" s="32" t="s">
        <v>4565</v>
      </c>
      <c r="AB707" s="32"/>
      <c r="AC707" s="38" t="str">
        <f aca="false">HYPERLINK("https://biocodex6--c.vf.force.com/0014L00000KFiDVQA1", "CAMPEOTTO ORSATELLI FLORENCE")</f>
        <v>CAMPEOTTO ORSATELLI FLORENCE</v>
      </c>
      <c r="AD707" s="38"/>
      <c r="AE707" s="39"/>
      <c r="AF707" s="40"/>
      <c r="AG707" s="41"/>
      <c r="AH707" s="32"/>
      <c r="AI707" s="32"/>
      <c r="AJ707" s="42" t="s">
        <v>4566</v>
      </c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XEY707" s="27"/>
      <c r="XEZ707" s="27"/>
      <c r="XFA707" s="27"/>
      <c r="XFB707" s="27"/>
      <c r="XFC707" s="27"/>
      <c r="XFD707" s="27"/>
    </row>
    <row r="708" s="42" customFormat="true" ht="14.15" hidden="false" customHeight="true" outlineLevel="0" collapsed="false">
      <c r="A708" s="28" t="s">
        <v>4567</v>
      </c>
      <c r="B708" s="29" t="s">
        <v>4568</v>
      </c>
      <c r="C708" s="29" t="s">
        <v>4569</v>
      </c>
      <c r="D708" s="30" t="s">
        <v>112</v>
      </c>
      <c r="E708" s="31"/>
      <c r="F708" s="32" t="n">
        <v>52</v>
      </c>
      <c r="G708" s="31"/>
      <c r="H708" s="31" t="n">
        <v>1</v>
      </c>
      <c r="I708" s="31" t="s">
        <v>51</v>
      </c>
      <c r="J708" s="29" t="s">
        <v>52</v>
      </c>
      <c r="K708" s="29" t="s">
        <v>53</v>
      </c>
      <c r="L708" s="32" t="n">
        <v>149</v>
      </c>
      <c r="M708" s="33" t="s">
        <v>54</v>
      </c>
      <c r="N708" s="34" t="n">
        <v>75015</v>
      </c>
      <c r="O708" s="35" t="s">
        <v>55</v>
      </c>
      <c r="P708" s="36" t="s">
        <v>885</v>
      </c>
      <c r="Q708" s="36" t="n">
        <v>236</v>
      </c>
      <c r="R708" s="32" t="n">
        <v>134</v>
      </c>
      <c r="S708" s="32" t="n">
        <v>2</v>
      </c>
      <c r="T708" s="32"/>
      <c r="U708" s="32"/>
      <c r="V708" s="37"/>
      <c r="W708" s="32"/>
      <c r="X708" s="34"/>
      <c r="Y708" s="34"/>
      <c r="Z708" s="32"/>
      <c r="AA708" s="32" t="s">
        <v>4570</v>
      </c>
      <c r="AB708" s="32"/>
      <c r="AC708" s="38" t="str">
        <f aca="false">HYPERLINK("https://biocodex6--c.vf.force.com/0014L00000KG1fqQAD", "SAMARA DIAB BOUSTANI DINANE")</f>
        <v>SAMARA DIAB BOUSTANI DINANE</v>
      </c>
      <c r="AD708" s="38"/>
      <c r="AE708" s="39"/>
      <c r="AF708" s="40"/>
      <c r="AG708" s="41"/>
      <c r="AH708" s="32"/>
      <c r="AI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XEY708" s="27"/>
      <c r="XEZ708" s="27"/>
      <c r="XFA708" s="27"/>
      <c r="XFB708" s="27"/>
      <c r="XFC708" s="27"/>
      <c r="XFD708" s="27"/>
    </row>
    <row r="709" s="42" customFormat="true" ht="14.15" hidden="false" customHeight="true" outlineLevel="0" collapsed="false">
      <c r="A709" s="28" t="s">
        <v>4571</v>
      </c>
      <c r="B709" s="29" t="s">
        <v>1600</v>
      </c>
      <c r="C709" s="29" t="s">
        <v>4572</v>
      </c>
      <c r="D709" s="30" t="s">
        <v>112</v>
      </c>
      <c r="E709" s="30" t="s">
        <v>113</v>
      </c>
      <c r="F709" s="32" t="n">
        <v>61</v>
      </c>
      <c r="G709" s="31"/>
      <c r="H709" s="31" t="n">
        <v>1</v>
      </c>
      <c r="I709" s="31" t="s">
        <v>51</v>
      </c>
      <c r="J709" s="29" t="s">
        <v>52</v>
      </c>
      <c r="K709" s="29" t="s">
        <v>53</v>
      </c>
      <c r="L709" s="32" t="n">
        <v>149</v>
      </c>
      <c r="M709" s="33" t="s">
        <v>54</v>
      </c>
      <c r="N709" s="34" t="n">
        <v>75015</v>
      </c>
      <c r="O709" s="35" t="s">
        <v>55</v>
      </c>
      <c r="P709" s="36" t="s">
        <v>885</v>
      </c>
      <c r="Q709" s="36" t="n">
        <v>236</v>
      </c>
      <c r="R709" s="32" t="n">
        <v>134</v>
      </c>
      <c r="S709" s="32" t="n">
        <v>2</v>
      </c>
      <c r="T709" s="32"/>
      <c r="U709" s="32"/>
      <c r="V709" s="37"/>
      <c r="W709" s="32"/>
      <c r="X709" s="34"/>
      <c r="Y709" s="34"/>
      <c r="Z709" s="32"/>
      <c r="AA709" s="32" t="s">
        <v>4573</v>
      </c>
      <c r="AB709" s="32"/>
      <c r="AC709" s="38" t="str">
        <f aca="false">HYPERLINK("https://biocodex6--c.vf.force.com/0014L00000KG2VWQA1", "THALASSINOS CAROLINE")</f>
        <v>THALASSINOS CAROLINE</v>
      </c>
      <c r="AD709" s="38"/>
      <c r="AE709" s="39"/>
      <c r="AF709" s="40"/>
      <c r="AG709" s="41"/>
      <c r="AH709" s="32"/>
      <c r="AI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XEY709" s="27"/>
      <c r="XEZ709" s="27"/>
      <c r="XFA709" s="27"/>
      <c r="XFB709" s="27"/>
      <c r="XFC709" s="27"/>
      <c r="XFD709" s="27"/>
    </row>
    <row r="710" s="42" customFormat="true" ht="14.15" hidden="false" customHeight="true" outlineLevel="0" collapsed="false">
      <c r="A710" s="28" t="s">
        <v>3004</v>
      </c>
      <c r="B710" s="29" t="s">
        <v>868</v>
      </c>
      <c r="C710" s="29" t="s">
        <v>4574</v>
      </c>
      <c r="D710" s="30" t="s">
        <v>244</v>
      </c>
      <c r="E710" s="30" t="s">
        <v>245</v>
      </c>
      <c r="F710" s="32" t="n">
        <v>63</v>
      </c>
      <c r="G710" s="31" t="s">
        <v>215</v>
      </c>
      <c r="H710" s="31" t="n">
        <v>1</v>
      </c>
      <c r="I710" s="31" t="s">
        <v>572</v>
      </c>
      <c r="J710" s="29"/>
      <c r="K710" s="29" t="s">
        <v>4575</v>
      </c>
      <c r="L710" s="32" t="n">
        <v>103</v>
      </c>
      <c r="M710" s="33" t="s">
        <v>798</v>
      </c>
      <c r="N710" s="34" t="n">
        <v>75008</v>
      </c>
      <c r="O710" s="35" t="s">
        <v>55</v>
      </c>
      <c r="P710" s="36" t="s">
        <v>4576</v>
      </c>
      <c r="Q710" s="36" t="n">
        <v>1</v>
      </c>
      <c r="R710" s="32" t="n">
        <v>132</v>
      </c>
      <c r="S710" s="32" t="n">
        <v>2</v>
      </c>
      <c r="T710" s="32"/>
      <c r="U710" s="32" t="n">
        <v>3</v>
      </c>
      <c r="V710" s="37" t="n">
        <v>3</v>
      </c>
      <c r="W710" s="32" t="n">
        <v>3</v>
      </c>
      <c r="X710" s="34"/>
      <c r="Y710" s="34" t="n">
        <v>1</v>
      </c>
      <c r="Z710" s="32"/>
      <c r="AA710" s="32" t="s">
        <v>4577</v>
      </c>
      <c r="AB710" s="32" t="s">
        <v>4578</v>
      </c>
      <c r="AC710" s="38" t="str">
        <f aca="false">HYPERLINK("https://biocodex6--c.vf.force.com/0014L00000KFvHeQAL", "PEREZ GEORGES")</f>
        <v>PEREZ GEORGES</v>
      </c>
      <c r="AD710" s="38" t="str">
        <f aca="false">HYPERLINK("https://annuairesante.ameli.fr/professionnels-de-sante/recherche/fiche-detaillee-B7c1lzM4Njq1.html", "PEREZ GEORGES")</f>
        <v>PEREZ GEORGES</v>
      </c>
      <c r="AE710" s="39" t="n">
        <v>45371.5416666667</v>
      </c>
      <c r="AF710" s="40" t="s">
        <v>4579</v>
      </c>
      <c r="AG710" s="41"/>
      <c r="AH710" s="32"/>
      <c r="AI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XEY710" s="27"/>
      <c r="XEZ710" s="27"/>
      <c r="XFA710" s="27"/>
      <c r="XFB710" s="27"/>
      <c r="XFC710" s="27"/>
      <c r="XFD710" s="27"/>
    </row>
    <row r="711" s="42" customFormat="true" ht="14.15" hidden="false" customHeight="true" outlineLevel="0" collapsed="false">
      <c r="A711" s="28" t="s">
        <v>4580</v>
      </c>
      <c r="B711" s="29" t="s">
        <v>632</v>
      </c>
      <c r="C711" s="29" t="s">
        <v>4581</v>
      </c>
      <c r="D711" s="30" t="s">
        <v>244</v>
      </c>
      <c r="E711" s="30" t="s">
        <v>776</v>
      </c>
      <c r="F711" s="32" t="n">
        <v>69</v>
      </c>
      <c r="G711" s="31"/>
      <c r="H711" s="31" t="n">
        <v>1</v>
      </c>
      <c r="I711" s="31" t="s">
        <v>572</v>
      </c>
      <c r="J711" s="29" t="s">
        <v>678</v>
      </c>
      <c r="K711" s="29" t="s">
        <v>679</v>
      </c>
      <c r="L711" s="32" t="n">
        <v>6</v>
      </c>
      <c r="M711" s="33" t="s">
        <v>680</v>
      </c>
      <c r="N711" s="34" t="n">
        <v>75008</v>
      </c>
      <c r="O711" s="35" t="s">
        <v>55</v>
      </c>
      <c r="P711" s="36" t="s">
        <v>870</v>
      </c>
      <c r="Q711" s="36" t="n">
        <v>43</v>
      </c>
      <c r="R711" s="32" t="n">
        <v>128</v>
      </c>
      <c r="S711" s="32" t="n">
        <v>2</v>
      </c>
      <c r="T711" s="32"/>
      <c r="U711" s="32" t="n">
        <v>3</v>
      </c>
      <c r="V711" s="37" t="n">
        <v>3</v>
      </c>
      <c r="W711" s="32" t="n">
        <v>3</v>
      </c>
      <c r="X711" s="34"/>
      <c r="Y711" s="34" t="n">
        <v>1</v>
      </c>
      <c r="Z711" s="32" t="s">
        <v>4582</v>
      </c>
      <c r="AA711" s="32" t="s">
        <v>4583</v>
      </c>
      <c r="AB711" s="32"/>
      <c r="AC711" s="38" t="str">
        <f aca="false">HYPERLINK("https://biocodex6--c.vf.force.com/0014L00000KFflOQAT", "LAFFONT GERODOLLE MARIE CHRISTINE")</f>
        <v>LAFFONT GERODOLLE MARIE CHRISTINE</v>
      </c>
      <c r="AD711" s="38"/>
      <c r="AE711" s="39"/>
      <c r="AF711" s="40"/>
      <c r="AG711" s="41"/>
      <c r="AH711" s="32"/>
      <c r="AI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XEY711" s="27"/>
      <c r="XEZ711" s="27"/>
      <c r="XFA711" s="27"/>
      <c r="XFB711" s="27"/>
      <c r="XFC711" s="27"/>
      <c r="XFD711" s="27"/>
    </row>
    <row r="712" s="42" customFormat="true" ht="14.15" hidden="false" customHeight="true" outlineLevel="0" collapsed="false">
      <c r="A712" s="28" t="s">
        <v>1134</v>
      </c>
      <c r="B712" s="29" t="s">
        <v>2433</v>
      </c>
      <c r="C712" s="29" t="s">
        <v>4584</v>
      </c>
      <c r="D712" s="30" t="s">
        <v>244</v>
      </c>
      <c r="E712" s="30" t="s">
        <v>1602</v>
      </c>
      <c r="F712" s="32" t="n">
        <v>68</v>
      </c>
      <c r="G712" s="31" t="s">
        <v>215</v>
      </c>
      <c r="H712" s="31" t="n">
        <v>3</v>
      </c>
      <c r="I712" s="31" t="s">
        <v>435</v>
      </c>
      <c r="J712" s="29" t="s">
        <v>3117</v>
      </c>
      <c r="K712" s="29" t="s">
        <v>3118</v>
      </c>
      <c r="L712" s="32" t="n">
        <v>46</v>
      </c>
      <c r="M712" s="33" t="s">
        <v>1450</v>
      </c>
      <c r="N712" s="34" t="n">
        <v>75016</v>
      </c>
      <c r="O712" s="35" t="s">
        <v>55</v>
      </c>
      <c r="P712" s="36" t="s">
        <v>4585</v>
      </c>
      <c r="Q712" s="36" t="n">
        <v>14</v>
      </c>
      <c r="R712" s="32" t="n">
        <v>128</v>
      </c>
      <c r="S712" s="32" t="n">
        <v>2</v>
      </c>
      <c r="T712" s="32"/>
      <c r="U712" s="32"/>
      <c r="V712" s="37"/>
      <c r="W712" s="32"/>
      <c r="X712" s="34"/>
      <c r="Y712" s="34"/>
      <c r="Z712" s="36"/>
      <c r="AA712" s="32" t="s">
        <v>4586</v>
      </c>
      <c r="AB712" s="32" t="s">
        <v>4587</v>
      </c>
      <c r="AC712" s="38" t="str">
        <f aca="false">HYPERLINK("https://biocodex6--c.vf.force.com/0014L00000KFX1bQAH", "COHEN BERNARD")</f>
        <v>COHEN BERNARD</v>
      </c>
      <c r="AD712" s="38" t="str">
        <f aca="false">HYPERLINK("https://annuairesante.ameli.fr/professionnels-de-sante/recherche/fiche-detaillee-B7c1lTI3Mzaw.html", "COHEN BERNARD")</f>
        <v>COHEN BERNARD</v>
      </c>
      <c r="AE712" s="39"/>
      <c r="AF712" s="40"/>
      <c r="AG712" s="41"/>
      <c r="AH712" s="32" t="s">
        <v>179</v>
      </c>
      <c r="AI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XEY712" s="27"/>
      <c r="XEZ712" s="27"/>
      <c r="XFA712" s="27"/>
      <c r="XFB712" s="27"/>
      <c r="XFC712" s="27"/>
      <c r="XFD712" s="27"/>
    </row>
    <row r="713" s="42" customFormat="true" ht="14.15" hidden="false" customHeight="true" outlineLevel="0" collapsed="false">
      <c r="A713" s="28" t="s">
        <v>4588</v>
      </c>
      <c r="B713" s="29" t="s">
        <v>1355</v>
      </c>
      <c r="C713" s="29" t="s">
        <v>4589</v>
      </c>
      <c r="D713" s="30" t="s">
        <v>244</v>
      </c>
      <c r="E713" s="30" t="s">
        <v>4590</v>
      </c>
      <c r="F713" s="32" t="n">
        <v>75</v>
      </c>
      <c r="G713" s="31" t="s">
        <v>215</v>
      </c>
      <c r="H713" s="31" t="n">
        <v>1</v>
      </c>
      <c r="I713" s="31" t="s">
        <v>119</v>
      </c>
      <c r="J713" s="29"/>
      <c r="K713" s="29" t="s">
        <v>4591</v>
      </c>
      <c r="L713" s="32" t="n">
        <v>36</v>
      </c>
      <c r="M713" s="33" t="s">
        <v>1769</v>
      </c>
      <c r="N713" s="34" t="n">
        <v>75007</v>
      </c>
      <c r="O713" s="35" t="s">
        <v>55</v>
      </c>
      <c r="P713" s="36" t="s">
        <v>4592</v>
      </c>
      <c r="Q713" s="36" t="n">
        <v>3</v>
      </c>
      <c r="R713" s="32" t="n">
        <v>125</v>
      </c>
      <c r="S713" s="32" t="n">
        <v>2</v>
      </c>
      <c r="T713" s="32"/>
      <c r="U713" s="32" t="n">
        <v>3</v>
      </c>
      <c r="V713" s="37"/>
      <c r="W713" s="32" t="n">
        <v>3</v>
      </c>
      <c r="X713" s="34"/>
      <c r="Y713" s="34" t="n">
        <v>2</v>
      </c>
      <c r="Z713" s="32" t="s">
        <v>4593</v>
      </c>
      <c r="AA713" s="32" t="s">
        <v>4594</v>
      </c>
      <c r="AB713" s="32" t="s">
        <v>4595</v>
      </c>
      <c r="AC713" s="38" t="str">
        <f aca="false">HYPERLINK("https://biocodex6--c.vf.force.com/0014L00000KFeItQAL", "JAKUBOWICZ FRAIBERGER MICHELE")</f>
        <v>JAKUBOWICZ FRAIBERGER MICHELE</v>
      </c>
      <c r="AD713" s="38" t="str">
        <f aca="false">HYPERLINK("https://annuairesante.ameli.fr/professionnels-de-sante/recherche/fiche-detaillee-B7c1kTQ5Nju1.html", "JAKUBOWICZ FRAIBERGER MICHELE")</f>
        <v>JAKUBOWICZ FRAIBERGER MICHELE</v>
      </c>
      <c r="AE713" s="39" t="n">
        <v>45344.3958333333</v>
      </c>
      <c r="AF713" s="40"/>
      <c r="AG713" s="41"/>
      <c r="AH713" s="32"/>
      <c r="AI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XEY713" s="27"/>
      <c r="XEZ713" s="27"/>
      <c r="XFA713" s="27"/>
      <c r="XFB713" s="27"/>
      <c r="XFC713" s="27"/>
      <c r="XFD713" s="27"/>
    </row>
    <row r="714" s="42" customFormat="true" ht="14.15" hidden="false" customHeight="true" outlineLevel="0" collapsed="false">
      <c r="A714" s="28" t="s">
        <v>4596</v>
      </c>
      <c r="B714" s="29" t="s">
        <v>2794</v>
      </c>
      <c r="C714" s="29" t="s">
        <v>4597</v>
      </c>
      <c r="D714" s="30" t="s">
        <v>244</v>
      </c>
      <c r="E714" s="30" t="s">
        <v>245</v>
      </c>
      <c r="F714" s="32" t="n">
        <v>43</v>
      </c>
      <c r="G714" s="31" t="s">
        <v>215</v>
      </c>
      <c r="H714" s="31" t="n">
        <v>3</v>
      </c>
      <c r="I714" s="31" t="s">
        <v>99</v>
      </c>
      <c r="J714" s="29"/>
      <c r="K714" s="29" t="s">
        <v>4598</v>
      </c>
      <c r="L714" s="32" t="n">
        <v>6</v>
      </c>
      <c r="M714" s="33" t="s">
        <v>4599</v>
      </c>
      <c r="N714" s="34" t="n">
        <v>75015</v>
      </c>
      <c r="O714" s="35" t="s">
        <v>55</v>
      </c>
      <c r="P714" s="36" t="s">
        <v>2773</v>
      </c>
      <c r="Q714" s="36" t="n">
        <v>1</v>
      </c>
      <c r="R714" s="32" t="n">
        <v>125</v>
      </c>
      <c r="S714" s="32" t="n">
        <v>2</v>
      </c>
      <c r="T714" s="32"/>
      <c r="U714" s="32"/>
      <c r="V714" s="37" t="n">
        <v>3</v>
      </c>
      <c r="W714" s="32"/>
      <c r="X714" s="34"/>
      <c r="Y714" s="34" t="n">
        <v>1</v>
      </c>
      <c r="Z714" s="32" t="s">
        <v>4600</v>
      </c>
      <c r="AA714" s="32" t="s">
        <v>4601</v>
      </c>
      <c r="AB714" s="32" t="s">
        <v>4602</v>
      </c>
      <c r="AC714" s="38" t="str">
        <f aca="false">HYPERLINK("https://biocodex6--c.vf.force.com/0014L00000KFhGXQA1", "GILLAUX CLAIRE")</f>
        <v>GILLAUX CLAIRE</v>
      </c>
      <c r="AD714" s="38" t="str">
        <f aca="false">HYPERLINK("https://annuairesante.ameli.fr/professionnels-de-sante/recherche/fiche-detaillee-B7c1kjI4NDK6.html", "GILLAUX CLAIRE")</f>
        <v>GILLAUX CLAIRE</v>
      </c>
      <c r="AE714" s="39"/>
      <c r="AF714" s="40"/>
      <c r="AG714" s="41"/>
      <c r="AH714" s="32"/>
      <c r="AI714" s="32"/>
      <c r="AL714" s="43" t="s">
        <v>338</v>
      </c>
      <c r="AM714" s="32"/>
      <c r="AN714" s="43" t="s">
        <v>657</v>
      </c>
      <c r="AO714" s="43" t="s">
        <v>137</v>
      </c>
      <c r="AP714" s="32"/>
      <c r="AQ714" s="32"/>
      <c r="AR714" s="43" t="s">
        <v>657</v>
      </c>
      <c r="AS714" s="43" t="s">
        <v>262</v>
      </c>
      <c r="AT714" s="43" t="s">
        <v>657</v>
      </c>
      <c r="AU714" s="43" t="s">
        <v>262</v>
      </c>
      <c r="XEY714" s="27"/>
      <c r="XEZ714" s="27"/>
      <c r="XFA714" s="27"/>
      <c r="XFB714" s="27"/>
      <c r="XFC714" s="27"/>
      <c r="XFD714" s="27"/>
    </row>
    <row r="715" s="42" customFormat="true" ht="14.15" hidden="false" customHeight="true" outlineLevel="0" collapsed="false">
      <c r="A715" s="28" t="s">
        <v>1134</v>
      </c>
      <c r="B715" s="29" t="s">
        <v>4603</v>
      </c>
      <c r="C715" s="29" t="s">
        <v>4604</v>
      </c>
      <c r="D715" s="30" t="s">
        <v>112</v>
      </c>
      <c r="E715" s="30" t="s">
        <v>776</v>
      </c>
      <c r="F715" s="32" t="n">
        <v>41</v>
      </c>
      <c r="G715" s="31"/>
      <c r="H715" s="31" t="n">
        <v>1</v>
      </c>
      <c r="I715" s="31" t="s">
        <v>51</v>
      </c>
      <c r="J715" s="29" t="s">
        <v>52</v>
      </c>
      <c r="K715" s="29" t="s">
        <v>53</v>
      </c>
      <c r="L715" s="32" t="n">
        <v>149</v>
      </c>
      <c r="M715" s="33" t="s">
        <v>54</v>
      </c>
      <c r="N715" s="34" t="n">
        <v>75015</v>
      </c>
      <c r="O715" s="35" t="s">
        <v>55</v>
      </c>
      <c r="P715" s="36" t="s">
        <v>4605</v>
      </c>
      <c r="Q715" s="36" t="n">
        <v>236</v>
      </c>
      <c r="R715" s="32" t="n">
        <v>125</v>
      </c>
      <c r="S715" s="32" t="n">
        <v>2</v>
      </c>
      <c r="T715" s="32"/>
      <c r="U715" s="32"/>
      <c r="V715" s="37"/>
      <c r="W715" s="32"/>
      <c r="X715" s="34"/>
      <c r="Y715" s="34"/>
      <c r="Z715" s="36"/>
      <c r="AA715" s="32" t="s">
        <v>4606</v>
      </c>
      <c r="AB715" s="32"/>
      <c r="AC715" s="38" t="str">
        <f aca="false">HYPERLINK("https://biocodex6--c.vf.force.com/0014L00000KFjpGQAT", "COHEN JEREMIE")</f>
        <v>COHEN JEREMIE</v>
      </c>
      <c r="AD715" s="38"/>
      <c r="AE715" s="39"/>
      <c r="AF715" s="40"/>
      <c r="AG715" s="41"/>
      <c r="AH715" s="32" t="s">
        <v>179</v>
      </c>
      <c r="AI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XEY715" s="27"/>
      <c r="XEZ715" s="27"/>
      <c r="XFA715" s="27"/>
      <c r="XFB715" s="27"/>
      <c r="XFC715" s="27"/>
      <c r="XFD715" s="27"/>
    </row>
    <row r="716" s="42" customFormat="true" ht="14.15" hidden="false" customHeight="true" outlineLevel="0" collapsed="false">
      <c r="A716" s="28" t="s">
        <v>4607</v>
      </c>
      <c r="B716" s="29" t="s">
        <v>4608</v>
      </c>
      <c r="C716" s="29" t="s">
        <v>4609</v>
      </c>
      <c r="D716" s="30" t="s">
        <v>112</v>
      </c>
      <c r="E716" s="30" t="s">
        <v>1709</v>
      </c>
      <c r="F716" s="32" t="n">
        <v>35</v>
      </c>
      <c r="G716" s="31"/>
      <c r="H716" s="31" t="n">
        <v>1</v>
      </c>
      <c r="I716" s="31" t="s">
        <v>51</v>
      </c>
      <c r="J716" s="29" t="s">
        <v>52</v>
      </c>
      <c r="K716" s="29" t="s">
        <v>53</v>
      </c>
      <c r="L716" s="32" t="n">
        <v>149</v>
      </c>
      <c r="M716" s="33" t="s">
        <v>54</v>
      </c>
      <c r="N716" s="34" t="n">
        <v>75015</v>
      </c>
      <c r="O716" s="35" t="s">
        <v>55</v>
      </c>
      <c r="P716" s="36" t="s">
        <v>4610</v>
      </c>
      <c r="Q716" s="36" t="n">
        <v>236</v>
      </c>
      <c r="R716" s="32" t="n">
        <v>125</v>
      </c>
      <c r="S716" s="32" t="n">
        <v>2</v>
      </c>
      <c r="T716" s="32"/>
      <c r="U716" s="32"/>
      <c r="V716" s="37"/>
      <c r="W716" s="32"/>
      <c r="X716" s="34"/>
      <c r="Y716" s="34"/>
      <c r="Z716" s="32"/>
      <c r="AA716" s="32" t="s">
        <v>4611</v>
      </c>
      <c r="AB716" s="32"/>
      <c r="AC716" s="38" t="str">
        <f aca="false">HYPERLINK("https://biocodex6--c.vf.force.com/0014L00000KFPuUQAX", "BERANGER AGATHE")</f>
        <v>BERANGER AGATHE</v>
      </c>
      <c r="AD716" s="38"/>
      <c r="AE716" s="39"/>
      <c r="AF716" s="40"/>
      <c r="AG716" s="41"/>
      <c r="AH716" s="32"/>
      <c r="AI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XEY716" s="27"/>
      <c r="XEZ716" s="27"/>
      <c r="XFA716" s="27"/>
      <c r="XFB716" s="27"/>
      <c r="XFC716" s="27"/>
      <c r="XFD716" s="27"/>
    </row>
    <row r="717" s="42" customFormat="true" ht="14.15" hidden="false" customHeight="true" outlineLevel="0" collapsed="false">
      <c r="A717" s="28" t="s">
        <v>4612</v>
      </c>
      <c r="B717" s="29" t="s">
        <v>4613</v>
      </c>
      <c r="C717" s="29" t="s">
        <v>4614</v>
      </c>
      <c r="D717" s="30" t="s">
        <v>112</v>
      </c>
      <c r="E717" s="31"/>
      <c r="F717" s="32"/>
      <c r="G717" s="31"/>
      <c r="H717" s="31" t="n">
        <v>2</v>
      </c>
      <c r="I717" s="31" t="s">
        <v>77</v>
      </c>
      <c r="J717" s="29" t="s">
        <v>246</v>
      </c>
      <c r="K717" s="29" t="s">
        <v>247</v>
      </c>
      <c r="L717" s="32" t="n">
        <v>36</v>
      </c>
      <c r="M717" s="33" t="s">
        <v>248</v>
      </c>
      <c r="N717" s="34" t="n">
        <v>92200</v>
      </c>
      <c r="O717" s="35" t="s">
        <v>81</v>
      </c>
      <c r="P717" s="36" t="s">
        <v>365</v>
      </c>
      <c r="Q717" s="36" t="n">
        <v>49</v>
      </c>
      <c r="R717" s="32" t="n">
        <v>124</v>
      </c>
      <c r="S717" s="32" t="n">
        <v>2</v>
      </c>
      <c r="T717" s="32"/>
      <c r="U717" s="32"/>
      <c r="V717" s="37"/>
      <c r="W717" s="32"/>
      <c r="X717" s="34"/>
      <c r="Y717" s="34"/>
      <c r="Z717" s="32"/>
      <c r="AA717" s="32" t="s">
        <v>4615</v>
      </c>
      <c r="AB717" s="32"/>
      <c r="AC717" s="38" t="str">
        <f aca="false">HYPERLINK("https://biocodex6--c.vf.force.com/0014L00000KFQvjQAH", "ABERKANE DURAND ASMA")</f>
        <v>ABERKANE DURAND ASMA</v>
      </c>
      <c r="AD717" s="38"/>
      <c r="AE717" s="39"/>
      <c r="AF717" s="40"/>
      <c r="AG717" s="41"/>
      <c r="AH717" s="32"/>
      <c r="AI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XEY717" s="27"/>
      <c r="XEZ717" s="27"/>
      <c r="XFA717" s="27"/>
      <c r="XFB717" s="27"/>
      <c r="XFC717" s="27"/>
      <c r="XFD717" s="27"/>
    </row>
    <row r="718" s="42" customFormat="true" ht="14.15" hidden="false" customHeight="true" outlineLevel="0" collapsed="false">
      <c r="A718" s="28" t="s">
        <v>4616</v>
      </c>
      <c r="B718" s="29" t="s">
        <v>4617</v>
      </c>
      <c r="C718" s="29" t="s">
        <v>4618</v>
      </c>
      <c r="D718" s="30" t="s">
        <v>112</v>
      </c>
      <c r="E718" s="31"/>
      <c r="F718" s="32" t="n">
        <v>86</v>
      </c>
      <c r="G718" s="31" t="s">
        <v>215</v>
      </c>
      <c r="H718" s="31" t="n">
        <v>1</v>
      </c>
      <c r="I718" s="31" t="s">
        <v>173</v>
      </c>
      <c r="J718" s="29"/>
      <c r="K718" s="29" t="s">
        <v>2236</v>
      </c>
      <c r="L718" s="32" t="n">
        <v>97</v>
      </c>
      <c r="M718" s="33" t="s">
        <v>175</v>
      </c>
      <c r="N718" s="34" t="n">
        <v>75016</v>
      </c>
      <c r="O718" s="35" t="s">
        <v>55</v>
      </c>
      <c r="P718" s="36" t="s">
        <v>4619</v>
      </c>
      <c r="Q718" s="36" t="n">
        <v>2</v>
      </c>
      <c r="R718" s="32" t="n">
        <v>122</v>
      </c>
      <c r="S718" s="32" t="n">
        <v>2</v>
      </c>
      <c r="T718" s="32"/>
      <c r="U718" s="32"/>
      <c r="V718" s="37"/>
      <c r="W718" s="32"/>
      <c r="X718" s="34"/>
      <c r="Y718" s="34"/>
      <c r="Z718" s="32"/>
      <c r="AA718" s="32" t="s">
        <v>4620</v>
      </c>
      <c r="AB718" s="32" t="s">
        <v>4621</v>
      </c>
      <c r="AC718" s="38" t="str">
        <f aca="false">HYPERLINK("https://biocodex6--c.vf.force.com/0014L00000KFbbkQAD", "DUCELLIER JOCELYNE")</f>
        <v>DUCELLIER JOCELYNE</v>
      </c>
      <c r="AD718" s="38" t="str">
        <f aca="false">HYPERLINK("https://annuairesante.ameli.fr/professionnels-de-sante/recherche/fiche-detaillee-B7c1kDU1MDez.html", "DUCELLIER JOCELYNE")</f>
        <v>DUCELLIER JOCELYNE</v>
      </c>
      <c r="AE718" s="39" t="n">
        <v>45209.6458333333</v>
      </c>
      <c r="AF718" s="40"/>
      <c r="AG718" s="41"/>
      <c r="AH718" s="32"/>
      <c r="AI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XEY718" s="27"/>
      <c r="XEZ718" s="27"/>
      <c r="XFA718" s="27"/>
      <c r="XFB718" s="27"/>
      <c r="XFC718" s="27"/>
      <c r="XFD718" s="27"/>
    </row>
    <row r="719" s="42" customFormat="true" ht="14.15" hidden="false" customHeight="true" outlineLevel="0" collapsed="false">
      <c r="A719" s="28" t="s">
        <v>4622</v>
      </c>
      <c r="B719" s="29" t="s">
        <v>4623</v>
      </c>
      <c r="C719" s="29" t="s">
        <v>4624</v>
      </c>
      <c r="D719" s="30" t="s">
        <v>112</v>
      </c>
      <c r="E719" s="31"/>
      <c r="F719" s="32" t="n">
        <v>81</v>
      </c>
      <c r="G719" s="31" t="s">
        <v>215</v>
      </c>
      <c r="H719" s="31" t="n">
        <v>2</v>
      </c>
      <c r="I719" s="31" t="s">
        <v>62</v>
      </c>
      <c r="J719" s="29"/>
      <c r="K719" s="29" t="s">
        <v>1779</v>
      </c>
      <c r="L719" s="32" t="n">
        <v>138</v>
      </c>
      <c r="M719" s="33" t="s">
        <v>1138</v>
      </c>
      <c r="N719" s="34" t="n">
        <v>75017</v>
      </c>
      <c r="O719" s="35" t="s">
        <v>55</v>
      </c>
      <c r="P719" s="36" t="s">
        <v>1780</v>
      </c>
      <c r="Q719" s="36" t="n">
        <v>3</v>
      </c>
      <c r="R719" s="32" t="n">
        <v>122</v>
      </c>
      <c r="S719" s="32" t="n">
        <v>2</v>
      </c>
      <c r="T719" s="32"/>
      <c r="U719" s="32"/>
      <c r="V719" s="37"/>
      <c r="W719" s="32"/>
      <c r="X719" s="34"/>
      <c r="Y719" s="34"/>
      <c r="Z719" s="32"/>
      <c r="AA719" s="32" t="s">
        <v>4625</v>
      </c>
      <c r="AB719" s="32" t="s">
        <v>4626</v>
      </c>
      <c r="AC719" s="38" t="str">
        <f aca="false">HYPERLINK("https://biocodex6--c.vf.force.com/0014L00000KFQWbQAP", "ANTIER EDWIGE")</f>
        <v>ANTIER EDWIGE</v>
      </c>
      <c r="AD719" s="38" t="str">
        <f aca="false">HYPERLINK("https://annuairesante.ameli.fr/professionnels-de-sante/recherche/fiche-detaillee-B7c1kToxODe6.html", "ANTIER EDWIGE")</f>
        <v>ANTIER EDWIGE</v>
      </c>
      <c r="AE719" s="39"/>
      <c r="AF719" s="40"/>
      <c r="AG719" s="41"/>
      <c r="AH719" s="32"/>
      <c r="AI719" s="32"/>
      <c r="AL719" s="43" t="s">
        <v>1268</v>
      </c>
      <c r="AM719" s="32"/>
      <c r="AN719" s="43" t="s">
        <v>1268</v>
      </c>
      <c r="AO719" s="32"/>
      <c r="AP719" s="32"/>
      <c r="AQ719" s="43" t="s">
        <v>137</v>
      </c>
      <c r="AR719" s="43" t="s">
        <v>1268</v>
      </c>
      <c r="AS719" s="43" t="s">
        <v>534</v>
      </c>
      <c r="AT719" s="43" t="s">
        <v>1268</v>
      </c>
      <c r="AU719" s="43" t="s">
        <v>534</v>
      </c>
      <c r="XEY719" s="27"/>
      <c r="XEZ719" s="27"/>
      <c r="XFA719" s="27"/>
      <c r="XFB719" s="27"/>
      <c r="XFC719" s="27"/>
      <c r="XFD719" s="27"/>
    </row>
    <row r="720" s="42" customFormat="true" ht="14.15" hidden="false" customHeight="true" outlineLevel="0" collapsed="false">
      <c r="A720" s="28" t="s">
        <v>4627</v>
      </c>
      <c r="B720" s="29" t="s">
        <v>4628</v>
      </c>
      <c r="C720" s="29" t="s">
        <v>4629</v>
      </c>
      <c r="D720" s="30" t="s">
        <v>244</v>
      </c>
      <c r="E720" s="30" t="s">
        <v>2740</v>
      </c>
      <c r="F720" s="32" t="n">
        <v>41</v>
      </c>
      <c r="G720" s="31" t="s">
        <v>215</v>
      </c>
      <c r="H720" s="31" t="n">
        <v>1</v>
      </c>
      <c r="I720" s="46" t="s">
        <v>435</v>
      </c>
      <c r="J720" s="29"/>
      <c r="K720" s="29" t="s">
        <v>2099</v>
      </c>
      <c r="L720" s="32" t="n">
        <v>80</v>
      </c>
      <c r="M720" s="33" t="s">
        <v>2100</v>
      </c>
      <c r="N720" s="34" t="n">
        <v>75016</v>
      </c>
      <c r="O720" s="35" t="s">
        <v>55</v>
      </c>
      <c r="P720" s="50" t="s">
        <v>4630</v>
      </c>
      <c r="Q720" s="36" t="n">
        <v>4</v>
      </c>
      <c r="R720" s="32" t="n">
        <v>121</v>
      </c>
      <c r="S720" s="32" t="n">
        <v>2</v>
      </c>
      <c r="T720" s="32"/>
      <c r="U720" s="32" t="n">
        <v>3</v>
      </c>
      <c r="V720" s="37" t="n">
        <v>3</v>
      </c>
      <c r="W720" s="32" t="n">
        <v>3</v>
      </c>
      <c r="X720" s="34" t="n">
        <v>1</v>
      </c>
      <c r="Y720" s="34" t="n">
        <v>2</v>
      </c>
      <c r="Z720" s="36" t="s">
        <v>4631</v>
      </c>
      <c r="AA720" s="32" t="s">
        <v>4632</v>
      </c>
      <c r="AB720" s="44" t="s">
        <v>4633</v>
      </c>
      <c r="AC720" s="38" t="str">
        <f aca="false">HYPERLINK("https://biocodex6--c.vf.force.com/0014L00000KFeFkQAL", "GRONIER HELOISE")</f>
        <v>GRONIER HELOISE</v>
      </c>
      <c r="AD720" s="38" t="str">
        <f aca="false">HYPERLINK("https://annuairesante.ameli.fr/professionnels-de-sante/recherche/fiche-detaillee-B7c1lTEwNTq7.html", "GRONIER HELOISE")</f>
        <v>GRONIER HELOISE</v>
      </c>
      <c r="AE720" s="39" t="n">
        <v>45441.5416666667</v>
      </c>
      <c r="AF720" s="40" t="s">
        <v>4634</v>
      </c>
      <c r="AG720" s="41"/>
      <c r="AH720" s="32" t="s">
        <v>3469</v>
      </c>
      <c r="AI720" s="32" t="s">
        <v>71</v>
      </c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XEY720" s="27"/>
      <c r="XEZ720" s="27"/>
      <c r="XFA720" s="27"/>
      <c r="XFB720" s="27"/>
      <c r="XFC720" s="27"/>
      <c r="XFD720" s="27"/>
    </row>
    <row r="721" s="42" customFormat="true" ht="14.15" hidden="false" customHeight="true" outlineLevel="0" collapsed="false">
      <c r="A721" s="28" t="s">
        <v>1181</v>
      </c>
      <c r="B721" s="29" t="s">
        <v>320</v>
      </c>
      <c r="C721" s="29" t="s">
        <v>4635</v>
      </c>
      <c r="D721" s="30" t="s">
        <v>244</v>
      </c>
      <c r="E721" s="30" t="s">
        <v>245</v>
      </c>
      <c r="F721" s="32" t="n">
        <v>65</v>
      </c>
      <c r="G721" s="31"/>
      <c r="H721" s="31" t="n">
        <v>2</v>
      </c>
      <c r="I721" s="31" t="s">
        <v>572</v>
      </c>
      <c r="J721" s="29"/>
      <c r="K721" s="29" t="s">
        <v>1095</v>
      </c>
      <c r="L721" s="32" t="n">
        <v>19</v>
      </c>
      <c r="M721" s="33" t="s">
        <v>1096</v>
      </c>
      <c r="N721" s="34" t="n">
        <v>75008</v>
      </c>
      <c r="O721" s="35" t="s">
        <v>55</v>
      </c>
      <c r="P721" s="36"/>
      <c r="Q721" s="36" t="n">
        <v>2</v>
      </c>
      <c r="R721" s="32" t="n">
        <v>120</v>
      </c>
      <c r="S721" s="32" t="n">
        <v>2</v>
      </c>
      <c r="T721" s="32"/>
      <c r="U721" s="32" t="n">
        <v>3</v>
      </c>
      <c r="V721" s="37" t="n">
        <v>3</v>
      </c>
      <c r="W721" s="32" t="n">
        <v>3</v>
      </c>
      <c r="X721" s="34"/>
      <c r="Y721" s="34" t="n">
        <v>1</v>
      </c>
      <c r="Z721" s="32"/>
      <c r="AA721" s="32" t="s">
        <v>4636</v>
      </c>
      <c r="AB721" s="32"/>
      <c r="AC721" s="38" t="str">
        <f aca="false">HYPERLINK("https://biocodex6--c.vf.force.com/0014L00000KG2IPQA1", "SMADJA SERGE")</f>
        <v>SMADJA SERGE</v>
      </c>
      <c r="AD721" s="38"/>
      <c r="AE721" s="39" t="n">
        <v>45371.4791666667</v>
      </c>
      <c r="AF721" s="40" t="s">
        <v>4637</v>
      </c>
      <c r="AG721" s="41"/>
      <c r="AH721" s="32"/>
      <c r="AI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XEY721" s="27"/>
      <c r="XEZ721" s="27"/>
      <c r="XFA721" s="27"/>
      <c r="XFB721" s="27"/>
      <c r="XFC721" s="27"/>
      <c r="XFD721" s="27"/>
    </row>
    <row r="722" s="42" customFormat="true" ht="14.15" hidden="false" customHeight="true" outlineLevel="0" collapsed="false">
      <c r="A722" s="28" t="s">
        <v>4638</v>
      </c>
      <c r="B722" s="29" t="s">
        <v>1600</v>
      </c>
      <c r="C722" s="29" t="s">
        <v>4639</v>
      </c>
      <c r="D722" s="30" t="s">
        <v>112</v>
      </c>
      <c r="E722" s="31"/>
      <c r="F722" s="32" t="n">
        <v>0</v>
      </c>
      <c r="G722" s="31"/>
      <c r="H722" s="31" t="n">
        <v>1</v>
      </c>
      <c r="I722" s="31" t="s">
        <v>51</v>
      </c>
      <c r="J722" s="29" t="s">
        <v>52</v>
      </c>
      <c r="K722" s="29" t="s">
        <v>53</v>
      </c>
      <c r="L722" s="32" t="n">
        <v>149</v>
      </c>
      <c r="M722" s="33" t="s">
        <v>54</v>
      </c>
      <c r="N722" s="34" t="n">
        <v>75015</v>
      </c>
      <c r="O722" s="35" t="s">
        <v>55</v>
      </c>
      <c r="P722" s="36" t="s">
        <v>4640</v>
      </c>
      <c r="Q722" s="36" t="n">
        <v>236</v>
      </c>
      <c r="R722" s="32" t="n">
        <v>120</v>
      </c>
      <c r="S722" s="32" t="n">
        <v>2</v>
      </c>
      <c r="T722" s="32"/>
      <c r="U722" s="32"/>
      <c r="V722" s="37"/>
      <c r="W722" s="32"/>
      <c r="X722" s="34"/>
      <c r="Y722" s="34"/>
      <c r="Z722" s="32"/>
      <c r="AA722" s="32"/>
      <c r="AB722" s="32"/>
      <c r="AC722" s="38"/>
      <c r="AD722" s="38"/>
      <c r="AE722" s="39"/>
      <c r="AF722" s="40"/>
      <c r="AG722" s="45"/>
      <c r="AH722" s="32"/>
      <c r="AI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XEY722" s="27"/>
      <c r="XEZ722" s="27"/>
      <c r="XFA722" s="27"/>
      <c r="XFB722" s="27"/>
      <c r="XFC722" s="27"/>
      <c r="XFD722" s="27"/>
    </row>
    <row r="723" s="42" customFormat="true" ht="14.15" hidden="false" customHeight="true" outlineLevel="0" collapsed="false">
      <c r="A723" s="28" t="s">
        <v>1134</v>
      </c>
      <c r="B723" s="29" t="s">
        <v>4641</v>
      </c>
      <c r="C723" s="29" t="s">
        <v>4642</v>
      </c>
      <c r="D723" s="30" t="s">
        <v>112</v>
      </c>
      <c r="E723" s="30" t="s">
        <v>776</v>
      </c>
      <c r="F723" s="32" t="n">
        <v>72</v>
      </c>
      <c r="G723" s="31" t="s">
        <v>215</v>
      </c>
      <c r="H723" s="31" t="n">
        <v>1</v>
      </c>
      <c r="I723" s="31" t="s">
        <v>99</v>
      </c>
      <c r="J723" s="29"/>
      <c r="K723" s="29" t="s">
        <v>4643</v>
      </c>
      <c r="L723" s="32" t="n">
        <v>76</v>
      </c>
      <c r="M723" s="33" t="s">
        <v>2143</v>
      </c>
      <c r="N723" s="34" t="n">
        <v>75015</v>
      </c>
      <c r="O723" s="35" t="s">
        <v>55</v>
      </c>
      <c r="P723" s="36" t="s">
        <v>4644</v>
      </c>
      <c r="Q723" s="36" t="n">
        <v>1</v>
      </c>
      <c r="R723" s="32" t="n">
        <v>119</v>
      </c>
      <c r="S723" s="32" t="n">
        <v>2</v>
      </c>
      <c r="T723" s="32"/>
      <c r="U723" s="32"/>
      <c r="V723" s="37"/>
      <c r="W723" s="32"/>
      <c r="X723" s="34"/>
      <c r="Y723" s="34"/>
      <c r="Z723" s="36"/>
      <c r="AA723" s="32" t="s">
        <v>4645</v>
      </c>
      <c r="AB723" s="32" t="s">
        <v>4646</v>
      </c>
      <c r="AC723" s="38" t="str">
        <f aca="false">HYPERLINK("https://biocodex6--c.vf.force.com/0014L00000KFX1oQAH", "COHEN HAIM")</f>
        <v>COHEN HAIM</v>
      </c>
      <c r="AD723" s="38" t="str">
        <f aca="false">HYPERLINK("https://annuairesante.ameli.fr/professionnels-de-sante/recherche/fiche-detaillee-B7c1kTQ0OTGx.html", "COHEN HAIM")</f>
        <v>COHEN HAIM</v>
      </c>
      <c r="AE723" s="39"/>
      <c r="AF723" s="40"/>
      <c r="AG723" s="41"/>
      <c r="AH723" s="32" t="s">
        <v>179</v>
      </c>
      <c r="AI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XEY723" s="27"/>
      <c r="XEZ723" s="27"/>
      <c r="XFA723" s="27"/>
      <c r="XFB723" s="27"/>
      <c r="XFC723" s="27"/>
      <c r="XFD723" s="27"/>
    </row>
    <row r="724" s="42" customFormat="true" ht="14.15" hidden="false" customHeight="true" outlineLevel="0" collapsed="false">
      <c r="A724" s="28" t="s">
        <v>4647</v>
      </c>
      <c r="B724" s="29" t="s">
        <v>643</v>
      </c>
      <c r="C724" s="29" t="s">
        <v>4648</v>
      </c>
      <c r="D724" s="30" t="s">
        <v>112</v>
      </c>
      <c r="E724" s="30" t="s">
        <v>421</v>
      </c>
      <c r="F724" s="32" t="n">
        <v>95</v>
      </c>
      <c r="G724" s="31"/>
      <c r="H724" s="31" t="n">
        <v>1</v>
      </c>
      <c r="I724" s="31" t="s">
        <v>51</v>
      </c>
      <c r="J724" s="29"/>
      <c r="K724" s="29" t="s">
        <v>4649</v>
      </c>
      <c r="L724" s="32" t="n">
        <v>26</v>
      </c>
      <c r="M724" s="33" t="s">
        <v>4650</v>
      </c>
      <c r="N724" s="34" t="n">
        <v>75015</v>
      </c>
      <c r="O724" s="35" t="s">
        <v>55</v>
      </c>
      <c r="P724" s="36" t="s">
        <v>4651</v>
      </c>
      <c r="Q724" s="36" t="n">
        <v>1</v>
      </c>
      <c r="R724" s="32" t="n">
        <v>117</v>
      </c>
      <c r="S724" s="32" t="n">
        <v>2</v>
      </c>
      <c r="T724" s="32"/>
      <c r="U724" s="32" t="n">
        <v>3</v>
      </c>
      <c r="V724" s="37"/>
      <c r="W724" s="32" t="n">
        <v>3</v>
      </c>
      <c r="X724" s="34"/>
      <c r="Y724" s="34" t="n">
        <v>1</v>
      </c>
      <c r="Z724" s="32"/>
      <c r="AA724" s="32" t="s">
        <v>4652</v>
      </c>
      <c r="AB724" s="32" t="s">
        <v>4653</v>
      </c>
      <c r="AC724" s="38" t="str">
        <f aca="false">HYPERLINK("https://biocodex6--c.vf.force.com/0014L00000KFhIDQA1", "GUEDJ PIERRE")</f>
        <v>GUEDJ PIERRE</v>
      </c>
      <c r="AD724" s="38" t="str">
        <f aca="false">HYPERLINK("https://annuairesante.ameli.fr/professionnels-de-sante/recherche/fiche-detaillee-B7c1kDE1NTS6.html", "GUEDJ PIERRE")</f>
        <v>GUEDJ PIERRE</v>
      </c>
      <c r="AE724" s="39" t="n">
        <v>45443.5</v>
      </c>
      <c r="AF724" s="40" t="s">
        <v>4654</v>
      </c>
      <c r="AG724" s="41" t="s">
        <v>69</v>
      </c>
      <c r="AH724" s="32" t="s">
        <v>70</v>
      </c>
      <c r="AI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XEY724" s="27"/>
      <c r="XEZ724" s="27"/>
      <c r="XFA724" s="27"/>
      <c r="XFB724" s="27"/>
      <c r="XFC724" s="27"/>
      <c r="XFD724" s="27"/>
    </row>
    <row r="725" s="42" customFormat="true" ht="14.15" hidden="false" customHeight="true" outlineLevel="0" collapsed="false">
      <c r="A725" s="28" t="s">
        <v>4655</v>
      </c>
      <c r="B725" s="29" t="s">
        <v>1766</v>
      </c>
      <c r="C725" s="29" t="s">
        <v>4656</v>
      </c>
      <c r="D725" s="30" t="s">
        <v>244</v>
      </c>
      <c r="E725" s="30" t="s">
        <v>245</v>
      </c>
      <c r="F725" s="32" t="n">
        <v>70</v>
      </c>
      <c r="G725" s="31" t="s">
        <v>215</v>
      </c>
      <c r="H725" s="31" t="n">
        <v>1</v>
      </c>
      <c r="I725" s="31" t="s">
        <v>77</v>
      </c>
      <c r="J725" s="29" t="s">
        <v>580</v>
      </c>
      <c r="K725" s="29" t="s">
        <v>581</v>
      </c>
      <c r="L725" s="32" t="n">
        <v>63</v>
      </c>
      <c r="M725" s="33" t="s">
        <v>80</v>
      </c>
      <c r="N725" s="34" t="n">
        <v>92200</v>
      </c>
      <c r="O725" s="35" t="s">
        <v>81</v>
      </c>
      <c r="P725" s="36" t="s">
        <v>4657</v>
      </c>
      <c r="Q725" s="36" t="n">
        <v>39</v>
      </c>
      <c r="R725" s="32" t="n">
        <v>117</v>
      </c>
      <c r="S725" s="32" t="n">
        <v>2</v>
      </c>
      <c r="T725" s="32"/>
      <c r="U725" s="32"/>
      <c r="V725" s="37"/>
      <c r="W725" s="32"/>
      <c r="X725" s="34"/>
      <c r="Y725" s="34"/>
      <c r="Z725" s="32"/>
      <c r="AA725" s="32" t="s">
        <v>4658</v>
      </c>
      <c r="AB725" s="32" t="s">
        <v>4659</v>
      </c>
      <c r="AC725" s="38" t="str">
        <f aca="false">HYPERLINK("https://biocodex6--c.vf.force.com/0014L00000KFz7KQAT", "ROLET FRANCOIS")</f>
        <v>ROLET FRANCOIS</v>
      </c>
      <c r="AD725" s="38" t="str">
        <f aca="false">HYPERLINK("https://annuairesante.ameli.fr/professionnels-de-sante/recherche/fiche-detaillee-B7c1lzo5NzO0.html", "ROLET FRANCOIS")</f>
        <v>ROLET FRANCOIS</v>
      </c>
      <c r="AE725" s="39"/>
      <c r="AF725" s="40"/>
      <c r="AG725" s="41"/>
      <c r="AH725" s="32"/>
      <c r="AI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XEY725" s="27"/>
      <c r="XEZ725" s="27"/>
      <c r="XFA725" s="27"/>
      <c r="XFB725" s="27"/>
      <c r="XFC725" s="27"/>
      <c r="XFD725" s="27"/>
    </row>
    <row r="726" s="42" customFormat="true" ht="14.15" hidden="false" customHeight="true" outlineLevel="0" collapsed="false">
      <c r="A726" s="28" t="s">
        <v>4660</v>
      </c>
      <c r="B726" s="29" t="s">
        <v>399</v>
      </c>
      <c r="C726" s="29" t="s">
        <v>4661</v>
      </c>
      <c r="D726" s="30" t="s">
        <v>244</v>
      </c>
      <c r="E726" s="30" t="s">
        <v>4662</v>
      </c>
      <c r="F726" s="32" t="n">
        <v>73</v>
      </c>
      <c r="G726" s="31" t="s">
        <v>215</v>
      </c>
      <c r="H726" s="31" t="n">
        <v>1</v>
      </c>
      <c r="I726" s="31" t="s">
        <v>99</v>
      </c>
      <c r="J726" s="29"/>
      <c r="K726" s="29" t="s">
        <v>4522</v>
      </c>
      <c r="L726" s="32" t="n">
        <v>36</v>
      </c>
      <c r="M726" s="33" t="s">
        <v>3849</v>
      </c>
      <c r="N726" s="34" t="n">
        <v>75015</v>
      </c>
      <c r="O726" s="35" t="s">
        <v>55</v>
      </c>
      <c r="P726" s="36" t="s">
        <v>4663</v>
      </c>
      <c r="Q726" s="36" t="n">
        <v>2</v>
      </c>
      <c r="R726" s="32" t="n">
        <v>115</v>
      </c>
      <c r="S726" s="32" t="n">
        <v>2</v>
      </c>
      <c r="T726" s="32"/>
      <c r="U726" s="32"/>
      <c r="V726" s="37"/>
      <c r="W726" s="32"/>
      <c r="X726" s="34"/>
      <c r="Y726" s="34"/>
      <c r="Z726" s="32"/>
      <c r="AA726" s="32" t="s">
        <v>4664</v>
      </c>
      <c r="AB726" s="32" t="s">
        <v>4665</v>
      </c>
      <c r="AC726" s="38" t="str">
        <f aca="false">HYPERLINK("https://biocodex6--c.vf.force.com/0014L00000KFR8tQAH", "AYNAUD OLIVIER")</f>
        <v>AYNAUD OLIVIER</v>
      </c>
      <c r="AD726" s="38" t="str">
        <f aca="false">HYPERLINK("https://annuairesante.ameli.fr/professionnels-de-sante/recherche/fiche-detaillee-B7c1lzM5MTey.html", "AYNAUD OLIVIER")</f>
        <v>AYNAUD OLIVIER</v>
      </c>
      <c r="AE726" s="39"/>
      <c r="AF726" s="40"/>
      <c r="AG726" s="41"/>
      <c r="AH726" s="32"/>
      <c r="AI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XEY726" s="27"/>
      <c r="XEZ726" s="27"/>
      <c r="XFA726" s="27"/>
      <c r="XFB726" s="27"/>
      <c r="XFC726" s="27"/>
      <c r="XFD726" s="27"/>
    </row>
    <row r="727" s="42" customFormat="true" ht="14.15" hidden="false" customHeight="true" outlineLevel="0" collapsed="false">
      <c r="A727" s="28" t="s">
        <v>4666</v>
      </c>
      <c r="B727" s="29" t="s">
        <v>3346</v>
      </c>
      <c r="C727" s="29" t="s">
        <v>4667</v>
      </c>
      <c r="D727" s="30" t="s">
        <v>244</v>
      </c>
      <c r="E727" s="30" t="s">
        <v>245</v>
      </c>
      <c r="F727" s="32" t="n">
        <v>39</v>
      </c>
      <c r="G727" s="31" t="s">
        <v>215</v>
      </c>
      <c r="H727" s="31" t="n">
        <v>2</v>
      </c>
      <c r="I727" s="31" t="s">
        <v>119</v>
      </c>
      <c r="J727" s="29" t="s">
        <v>3456</v>
      </c>
      <c r="K727" s="29" t="s">
        <v>3457</v>
      </c>
      <c r="L727" s="32" t="n">
        <v>2</v>
      </c>
      <c r="M727" s="33" t="s">
        <v>3458</v>
      </c>
      <c r="N727" s="34" t="n">
        <v>75007</v>
      </c>
      <c r="O727" s="35" t="s">
        <v>55</v>
      </c>
      <c r="P727" s="36" t="s">
        <v>4668</v>
      </c>
      <c r="Q727" s="36" t="n">
        <v>5</v>
      </c>
      <c r="R727" s="32" t="n">
        <v>114</v>
      </c>
      <c r="S727" s="32" t="n">
        <v>2</v>
      </c>
      <c r="T727" s="32"/>
      <c r="U727" s="32"/>
      <c r="V727" s="37" t="n">
        <v>3</v>
      </c>
      <c r="W727" s="32"/>
      <c r="X727" s="34"/>
      <c r="Y727" s="34"/>
      <c r="Z727" s="36"/>
      <c r="AA727" s="32" t="s">
        <v>4669</v>
      </c>
      <c r="AB727" s="32" t="s">
        <v>4670</v>
      </c>
      <c r="AC727" s="38" t="str">
        <f aca="false">HYPERLINK("https://biocodex6--c.vf.force.com/0014L00000KG14QQAT", "SEROR JULIEN")</f>
        <v>SEROR JULIEN</v>
      </c>
      <c r="AD727" s="38" t="str">
        <f aca="false">HYPERLINK("https://annuairesante.ameli.fr/professionnels-de-sante/recherche/fiche-detaillee-B7c1lTY3OTC0.html", "SEROR JULIEN")</f>
        <v>SEROR JULIEN</v>
      </c>
      <c r="AE727" s="39"/>
      <c r="AF727" s="40"/>
      <c r="AG727" s="41"/>
      <c r="AH727" s="32" t="s">
        <v>179</v>
      </c>
      <c r="AI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XEY727" s="27"/>
      <c r="XEZ727" s="27"/>
      <c r="XFA727" s="27"/>
      <c r="XFB727" s="27"/>
      <c r="XFC727" s="27"/>
      <c r="XFD727" s="27"/>
    </row>
    <row r="728" s="42" customFormat="true" ht="14.15" hidden="false" customHeight="true" outlineLevel="0" collapsed="false">
      <c r="A728" s="28" t="s">
        <v>4671</v>
      </c>
      <c r="B728" s="29" t="s">
        <v>4672</v>
      </c>
      <c r="C728" s="29" t="s">
        <v>4673</v>
      </c>
      <c r="D728" s="30" t="s">
        <v>244</v>
      </c>
      <c r="E728" s="30" t="s">
        <v>4674</v>
      </c>
      <c r="F728" s="32" t="n">
        <v>70</v>
      </c>
      <c r="G728" s="31" t="s">
        <v>215</v>
      </c>
      <c r="H728" s="31" t="n">
        <v>1</v>
      </c>
      <c r="I728" s="31" t="s">
        <v>119</v>
      </c>
      <c r="J728" s="29"/>
      <c r="K728" s="29" t="s">
        <v>4675</v>
      </c>
      <c r="L728" s="32" t="n">
        <v>150</v>
      </c>
      <c r="M728" s="33" t="s">
        <v>2977</v>
      </c>
      <c r="N728" s="34" t="n">
        <v>75007</v>
      </c>
      <c r="O728" s="35" t="s">
        <v>55</v>
      </c>
      <c r="P728" s="36" t="s">
        <v>4676</v>
      </c>
      <c r="Q728" s="36" t="n">
        <v>2</v>
      </c>
      <c r="R728" s="32" t="n">
        <v>113</v>
      </c>
      <c r="S728" s="32" t="n">
        <v>2</v>
      </c>
      <c r="T728" s="32"/>
      <c r="U728" s="32"/>
      <c r="V728" s="37"/>
      <c r="W728" s="32" t="n">
        <v>3</v>
      </c>
      <c r="X728" s="34"/>
      <c r="Y728" s="34" t="n">
        <v>1</v>
      </c>
      <c r="Z728" s="36" t="s">
        <v>4677</v>
      </c>
      <c r="AA728" s="32" t="s">
        <v>4678</v>
      </c>
      <c r="AB728" s="44" t="s">
        <v>4679</v>
      </c>
      <c r="AC728" s="38" t="str">
        <f aca="false">HYPERLINK("https://biocodex6--c.vf.force.com/0014L00000KFtRrQAL", "NEIMAN ANNE FRANCOISE")</f>
        <v>NEIMAN ANNE FRANCOISE</v>
      </c>
      <c r="AD728" s="38" t="str">
        <f aca="false">HYPERLINK("https://annuairesante.ameli.fr/professionnels-de-sante/recherche/fiche-detaillee-B7c1lTY2NDKx.html", "NEIMAN ANNE FRANCOISE")</f>
        <v>NEIMAN ANNE FRANCOISE</v>
      </c>
      <c r="AE728" s="39"/>
      <c r="AF728" s="40"/>
      <c r="AG728" s="41"/>
      <c r="AH728" s="32" t="s">
        <v>179</v>
      </c>
      <c r="AI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XEY728" s="27"/>
      <c r="XEZ728" s="27"/>
      <c r="XFA728" s="27"/>
      <c r="XFB728" s="27"/>
      <c r="XFC728" s="27"/>
      <c r="XFD728" s="27"/>
    </row>
    <row r="729" s="42" customFormat="true" ht="14.15" hidden="false" customHeight="true" outlineLevel="0" collapsed="false">
      <c r="A729" s="28" t="s">
        <v>4680</v>
      </c>
      <c r="B729" s="29" t="s">
        <v>3803</v>
      </c>
      <c r="C729" s="29" t="s">
        <v>4681</v>
      </c>
      <c r="D729" s="30" t="s">
        <v>244</v>
      </c>
      <c r="E729" s="30" t="s">
        <v>245</v>
      </c>
      <c r="F729" s="32" t="n">
        <v>38</v>
      </c>
      <c r="G729" s="31"/>
      <c r="H729" s="31" t="n">
        <v>2</v>
      </c>
      <c r="I729" s="31" t="s">
        <v>295</v>
      </c>
      <c r="J729" s="29" t="s">
        <v>489</v>
      </c>
      <c r="K729" s="29" t="s">
        <v>490</v>
      </c>
      <c r="L729" s="32" t="n">
        <v>3</v>
      </c>
      <c r="M729" s="33" t="s">
        <v>491</v>
      </c>
      <c r="N729" s="34" t="n">
        <v>92300</v>
      </c>
      <c r="O729" s="35" t="s">
        <v>298</v>
      </c>
      <c r="P729" s="36" t="s">
        <v>1592</v>
      </c>
      <c r="Q729" s="36" t="n">
        <v>26</v>
      </c>
      <c r="R729" s="32" t="n">
        <v>110</v>
      </c>
      <c r="S729" s="32" t="n">
        <v>2</v>
      </c>
      <c r="T729" s="32"/>
      <c r="U729" s="32"/>
      <c r="V729" s="37" t="n">
        <v>3</v>
      </c>
      <c r="W729" s="32"/>
      <c r="X729" s="34"/>
      <c r="Y729" s="34"/>
      <c r="Z729" s="32"/>
      <c r="AA729" s="32" t="s">
        <v>4682</v>
      </c>
      <c r="AB729" s="32"/>
      <c r="AC729" s="38" t="str">
        <f aca="false">HYPERLINK("https://biocodex6--c.vf.force.com/0014L00000KFO8iQAH", "VALDELIEVRE CONSTANCE")</f>
        <v>VALDELIEVRE CONSTANCE</v>
      </c>
      <c r="AD729" s="38"/>
      <c r="AE729" s="39"/>
      <c r="AF729" s="40"/>
      <c r="AG729" s="41"/>
      <c r="AH729" s="32"/>
      <c r="AI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XEY729" s="27"/>
      <c r="XEZ729" s="27"/>
      <c r="XFA729" s="27"/>
      <c r="XFB729" s="27"/>
      <c r="XFC729" s="27"/>
      <c r="XFD729" s="27"/>
    </row>
    <row r="730" s="42" customFormat="true" ht="14.15" hidden="false" customHeight="true" outlineLevel="0" collapsed="false">
      <c r="A730" s="28" t="s">
        <v>4683</v>
      </c>
      <c r="B730" s="29" t="s">
        <v>142</v>
      </c>
      <c r="C730" s="29" t="s">
        <v>4684</v>
      </c>
      <c r="D730" s="30" t="s">
        <v>112</v>
      </c>
      <c r="E730" s="31"/>
      <c r="F730" s="32" t="n">
        <v>71</v>
      </c>
      <c r="G730" s="31" t="s">
        <v>215</v>
      </c>
      <c r="H730" s="31" t="n">
        <v>1</v>
      </c>
      <c r="I730" s="31" t="s">
        <v>572</v>
      </c>
      <c r="J730" s="29"/>
      <c r="K730" s="29" t="s">
        <v>4685</v>
      </c>
      <c r="L730" s="32" t="n">
        <v>35</v>
      </c>
      <c r="M730" s="33" t="s">
        <v>4686</v>
      </c>
      <c r="N730" s="34" t="n">
        <v>75008</v>
      </c>
      <c r="O730" s="35" t="s">
        <v>55</v>
      </c>
      <c r="P730" s="36" t="s">
        <v>4687</v>
      </c>
      <c r="Q730" s="36" t="n">
        <v>2</v>
      </c>
      <c r="R730" s="32" t="n">
        <v>106</v>
      </c>
      <c r="S730" s="32" t="n">
        <v>2</v>
      </c>
      <c r="T730" s="32"/>
      <c r="U730" s="32" t="n">
        <v>3</v>
      </c>
      <c r="V730" s="37"/>
      <c r="W730" s="32" t="n">
        <v>3</v>
      </c>
      <c r="X730" s="34"/>
      <c r="Y730" s="34" t="n">
        <v>2</v>
      </c>
      <c r="Z730" s="32"/>
      <c r="AA730" s="32" t="s">
        <v>4688</v>
      </c>
      <c r="AB730" s="32" t="s">
        <v>4689</v>
      </c>
      <c r="AC730" s="38" t="str">
        <f aca="false">HYPERLINK("https://biocodex6--c.vf.force.com/0014L00000KFzaNQAT", "ROBIN MICHEL")</f>
        <v>ROBIN MICHEL</v>
      </c>
      <c r="AD730" s="38" t="str">
        <f aca="false">HYPERLINK("https://annuairesante.ameli.fr/professionnels-de-sante/recherche/fiche-detaillee-B7c1lzAzNje1.html", "ROBIN MICHEL")</f>
        <v>ROBIN MICHEL</v>
      </c>
      <c r="AE730" s="39" t="n">
        <v>45351.4375</v>
      </c>
      <c r="AF730" s="40"/>
      <c r="AG730" s="41"/>
      <c r="AH730" s="32"/>
      <c r="AI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XEY730" s="27"/>
      <c r="XEZ730" s="27"/>
      <c r="XFA730" s="27"/>
      <c r="XFB730" s="27"/>
      <c r="XFC730" s="27"/>
      <c r="XFD730" s="27"/>
    </row>
    <row r="731" s="42" customFormat="true" ht="14.15" hidden="false" customHeight="true" outlineLevel="0" collapsed="false">
      <c r="A731" s="28" t="s">
        <v>4690</v>
      </c>
      <c r="B731" s="29" t="s">
        <v>4691</v>
      </c>
      <c r="C731" s="29" t="s">
        <v>4692</v>
      </c>
      <c r="D731" s="30" t="s">
        <v>112</v>
      </c>
      <c r="E731" s="31"/>
      <c r="F731" s="32" t="n">
        <v>55</v>
      </c>
      <c r="G731" s="31"/>
      <c r="H731" s="31" t="n">
        <v>1</v>
      </c>
      <c r="I731" s="31" t="s">
        <v>77</v>
      </c>
      <c r="J731" s="29" t="s">
        <v>246</v>
      </c>
      <c r="K731" s="29" t="s">
        <v>247</v>
      </c>
      <c r="L731" s="32" t="n">
        <v>36</v>
      </c>
      <c r="M731" s="33" t="s">
        <v>248</v>
      </c>
      <c r="N731" s="34" t="n">
        <v>92200</v>
      </c>
      <c r="O731" s="35" t="s">
        <v>81</v>
      </c>
      <c r="P731" s="36" t="s">
        <v>365</v>
      </c>
      <c r="Q731" s="36" t="n">
        <v>49</v>
      </c>
      <c r="R731" s="32" t="n">
        <v>106</v>
      </c>
      <c r="S731" s="32" t="n">
        <v>2</v>
      </c>
      <c r="T731" s="32"/>
      <c r="U731" s="32"/>
      <c r="V731" s="37"/>
      <c r="W731" s="32"/>
      <c r="X731" s="34"/>
      <c r="Y731" s="34"/>
      <c r="Z731" s="32"/>
      <c r="AA731" s="32" t="s">
        <v>4693</v>
      </c>
      <c r="AB731" s="32"/>
      <c r="AC731" s="38" t="str">
        <f aca="false">HYPERLINK("https://biocodex6--c.vf.force.com/0014L00000KFO8wQAH", "CHERNAI MOHAMED")</f>
        <v>CHERNAI MOHAMED</v>
      </c>
      <c r="AD731" s="38"/>
      <c r="AE731" s="39"/>
      <c r="AF731" s="40"/>
      <c r="AG731" s="41"/>
      <c r="AH731" s="32"/>
      <c r="AI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XEY731" s="27"/>
      <c r="XEZ731" s="27"/>
      <c r="XFA731" s="27"/>
      <c r="XFB731" s="27"/>
      <c r="XFC731" s="27"/>
      <c r="XFD731" s="27"/>
    </row>
    <row r="732" s="42" customFormat="true" ht="14.15" hidden="false" customHeight="true" outlineLevel="0" collapsed="false">
      <c r="A732" s="28" t="s">
        <v>4694</v>
      </c>
      <c r="B732" s="29" t="s">
        <v>970</v>
      </c>
      <c r="C732" s="29" t="s">
        <v>4695</v>
      </c>
      <c r="D732" s="30" t="s">
        <v>112</v>
      </c>
      <c r="E732" s="31"/>
      <c r="F732" s="32" t="n">
        <v>36</v>
      </c>
      <c r="G732" s="31" t="s">
        <v>215</v>
      </c>
      <c r="H732" s="31" t="n">
        <v>1</v>
      </c>
      <c r="I732" s="31" t="s">
        <v>295</v>
      </c>
      <c r="J732" s="29"/>
      <c r="K732" s="29" t="s">
        <v>3509</v>
      </c>
      <c r="L732" s="32" t="n">
        <v>75</v>
      </c>
      <c r="M732" s="33" t="s">
        <v>3510</v>
      </c>
      <c r="N732" s="34" t="n">
        <v>92300</v>
      </c>
      <c r="O732" s="35" t="s">
        <v>298</v>
      </c>
      <c r="P732" s="36" t="s">
        <v>4696</v>
      </c>
      <c r="Q732" s="36" t="n">
        <v>2</v>
      </c>
      <c r="R732" s="32" t="n">
        <v>102</v>
      </c>
      <c r="S732" s="32" t="n">
        <v>2</v>
      </c>
      <c r="T732" s="32"/>
      <c r="U732" s="32"/>
      <c r="V732" s="37"/>
      <c r="W732" s="32"/>
      <c r="X732" s="34"/>
      <c r="Y732" s="34"/>
      <c r="Z732" s="36"/>
      <c r="AA732" s="32" t="s">
        <v>4697</v>
      </c>
      <c r="AB732" s="32" t="s">
        <v>4698</v>
      </c>
      <c r="AC732" s="38" t="str">
        <f aca="false">HYPERLINK("https://biocodex6--c.vf.force.com/0014L00000KG9SoQAL", "ABERCHIH DAHMANE JIHANE")</f>
        <v>ABERCHIH DAHMANE JIHANE</v>
      </c>
      <c r="AD732" s="38" t="str">
        <f aca="false">HYPERLINK("https://annuairesante.ameli.fr/professionnels-de-sante/recherche/fiche-detaillee-CbA1kjE1OTa6.html", "ABERCHIH DAHMANE JIHANE")</f>
        <v>ABERCHIH DAHMANE JIHANE</v>
      </c>
      <c r="AE732" s="39"/>
      <c r="AF732" s="40"/>
      <c r="AG732" s="41"/>
      <c r="AH732" s="32" t="s">
        <v>179</v>
      </c>
      <c r="AI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XEY732" s="27"/>
      <c r="XEZ732" s="27"/>
      <c r="XFA732" s="27"/>
      <c r="XFB732" s="27"/>
      <c r="XFC732" s="27"/>
      <c r="XFD732" s="27"/>
    </row>
    <row r="733" s="42" customFormat="true" ht="14.15" hidden="false" customHeight="true" outlineLevel="0" collapsed="false">
      <c r="A733" s="28" t="s">
        <v>4699</v>
      </c>
      <c r="B733" s="29" t="s">
        <v>4700</v>
      </c>
      <c r="C733" s="29" t="s">
        <v>4701</v>
      </c>
      <c r="D733" s="30" t="s">
        <v>50</v>
      </c>
      <c r="E733" s="31"/>
      <c r="F733" s="32" t="n">
        <v>39</v>
      </c>
      <c r="G733" s="31"/>
      <c r="H733" s="31" t="n">
        <v>1</v>
      </c>
      <c r="I733" s="31" t="s">
        <v>173</v>
      </c>
      <c r="J733" s="29"/>
      <c r="K733" s="29" t="s">
        <v>3566</v>
      </c>
      <c r="L733" s="32" t="n">
        <v>50</v>
      </c>
      <c r="M733" s="33" t="s">
        <v>175</v>
      </c>
      <c r="N733" s="34" t="n">
        <v>75016</v>
      </c>
      <c r="O733" s="35" t="s">
        <v>55</v>
      </c>
      <c r="P733" s="36" t="s">
        <v>3567</v>
      </c>
      <c r="Q733" s="36" t="n">
        <v>5</v>
      </c>
      <c r="R733" s="32" t="n">
        <v>100</v>
      </c>
      <c r="S733" s="32" t="n">
        <v>2</v>
      </c>
      <c r="T733" s="32"/>
      <c r="U733" s="32"/>
      <c r="V733" s="37"/>
      <c r="W733" s="32"/>
      <c r="X733" s="34"/>
      <c r="Y733" s="34"/>
      <c r="Z733" s="32"/>
      <c r="AA733" s="32" t="s">
        <v>4702</v>
      </c>
      <c r="AB733" s="32"/>
      <c r="AC733" s="38" t="str">
        <f aca="false">HYPERLINK("https://biocodex6--c.vf.force.com/0014L00000KG9EqQAL", "SHANOUDA VIJAYAKANTHAN CHRISTINA")</f>
        <v>SHANOUDA VIJAYAKANTHAN CHRISTINA</v>
      </c>
      <c r="AD733" s="38"/>
      <c r="AE733" s="39"/>
      <c r="AF733" s="40"/>
      <c r="AG733" s="41"/>
      <c r="AH733" s="32"/>
      <c r="AI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XEY733" s="27"/>
      <c r="XEZ733" s="27"/>
      <c r="XFA733" s="27"/>
      <c r="XFB733" s="27"/>
      <c r="XFC733" s="27"/>
      <c r="XFD733" s="27"/>
    </row>
    <row r="734" s="42" customFormat="true" ht="14.15" hidden="false" customHeight="true" outlineLevel="0" collapsed="false">
      <c r="A734" s="28" t="s">
        <v>4703</v>
      </c>
      <c r="B734" s="29" t="s">
        <v>231</v>
      </c>
      <c r="C734" s="29" t="s">
        <v>4704</v>
      </c>
      <c r="D734" s="30" t="s">
        <v>112</v>
      </c>
      <c r="E734" s="31"/>
      <c r="F734" s="32"/>
      <c r="G734" s="31"/>
      <c r="H734" s="31" t="n">
        <v>1</v>
      </c>
      <c r="I734" s="31" t="s">
        <v>77</v>
      </c>
      <c r="J734" s="29" t="s">
        <v>246</v>
      </c>
      <c r="K734" s="29" t="s">
        <v>247</v>
      </c>
      <c r="L734" s="32" t="n">
        <v>36</v>
      </c>
      <c r="M734" s="33" t="s">
        <v>248</v>
      </c>
      <c r="N734" s="34" t="n">
        <v>92200</v>
      </c>
      <c r="O734" s="35" t="s">
        <v>81</v>
      </c>
      <c r="P734" s="36" t="s">
        <v>365</v>
      </c>
      <c r="Q734" s="36" t="n">
        <v>49</v>
      </c>
      <c r="R734" s="32" t="n">
        <v>100</v>
      </c>
      <c r="S734" s="32" t="n">
        <v>2</v>
      </c>
      <c r="T734" s="32"/>
      <c r="U734" s="32"/>
      <c r="V734" s="37"/>
      <c r="W734" s="32"/>
      <c r="X734" s="34"/>
      <c r="Y734" s="34"/>
      <c r="Z734" s="36"/>
      <c r="AA734" s="32" t="s">
        <v>4705</v>
      </c>
      <c r="AB734" s="32"/>
      <c r="AC734" s="38" t="str">
        <f aca="false">HYPERLINK("https://biocodex6--c.vf.force.com/0014L00000KG2c7QAD", "FICHTER ANNE")</f>
        <v>FICHTER ANNE</v>
      </c>
      <c r="AD734" s="38"/>
      <c r="AE734" s="39"/>
      <c r="AF734" s="40"/>
      <c r="AG734" s="41"/>
      <c r="AH734" s="32" t="s">
        <v>179</v>
      </c>
      <c r="AI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XEY734" s="27"/>
      <c r="XEZ734" s="27"/>
      <c r="XFA734" s="27"/>
      <c r="XFB734" s="27"/>
      <c r="XFC734" s="27"/>
      <c r="XFD734" s="27"/>
    </row>
    <row r="735" s="42" customFormat="true" ht="14.15" hidden="false" customHeight="true" outlineLevel="0" collapsed="false">
      <c r="A735" s="28" t="s">
        <v>4706</v>
      </c>
      <c r="B735" s="29" t="s">
        <v>4707</v>
      </c>
      <c r="C735" s="29" t="s">
        <v>4708</v>
      </c>
      <c r="D735" s="30" t="s">
        <v>244</v>
      </c>
      <c r="E735" s="30" t="s">
        <v>741</v>
      </c>
      <c r="F735" s="32" t="n">
        <v>72</v>
      </c>
      <c r="G735" s="31" t="s">
        <v>215</v>
      </c>
      <c r="H735" s="31" t="n">
        <v>1</v>
      </c>
      <c r="I735" s="31" t="s">
        <v>197</v>
      </c>
      <c r="J735" s="29"/>
      <c r="K735" s="29" t="s">
        <v>1177</v>
      </c>
      <c r="L735" s="32" t="n">
        <v>28</v>
      </c>
      <c r="M735" s="33" t="s">
        <v>1178</v>
      </c>
      <c r="N735" s="34" t="n">
        <v>75017</v>
      </c>
      <c r="O735" s="35" t="s">
        <v>55</v>
      </c>
      <c r="P735" s="36" t="s">
        <v>4709</v>
      </c>
      <c r="Q735" s="36" t="n">
        <v>3</v>
      </c>
      <c r="R735" s="32" t="n">
        <v>97</v>
      </c>
      <c r="S735" s="32" t="n">
        <v>2</v>
      </c>
      <c r="T735" s="32"/>
      <c r="U735" s="32"/>
      <c r="V735" s="37"/>
      <c r="W735" s="32" t="n">
        <v>3</v>
      </c>
      <c r="X735" s="34"/>
      <c r="Y735" s="34" t="n">
        <v>1</v>
      </c>
      <c r="Z735" s="32"/>
      <c r="AA735" s="32" t="s">
        <v>4710</v>
      </c>
      <c r="AB735" s="32" t="s">
        <v>4711</v>
      </c>
      <c r="AC735" s="38" t="str">
        <f aca="false">HYPERLINK("https://biocodex6--c.vf.force.com/0014L00000KFW3SQAX", "PEYRON CHAMOUN JOELLE")</f>
        <v>PEYRON CHAMOUN JOELLE</v>
      </c>
      <c r="AD735" s="38" t="str">
        <f aca="false">HYPERLINK("https://annuairesante.ameli.fr/professionnels-de-sante/recherche/fiche-detaillee-B7c1lDU5ODq7.html", "PEYRON CHAMOUN JOELLE")</f>
        <v>PEYRON CHAMOUN JOELLE</v>
      </c>
      <c r="AE735" s="39"/>
      <c r="AF735" s="40"/>
      <c r="AG735" s="41"/>
      <c r="AH735" s="32"/>
      <c r="AI735" s="32"/>
      <c r="AL735" s="32"/>
      <c r="AM735" s="32"/>
      <c r="AN735" s="32"/>
      <c r="AO735" s="43" t="s">
        <v>4712</v>
      </c>
      <c r="AP735" s="32"/>
      <c r="AQ735" s="43" t="s">
        <v>4713</v>
      </c>
      <c r="AR735" s="43" t="s">
        <v>4714</v>
      </c>
      <c r="AS735" s="32"/>
      <c r="AT735" s="43" t="s">
        <v>1444</v>
      </c>
      <c r="AU735" s="32"/>
      <c r="XEY735" s="27"/>
      <c r="XEZ735" s="27"/>
      <c r="XFA735" s="27"/>
      <c r="XFB735" s="27"/>
      <c r="XFC735" s="27"/>
      <c r="XFD735" s="27"/>
    </row>
    <row r="736" s="42" customFormat="true" ht="14.15" hidden="false" customHeight="true" outlineLevel="0" collapsed="false">
      <c r="A736" s="28" t="s">
        <v>4715</v>
      </c>
      <c r="B736" s="29" t="s">
        <v>2496</v>
      </c>
      <c r="C736" s="29" t="s">
        <v>4716</v>
      </c>
      <c r="D736" s="30" t="s">
        <v>112</v>
      </c>
      <c r="E736" s="31"/>
      <c r="F736" s="32" t="n">
        <v>56</v>
      </c>
      <c r="G736" s="31"/>
      <c r="H736" s="31" t="n">
        <v>1</v>
      </c>
      <c r="I736" s="31" t="s">
        <v>387</v>
      </c>
      <c r="J736" s="29" t="s">
        <v>2266</v>
      </c>
      <c r="K736" s="29" t="s">
        <v>2267</v>
      </c>
      <c r="L736" s="32" t="n">
        <v>14</v>
      </c>
      <c r="M736" s="33" t="s">
        <v>2268</v>
      </c>
      <c r="N736" s="34" t="n">
        <v>75016</v>
      </c>
      <c r="O736" s="35" t="s">
        <v>55</v>
      </c>
      <c r="P736" s="36" t="s">
        <v>4717</v>
      </c>
      <c r="Q736" s="36" t="n">
        <v>6</v>
      </c>
      <c r="R736" s="32" t="n">
        <v>96</v>
      </c>
      <c r="S736" s="32" t="n">
        <v>2</v>
      </c>
      <c r="T736" s="32"/>
      <c r="U736" s="32"/>
      <c r="V736" s="37"/>
      <c r="W736" s="32"/>
      <c r="X736" s="34"/>
      <c r="Y736" s="34"/>
      <c r="Z736" s="32"/>
      <c r="AA736" s="32" t="s">
        <v>4718</v>
      </c>
      <c r="AB736" s="32"/>
      <c r="AC736" s="38" t="str">
        <f aca="false">HYPERLINK("https://biocodex6--c.vf.force.com/0014L00000kTr6XQAS", "STHENEUR CHANTAL")</f>
        <v>STHENEUR CHANTAL</v>
      </c>
      <c r="AD736" s="38"/>
      <c r="AE736" s="39"/>
      <c r="AF736" s="40"/>
      <c r="AG736" s="41"/>
      <c r="AH736" s="32"/>
      <c r="AI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XEY736" s="27"/>
      <c r="XEZ736" s="27"/>
      <c r="XFA736" s="27"/>
      <c r="XFB736" s="27"/>
      <c r="XFC736" s="27"/>
      <c r="XFD736" s="27"/>
    </row>
    <row r="737" s="42" customFormat="true" ht="14.15" hidden="false" customHeight="true" outlineLevel="0" collapsed="false">
      <c r="A737" s="28" t="s">
        <v>4719</v>
      </c>
      <c r="B737" s="29" t="s">
        <v>3304</v>
      </c>
      <c r="C737" s="29" t="s">
        <v>4720</v>
      </c>
      <c r="D737" s="30" t="s">
        <v>244</v>
      </c>
      <c r="E737" s="30" t="s">
        <v>741</v>
      </c>
      <c r="F737" s="32" t="n">
        <v>70</v>
      </c>
      <c r="G737" s="31" t="s">
        <v>215</v>
      </c>
      <c r="H737" s="31" t="n">
        <v>1</v>
      </c>
      <c r="I737" s="31" t="s">
        <v>295</v>
      </c>
      <c r="J737" s="29"/>
      <c r="K737" s="29" t="s">
        <v>4721</v>
      </c>
      <c r="L737" s="32" t="n">
        <v>5</v>
      </c>
      <c r="M737" s="33" t="s">
        <v>4722</v>
      </c>
      <c r="N737" s="34" t="n">
        <v>92300</v>
      </c>
      <c r="O737" s="35" t="s">
        <v>298</v>
      </c>
      <c r="P737" s="36" t="s">
        <v>4723</v>
      </c>
      <c r="Q737" s="36" t="n">
        <v>1</v>
      </c>
      <c r="R737" s="32" t="n">
        <v>96</v>
      </c>
      <c r="S737" s="32" t="n">
        <v>2</v>
      </c>
      <c r="T737" s="32"/>
      <c r="U737" s="32"/>
      <c r="V737" s="37"/>
      <c r="W737" s="32"/>
      <c r="X737" s="34"/>
      <c r="Y737" s="34"/>
      <c r="Z737" s="32"/>
      <c r="AA737" s="32" t="s">
        <v>4724</v>
      </c>
      <c r="AB737" s="32" t="s">
        <v>4725</v>
      </c>
      <c r="AC737" s="38" t="str">
        <f aca="false">HYPERLINK("https://biocodex6--c.vf.force.com/0014L00000KFVutQAH", "CHABBAL SYLVIE")</f>
        <v>CHABBAL SYLVIE</v>
      </c>
      <c r="AD737" s="38" t="str">
        <f aca="false">HYPERLINK("https://annuairesante.ameli.fr/professionnels-de-sante/recherche/fiche-detaillee-CbA1kzA2ODaz.html", "CHABBAL SYLVIE")</f>
        <v>CHABBAL SYLVIE</v>
      </c>
      <c r="AE737" s="39"/>
      <c r="AF737" s="40"/>
      <c r="AG737" s="41"/>
      <c r="AH737" s="32"/>
      <c r="AI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XEY737" s="27"/>
      <c r="XEZ737" s="27"/>
      <c r="XFA737" s="27"/>
      <c r="XFB737" s="27"/>
      <c r="XFC737" s="27"/>
      <c r="XFD737" s="27"/>
    </row>
    <row r="738" s="42" customFormat="true" ht="14.15" hidden="false" customHeight="true" outlineLevel="0" collapsed="false">
      <c r="A738" s="28" t="s">
        <v>4726</v>
      </c>
      <c r="B738" s="29" t="s">
        <v>652</v>
      </c>
      <c r="C738" s="29" t="s">
        <v>4727</v>
      </c>
      <c r="D738" s="30" t="s">
        <v>50</v>
      </c>
      <c r="E738" s="31"/>
      <c r="F738" s="32" t="n">
        <v>51</v>
      </c>
      <c r="G738" s="31"/>
      <c r="H738" s="31" t="n">
        <v>2</v>
      </c>
      <c r="I738" s="31" t="s">
        <v>77</v>
      </c>
      <c r="J738" s="29"/>
      <c r="K738" s="29" t="s">
        <v>4728</v>
      </c>
      <c r="L738" s="32" t="n">
        <v>160</v>
      </c>
      <c r="M738" s="33" t="s">
        <v>379</v>
      </c>
      <c r="N738" s="34" t="n">
        <v>92200</v>
      </c>
      <c r="O738" s="35" t="s">
        <v>81</v>
      </c>
      <c r="P738" s="36" t="s">
        <v>4729</v>
      </c>
      <c r="Q738" s="36" t="n">
        <v>2</v>
      </c>
      <c r="R738" s="32" t="n">
        <v>95</v>
      </c>
      <c r="S738" s="32" t="n">
        <v>2</v>
      </c>
      <c r="T738" s="32"/>
      <c r="U738" s="32"/>
      <c r="V738" s="37"/>
      <c r="W738" s="32"/>
      <c r="X738" s="34"/>
      <c r="Y738" s="34"/>
      <c r="Z738" s="32"/>
      <c r="AA738" s="32" t="s">
        <v>4730</v>
      </c>
      <c r="AB738" s="32"/>
      <c r="AC738" s="38" t="str">
        <f aca="false">HYPERLINK("https://biocodex6--c.vf.force.com/0014L00000KFsl2QAD", "MAURETTE SOPHIE")</f>
        <v>MAURETTE SOPHIE</v>
      </c>
      <c r="AD738" s="38"/>
      <c r="AE738" s="39"/>
      <c r="AF738" s="40"/>
      <c r="AG738" s="41"/>
      <c r="AH738" s="32"/>
      <c r="AI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XEY738" s="27"/>
      <c r="XEZ738" s="27"/>
      <c r="XFA738" s="27"/>
      <c r="XFB738" s="27"/>
      <c r="XFC738" s="27"/>
      <c r="XFD738" s="27"/>
    </row>
    <row r="739" s="42" customFormat="true" ht="14.15" hidden="false" customHeight="true" outlineLevel="0" collapsed="false">
      <c r="A739" s="28" t="s">
        <v>4731</v>
      </c>
      <c r="B739" s="29" t="s">
        <v>231</v>
      </c>
      <c r="C739" s="29" t="s">
        <v>4732</v>
      </c>
      <c r="D739" s="30" t="s">
        <v>244</v>
      </c>
      <c r="E739" s="30" t="s">
        <v>245</v>
      </c>
      <c r="F739" s="32" t="n">
        <v>70</v>
      </c>
      <c r="G739" s="31"/>
      <c r="H739" s="31" t="n">
        <v>1</v>
      </c>
      <c r="I739" s="31" t="s">
        <v>51</v>
      </c>
      <c r="J739" s="29" t="s">
        <v>850</v>
      </c>
      <c r="K739" s="29" t="s">
        <v>851</v>
      </c>
      <c r="L739" s="32" t="n">
        <v>178</v>
      </c>
      <c r="M739" s="33" t="s">
        <v>852</v>
      </c>
      <c r="N739" s="34" t="n">
        <v>75015</v>
      </c>
      <c r="O739" s="35" t="s">
        <v>55</v>
      </c>
      <c r="P739" s="36" t="s">
        <v>853</v>
      </c>
      <c r="Q739" s="36" t="n">
        <v>24</v>
      </c>
      <c r="R739" s="32" t="n">
        <v>93</v>
      </c>
      <c r="S739" s="32" t="n">
        <v>2</v>
      </c>
      <c r="T739" s="32"/>
      <c r="U739" s="32"/>
      <c r="V739" s="37"/>
      <c r="W739" s="32" t="n">
        <v>3</v>
      </c>
      <c r="X739" s="34"/>
      <c r="Y739" s="34" t="n">
        <v>1</v>
      </c>
      <c r="Z739" s="36"/>
      <c r="AA739" s="32" t="s">
        <v>4733</v>
      </c>
      <c r="AB739" s="44"/>
      <c r="AC739" s="38" t="str">
        <f aca="false">HYPERLINK("https://biocodex6--c.vf.force.com/0014L00000KFu1EQAT", "ODIER ANNE")</f>
        <v>ODIER ANNE</v>
      </c>
      <c r="AD739" s="38"/>
      <c r="AE739" s="39" t="n">
        <v>45239.5</v>
      </c>
      <c r="AF739" s="40"/>
      <c r="AG739" s="41"/>
      <c r="AH739" s="32" t="s">
        <v>179</v>
      </c>
      <c r="AI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XEY739" s="27"/>
      <c r="XEZ739" s="27"/>
      <c r="XFA739" s="27"/>
      <c r="XFB739" s="27"/>
      <c r="XFC739" s="27"/>
      <c r="XFD739" s="27"/>
    </row>
    <row r="740" s="42" customFormat="true" ht="14.15" hidden="false" customHeight="true" outlineLevel="0" collapsed="false">
      <c r="A740" s="28" t="s">
        <v>4734</v>
      </c>
      <c r="B740" s="29" t="s">
        <v>4735</v>
      </c>
      <c r="C740" s="29" t="s">
        <v>4736</v>
      </c>
      <c r="D740" s="30" t="s">
        <v>244</v>
      </c>
      <c r="E740" s="30" t="s">
        <v>245</v>
      </c>
      <c r="F740" s="32" t="n">
        <v>65</v>
      </c>
      <c r="G740" s="31" t="s">
        <v>215</v>
      </c>
      <c r="H740" s="31" t="n">
        <v>2</v>
      </c>
      <c r="I740" s="31" t="s">
        <v>99</v>
      </c>
      <c r="J740" s="29"/>
      <c r="K740" s="29" t="s">
        <v>4737</v>
      </c>
      <c r="L740" s="32" t="n">
        <v>26</v>
      </c>
      <c r="M740" s="33" t="s">
        <v>3677</v>
      </c>
      <c r="N740" s="34" t="n">
        <v>75015</v>
      </c>
      <c r="O740" s="35" t="s">
        <v>55</v>
      </c>
      <c r="P740" s="36" t="s">
        <v>4738</v>
      </c>
      <c r="Q740" s="36" t="n">
        <v>2</v>
      </c>
      <c r="R740" s="32" t="n">
        <v>93</v>
      </c>
      <c r="S740" s="32" t="n">
        <v>2</v>
      </c>
      <c r="T740" s="32"/>
      <c r="U740" s="32"/>
      <c r="V740" s="37" t="n">
        <v>3</v>
      </c>
      <c r="W740" s="32" t="n">
        <v>3</v>
      </c>
      <c r="X740" s="34" t="n">
        <v>1</v>
      </c>
      <c r="Y740" s="34" t="n">
        <v>1</v>
      </c>
      <c r="Z740" s="36" t="s">
        <v>4739</v>
      </c>
      <c r="AA740" s="32" t="s">
        <v>4740</v>
      </c>
      <c r="AB740" s="44" t="s">
        <v>4741</v>
      </c>
      <c r="AC740" s="38" t="str">
        <f aca="false">HYPERLINK("https://biocodex6--c.vf.force.com/0014L00000KFQ40QAH", "MAYRHOFER GOLI")</f>
        <v>MAYRHOFER GOLI</v>
      </c>
      <c r="AD740" s="38" t="str">
        <f aca="false">HYPERLINK("https://annuairesante.ameli.fr/professionnels-de-sante/recherche/fiche-detaillee-B7c1ljs1OTqy.html", "MAYRHOFER GOLI")</f>
        <v>MAYRHOFER GOLI</v>
      </c>
      <c r="AE740" s="39" t="n">
        <v>45119.6666666667</v>
      </c>
      <c r="AF740" s="40"/>
      <c r="AG740" s="41"/>
      <c r="AH740" s="32" t="s">
        <v>179</v>
      </c>
      <c r="AI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XEY740" s="27"/>
      <c r="XEZ740" s="27"/>
      <c r="XFA740" s="27"/>
      <c r="XFB740" s="27"/>
      <c r="XFC740" s="27"/>
      <c r="XFD740" s="27"/>
    </row>
    <row r="741" s="42" customFormat="true" ht="14.15" hidden="false" customHeight="true" outlineLevel="0" collapsed="false">
      <c r="A741" s="28" t="s">
        <v>4742</v>
      </c>
      <c r="B741" s="29" t="s">
        <v>1584</v>
      </c>
      <c r="C741" s="29" t="s">
        <v>4743</v>
      </c>
      <c r="D741" s="30" t="s">
        <v>50</v>
      </c>
      <c r="E741" s="31"/>
      <c r="F741" s="32" t="n">
        <v>57</v>
      </c>
      <c r="G741" s="31"/>
      <c r="H741" s="31" t="n">
        <v>1</v>
      </c>
      <c r="I741" s="31" t="s">
        <v>51</v>
      </c>
      <c r="J741" s="29"/>
      <c r="K741" s="29" t="s">
        <v>480</v>
      </c>
      <c r="L741" s="32" t="n">
        <v>62</v>
      </c>
      <c r="M741" s="33" t="s">
        <v>481</v>
      </c>
      <c r="N741" s="34" t="n">
        <v>75015</v>
      </c>
      <c r="O741" s="35" t="s">
        <v>55</v>
      </c>
      <c r="P741" s="36" t="s">
        <v>482</v>
      </c>
      <c r="Q741" s="36" t="n">
        <v>2</v>
      </c>
      <c r="R741" s="32" t="n">
        <v>93</v>
      </c>
      <c r="S741" s="32" t="n">
        <v>2</v>
      </c>
      <c r="T741" s="32"/>
      <c r="U741" s="32"/>
      <c r="V741" s="37"/>
      <c r="W741" s="32"/>
      <c r="X741" s="34"/>
      <c r="Y741" s="34" t="n">
        <v>1</v>
      </c>
      <c r="Z741" s="32"/>
      <c r="AA741" s="32" t="s">
        <v>4744</v>
      </c>
      <c r="AB741" s="32"/>
      <c r="AC741" s="38" t="str">
        <f aca="false">HYPERLINK("https://biocodex6--c.vf.force.com/0014L00000KG5ClQAL", "VERRIER LAURENCE")</f>
        <v>VERRIER LAURENCE</v>
      </c>
      <c r="AD741" s="38"/>
      <c r="AE741" s="39"/>
      <c r="AF741" s="40"/>
      <c r="AG741" s="41"/>
      <c r="AH741" s="32"/>
      <c r="AI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XEY741" s="27"/>
      <c r="XEZ741" s="27"/>
      <c r="XFA741" s="27"/>
      <c r="XFB741" s="27"/>
      <c r="XFC741" s="27"/>
      <c r="XFD741" s="27"/>
    </row>
    <row r="742" s="42" customFormat="true" ht="14.15" hidden="false" customHeight="true" outlineLevel="0" collapsed="false">
      <c r="A742" s="28" t="s">
        <v>4745</v>
      </c>
      <c r="B742" s="29" t="s">
        <v>4746</v>
      </c>
      <c r="C742" s="29" t="s">
        <v>4747</v>
      </c>
      <c r="D742" s="30" t="s">
        <v>112</v>
      </c>
      <c r="E742" s="31"/>
      <c r="F742" s="32" t="n">
        <v>53</v>
      </c>
      <c r="G742" s="31"/>
      <c r="H742" s="31" t="n">
        <v>2</v>
      </c>
      <c r="I742" s="31" t="s">
        <v>51</v>
      </c>
      <c r="J742" s="29" t="s">
        <v>52</v>
      </c>
      <c r="K742" s="29" t="s">
        <v>53</v>
      </c>
      <c r="L742" s="32" t="n">
        <v>149</v>
      </c>
      <c r="M742" s="33" t="s">
        <v>54</v>
      </c>
      <c r="N742" s="34" t="n">
        <v>75015</v>
      </c>
      <c r="O742" s="35" t="s">
        <v>55</v>
      </c>
      <c r="P742" s="36" t="s">
        <v>1815</v>
      </c>
      <c r="Q742" s="36" t="n">
        <v>236</v>
      </c>
      <c r="R742" s="32" t="n">
        <v>88</v>
      </c>
      <c r="S742" s="32" t="n">
        <v>2</v>
      </c>
      <c r="T742" s="32"/>
      <c r="U742" s="32"/>
      <c r="V742" s="37"/>
      <c r="W742" s="32"/>
      <c r="X742" s="34"/>
      <c r="Y742" s="34"/>
      <c r="Z742" s="32"/>
      <c r="AA742" s="32" t="s">
        <v>4748</v>
      </c>
      <c r="AB742" s="32"/>
      <c r="AC742" s="38" t="str">
        <f aca="false">HYPERLINK("https://biocodex6--c.vf.force.com/0014L00000KFzHhQAL", "RIGOURD VIRGINIE")</f>
        <v>RIGOURD VIRGINIE</v>
      </c>
      <c r="AD742" s="38"/>
      <c r="AE742" s="39"/>
      <c r="AF742" s="40"/>
      <c r="AG742" s="41"/>
      <c r="AH742" s="32"/>
      <c r="AI742" s="32"/>
      <c r="AJ742" s="42" t="s">
        <v>1817</v>
      </c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XEY742" s="27"/>
      <c r="XEZ742" s="27"/>
      <c r="XFA742" s="27"/>
      <c r="XFB742" s="27"/>
      <c r="XFC742" s="27"/>
      <c r="XFD742" s="27"/>
    </row>
    <row r="743" s="42" customFormat="true" ht="14.15" hidden="false" customHeight="true" outlineLevel="0" collapsed="false">
      <c r="A743" s="28" t="s">
        <v>4749</v>
      </c>
      <c r="B743" s="29" t="s">
        <v>652</v>
      </c>
      <c r="C743" s="29" t="s">
        <v>4750</v>
      </c>
      <c r="D743" s="30" t="s">
        <v>75</v>
      </c>
      <c r="E743" s="31"/>
      <c r="F743" s="32" t="n">
        <v>41</v>
      </c>
      <c r="G743" s="31" t="s">
        <v>215</v>
      </c>
      <c r="H743" s="31" t="n">
        <v>1</v>
      </c>
      <c r="I743" s="31" t="s">
        <v>173</v>
      </c>
      <c r="J743" s="29"/>
      <c r="K743" s="29" t="s">
        <v>4751</v>
      </c>
      <c r="L743" s="32" t="n">
        <v>108</v>
      </c>
      <c r="M743" s="33" t="s">
        <v>175</v>
      </c>
      <c r="N743" s="34" t="n">
        <v>75016</v>
      </c>
      <c r="O743" s="35" t="s">
        <v>55</v>
      </c>
      <c r="P743" s="36"/>
      <c r="Q743" s="36" t="n">
        <v>3</v>
      </c>
      <c r="R743" s="32" t="n">
        <v>88</v>
      </c>
      <c r="S743" s="32" t="n">
        <v>2</v>
      </c>
      <c r="T743" s="32"/>
      <c r="U743" s="32"/>
      <c r="V743" s="37" t="n">
        <v>2</v>
      </c>
      <c r="W743" s="32"/>
      <c r="X743" s="34"/>
      <c r="Y743" s="34"/>
      <c r="Z743" s="32"/>
      <c r="AA743" s="32" t="s">
        <v>4752</v>
      </c>
      <c r="AB743" s="32" t="s">
        <v>4753</v>
      </c>
      <c r="AC743" s="38" t="str">
        <f aca="false">HYPERLINK("https://biocodex6--c.vf.force.com/0014L00000KFM0nQAH", "SCIALOM HAN SOPHIE")</f>
        <v>SCIALOM HAN SOPHIE</v>
      </c>
      <c r="AD743" s="38" t="str">
        <f aca="false">HYPERLINK("https://annuairesante.ameli.fr/professionnels-de-sante/recherche/fiche-detaillee-B7c1mjA3NDq6.html", "SCIALOM HAN SOPHIE")</f>
        <v>SCIALOM HAN SOPHIE</v>
      </c>
      <c r="AE743" s="39"/>
      <c r="AF743" s="40"/>
      <c r="AG743" s="41"/>
      <c r="AH743" s="32"/>
      <c r="AI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XEY743" s="27"/>
      <c r="XEZ743" s="27"/>
      <c r="XFA743" s="27"/>
      <c r="XFB743" s="27"/>
      <c r="XFC743" s="27"/>
      <c r="XFD743" s="27"/>
    </row>
    <row r="744" s="42" customFormat="true" ht="14.15" hidden="false" customHeight="true" outlineLevel="0" collapsed="false">
      <c r="A744" s="28" t="s">
        <v>4754</v>
      </c>
      <c r="B744" s="29" t="s">
        <v>2496</v>
      </c>
      <c r="C744" s="29" t="s">
        <v>4755</v>
      </c>
      <c r="D744" s="30" t="s">
        <v>112</v>
      </c>
      <c r="E744" s="31"/>
      <c r="F744" s="32" t="n">
        <v>69</v>
      </c>
      <c r="G744" s="31"/>
      <c r="H744" s="31" t="n">
        <v>1</v>
      </c>
      <c r="I744" s="31" t="s">
        <v>295</v>
      </c>
      <c r="J744" s="29" t="s">
        <v>489</v>
      </c>
      <c r="K744" s="29" t="s">
        <v>490</v>
      </c>
      <c r="L744" s="32" t="n">
        <v>3</v>
      </c>
      <c r="M744" s="33" t="s">
        <v>491</v>
      </c>
      <c r="N744" s="34" t="n">
        <v>92300</v>
      </c>
      <c r="O744" s="35" t="s">
        <v>298</v>
      </c>
      <c r="P744" s="36" t="s">
        <v>4756</v>
      </c>
      <c r="Q744" s="36" t="n">
        <v>26</v>
      </c>
      <c r="R744" s="32" t="n">
        <v>86</v>
      </c>
      <c r="S744" s="32" t="n">
        <v>2</v>
      </c>
      <c r="T744" s="32"/>
      <c r="U744" s="32"/>
      <c r="V744" s="37"/>
      <c r="W744" s="32"/>
      <c r="X744" s="34"/>
      <c r="Y744" s="34"/>
      <c r="Z744" s="36"/>
      <c r="AA744" s="32" t="s">
        <v>4757</v>
      </c>
      <c r="AB744" s="32"/>
      <c r="AC744" s="38" t="str">
        <f aca="false">HYPERLINK("https://biocodex6--c.vf.force.com/0014L00000KFektQAD", "GAGLIARDONE CHANTAL")</f>
        <v>GAGLIARDONE CHANTAL</v>
      </c>
      <c r="AD744" s="38"/>
      <c r="AE744" s="39"/>
      <c r="AF744" s="40"/>
      <c r="AG744" s="41"/>
      <c r="AH744" s="32" t="s">
        <v>179</v>
      </c>
      <c r="AI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XEY744" s="27"/>
      <c r="XEZ744" s="27"/>
      <c r="XFA744" s="27"/>
      <c r="XFB744" s="27"/>
      <c r="XFC744" s="27"/>
      <c r="XFD744" s="27"/>
    </row>
    <row r="745" s="42" customFormat="true" ht="14.15" hidden="false" customHeight="true" outlineLevel="0" collapsed="false">
      <c r="A745" s="28" t="s">
        <v>4758</v>
      </c>
      <c r="B745" s="29" t="s">
        <v>4759</v>
      </c>
      <c r="C745" s="29" t="s">
        <v>4760</v>
      </c>
      <c r="D745" s="30" t="s">
        <v>112</v>
      </c>
      <c r="E745" s="31"/>
      <c r="F745" s="32" t="n">
        <v>56</v>
      </c>
      <c r="G745" s="31"/>
      <c r="H745" s="31" t="n">
        <v>1</v>
      </c>
      <c r="I745" s="31" t="s">
        <v>295</v>
      </c>
      <c r="J745" s="29" t="s">
        <v>489</v>
      </c>
      <c r="K745" s="29" t="s">
        <v>1183</v>
      </c>
      <c r="L745" s="32" t="n">
        <v>4</v>
      </c>
      <c r="M745" s="33" t="s">
        <v>297</v>
      </c>
      <c r="N745" s="34" t="n">
        <v>92300</v>
      </c>
      <c r="O745" s="35" t="s">
        <v>298</v>
      </c>
      <c r="P745" s="36" t="s">
        <v>1184</v>
      </c>
      <c r="Q745" s="36" t="n">
        <v>27</v>
      </c>
      <c r="R745" s="32" t="n">
        <v>86</v>
      </c>
      <c r="S745" s="32" t="n">
        <v>2</v>
      </c>
      <c r="T745" s="32"/>
      <c r="U745" s="32"/>
      <c r="V745" s="37"/>
      <c r="W745" s="32"/>
      <c r="X745" s="34"/>
      <c r="Y745" s="34"/>
      <c r="Z745" s="32"/>
      <c r="AA745" s="32" t="s">
        <v>4761</v>
      </c>
      <c r="AB745" s="32"/>
      <c r="AC745" s="38" t="str">
        <f aca="false">HYPERLINK("https://biocodex6--c.vf.force.com/0014L00000KFXqOQAX", "DHABI ABDELKADER")</f>
        <v>DHABI ABDELKADER</v>
      </c>
      <c r="AD745" s="38"/>
      <c r="AE745" s="39"/>
      <c r="AF745" s="40"/>
      <c r="AG745" s="41"/>
      <c r="AH745" s="32"/>
      <c r="AI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XEY745" s="27"/>
      <c r="XEZ745" s="27"/>
      <c r="XFA745" s="27"/>
      <c r="XFB745" s="27"/>
      <c r="XFC745" s="27"/>
      <c r="XFD745" s="27"/>
    </row>
    <row r="746" s="42" customFormat="true" ht="14.15" hidden="false" customHeight="true" outlineLevel="0" collapsed="false">
      <c r="A746" s="28" t="s">
        <v>4762</v>
      </c>
      <c r="B746" s="29" t="s">
        <v>4763</v>
      </c>
      <c r="C746" s="29" t="s">
        <v>4764</v>
      </c>
      <c r="D746" s="30" t="s">
        <v>112</v>
      </c>
      <c r="E746" s="31"/>
      <c r="F746" s="32" t="n">
        <v>54</v>
      </c>
      <c r="G746" s="31"/>
      <c r="H746" s="31" t="n">
        <v>3</v>
      </c>
      <c r="I746" s="31" t="s">
        <v>233</v>
      </c>
      <c r="J746" s="29"/>
      <c r="K746" s="29" t="s">
        <v>4765</v>
      </c>
      <c r="L746" s="32" t="n">
        <v>9</v>
      </c>
      <c r="M746" s="33" t="s">
        <v>4766</v>
      </c>
      <c r="N746" s="34" t="n">
        <v>75015</v>
      </c>
      <c r="O746" s="35" t="s">
        <v>55</v>
      </c>
      <c r="P746" s="36" t="s">
        <v>4767</v>
      </c>
      <c r="Q746" s="36" t="n">
        <v>1</v>
      </c>
      <c r="R746" s="32" t="n">
        <v>85</v>
      </c>
      <c r="S746" s="32" t="n">
        <v>2</v>
      </c>
      <c r="T746" s="32"/>
      <c r="U746" s="32"/>
      <c r="V746" s="37"/>
      <c r="W746" s="32"/>
      <c r="X746" s="34"/>
      <c r="Y746" s="34"/>
      <c r="Z746" s="32"/>
      <c r="AA746" s="32" t="s">
        <v>4768</v>
      </c>
      <c r="AB746" s="32"/>
      <c r="AC746" s="38" t="str">
        <f aca="false">HYPERLINK("https://biocodex6--c.vf.force.com/0014L00000KG6SDQA1", "WILLE LEDON CHRYSTELE")</f>
        <v>WILLE LEDON CHRYSTELE</v>
      </c>
      <c r="AD746" s="38"/>
      <c r="AE746" s="39"/>
      <c r="AF746" s="40"/>
      <c r="AG746" s="41"/>
      <c r="AH746" s="32"/>
      <c r="AI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XEY746" s="27"/>
      <c r="XEZ746" s="27"/>
      <c r="XFA746" s="27"/>
      <c r="XFB746" s="27"/>
      <c r="XFC746" s="27"/>
      <c r="XFD746" s="27"/>
    </row>
    <row r="747" s="42" customFormat="true" ht="14.15" hidden="false" customHeight="true" outlineLevel="0" collapsed="false">
      <c r="A747" s="28" t="s">
        <v>4769</v>
      </c>
      <c r="B747" s="29" t="s">
        <v>4770</v>
      </c>
      <c r="C747" s="29" t="s">
        <v>4771</v>
      </c>
      <c r="D747" s="30" t="s">
        <v>244</v>
      </c>
      <c r="E747" s="30" t="s">
        <v>245</v>
      </c>
      <c r="F747" s="32" t="n">
        <v>42</v>
      </c>
      <c r="G747" s="31" t="s">
        <v>215</v>
      </c>
      <c r="H747" s="31" t="n">
        <v>3</v>
      </c>
      <c r="I747" s="31" t="s">
        <v>295</v>
      </c>
      <c r="J747" s="29" t="s">
        <v>489</v>
      </c>
      <c r="K747" s="29" t="s">
        <v>490</v>
      </c>
      <c r="L747" s="32" t="n">
        <v>3</v>
      </c>
      <c r="M747" s="33" t="s">
        <v>491</v>
      </c>
      <c r="N747" s="34" t="n">
        <v>92300</v>
      </c>
      <c r="O747" s="35" t="s">
        <v>298</v>
      </c>
      <c r="P747" s="36" t="s">
        <v>3466</v>
      </c>
      <c r="Q747" s="36" t="n">
        <v>26</v>
      </c>
      <c r="R747" s="32" t="n">
        <v>84</v>
      </c>
      <c r="S747" s="32" t="n">
        <v>2</v>
      </c>
      <c r="T747" s="32"/>
      <c r="U747" s="32"/>
      <c r="V747" s="37" t="n">
        <v>3</v>
      </c>
      <c r="W747" s="32" t="n">
        <v>3</v>
      </c>
      <c r="X747" s="34"/>
      <c r="Y747" s="34" t="n">
        <v>3</v>
      </c>
      <c r="Z747" s="32"/>
      <c r="AA747" s="32" t="s">
        <v>4772</v>
      </c>
      <c r="AB747" s="32" t="s">
        <v>4773</v>
      </c>
      <c r="AC747" s="38" t="str">
        <f aca="false">HYPERLINK("https://biocodex6--c.vf.force.com/0014L00000KFnTcQAL", "LESAVRE MAGALI")</f>
        <v>LESAVRE MAGALI</v>
      </c>
      <c r="AD747" s="38" t="str">
        <f aca="false">HYPERLINK("https://annuairesante.ameli.fr/professionnels-de-sante/recherche/fiche-detaillee-B7c1mzY4NDq6.html", "LESAVRE MAGALI")</f>
        <v>LESAVRE MAGALI</v>
      </c>
      <c r="AE747" s="39" t="n">
        <v>45246.3958333333</v>
      </c>
      <c r="AF747" s="40"/>
      <c r="AG747" s="41"/>
      <c r="AH747" s="32"/>
      <c r="AI747" s="32"/>
      <c r="AL747" s="32"/>
      <c r="AM747" s="32"/>
      <c r="AN747" s="32"/>
      <c r="AO747" s="32"/>
      <c r="AP747" s="32"/>
      <c r="AQ747" s="32"/>
      <c r="AR747" s="32"/>
      <c r="AS747" s="43" t="s">
        <v>137</v>
      </c>
      <c r="AT747" s="32"/>
      <c r="AU747" s="32"/>
      <c r="XEY747" s="27"/>
      <c r="XEZ747" s="27"/>
      <c r="XFA747" s="27"/>
      <c r="XFB747" s="27"/>
      <c r="XFC747" s="27"/>
      <c r="XFD747" s="27"/>
    </row>
    <row r="748" s="42" customFormat="true" ht="14.15" hidden="false" customHeight="true" outlineLevel="0" collapsed="false">
      <c r="A748" s="28" t="s">
        <v>4774</v>
      </c>
      <c r="B748" s="29" t="s">
        <v>1423</v>
      </c>
      <c r="C748" s="29" t="s">
        <v>4775</v>
      </c>
      <c r="D748" s="30" t="s">
        <v>75</v>
      </c>
      <c r="E748" s="31"/>
      <c r="F748" s="32" t="n">
        <v>0</v>
      </c>
      <c r="G748" s="31"/>
      <c r="H748" s="31" t="n">
        <v>1</v>
      </c>
      <c r="I748" s="31" t="s">
        <v>51</v>
      </c>
      <c r="J748" s="29" t="s">
        <v>52</v>
      </c>
      <c r="K748" s="29" t="s">
        <v>53</v>
      </c>
      <c r="L748" s="32" t="n">
        <v>149</v>
      </c>
      <c r="M748" s="33" t="s">
        <v>54</v>
      </c>
      <c r="N748" s="34" t="n">
        <v>75015</v>
      </c>
      <c r="O748" s="35" t="s">
        <v>55</v>
      </c>
      <c r="P748" s="36" t="s">
        <v>1807</v>
      </c>
      <c r="Q748" s="36" t="n">
        <v>236</v>
      </c>
      <c r="R748" s="32" t="n">
        <v>83</v>
      </c>
      <c r="S748" s="32" t="n">
        <v>2</v>
      </c>
      <c r="T748" s="32"/>
      <c r="U748" s="32"/>
      <c r="V748" s="37"/>
      <c r="W748" s="32"/>
      <c r="X748" s="34"/>
      <c r="Y748" s="34"/>
      <c r="Z748" s="32"/>
      <c r="AA748" s="32" t="s">
        <v>4776</v>
      </c>
      <c r="AB748" s="32"/>
      <c r="AC748" s="38" t="str">
        <f aca="false">HYPERLINK("https://biocodex6--c.vf.force.com/0014L00000KGC2KQAX", "ABI NADER ELIE")</f>
        <v>ABI NADER ELIE</v>
      </c>
      <c r="AD748" s="38"/>
      <c r="AE748" s="39"/>
      <c r="AF748" s="40"/>
      <c r="AG748" s="41"/>
      <c r="AH748" s="32"/>
      <c r="AI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XEY748" s="27"/>
      <c r="XEZ748" s="27"/>
      <c r="XFA748" s="27"/>
      <c r="XFB748" s="27"/>
      <c r="XFC748" s="27"/>
      <c r="XFD748" s="27"/>
    </row>
    <row r="749" s="42" customFormat="true" ht="14.15" hidden="false" customHeight="true" outlineLevel="0" collapsed="false">
      <c r="A749" s="28" t="s">
        <v>4777</v>
      </c>
      <c r="B749" s="29" t="s">
        <v>4778</v>
      </c>
      <c r="C749" s="29" t="s">
        <v>4779</v>
      </c>
      <c r="D749" s="30" t="s">
        <v>75</v>
      </c>
      <c r="E749" s="31"/>
      <c r="F749" s="32" t="n">
        <v>36</v>
      </c>
      <c r="G749" s="31"/>
      <c r="H749" s="31" t="n">
        <v>1</v>
      </c>
      <c r="I749" s="31" t="s">
        <v>435</v>
      </c>
      <c r="J749" s="29"/>
      <c r="K749" s="29" t="s">
        <v>4780</v>
      </c>
      <c r="L749" s="32" t="n">
        <v>7</v>
      </c>
      <c r="M749" s="33" t="s">
        <v>1340</v>
      </c>
      <c r="N749" s="34" t="n">
        <v>75016</v>
      </c>
      <c r="O749" s="35" t="s">
        <v>55</v>
      </c>
      <c r="P749" s="36" t="s">
        <v>4781</v>
      </c>
      <c r="Q749" s="36" t="n">
        <v>1</v>
      </c>
      <c r="R749" s="32" t="n">
        <v>83</v>
      </c>
      <c r="S749" s="32" t="n">
        <v>2</v>
      </c>
      <c r="T749" s="32"/>
      <c r="U749" s="32"/>
      <c r="V749" s="37" t="n">
        <v>2</v>
      </c>
      <c r="W749" s="32"/>
      <c r="X749" s="34"/>
      <c r="Y749" s="34"/>
      <c r="Z749" s="32"/>
      <c r="AA749" s="32" t="s">
        <v>4782</v>
      </c>
      <c r="AB749" s="32"/>
      <c r="AC749" s="38" t="str">
        <f aca="false">HYPERLINK("https://biocodex6--c.vf.force.com/0014L00000KFPGWQA5", "DADOUN GEROMETTA RAFAELE")</f>
        <v>DADOUN GEROMETTA RAFAELE</v>
      </c>
      <c r="AD749" s="38"/>
      <c r="AE749" s="39"/>
      <c r="AF749" s="40"/>
      <c r="AG749" s="41"/>
      <c r="AH749" s="32"/>
      <c r="AI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XEY749" s="27"/>
      <c r="XEZ749" s="27"/>
      <c r="XFA749" s="27"/>
      <c r="XFB749" s="27"/>
      <c r="XFC749" s="27"/>
      <c r="XFD749" s="27"/>
    </row>
    <row r="750" s="42" customFormat="true" ht="14.15" hidden="false" customHeight="true" outlineLevel="0" collapsed="false">
      <c r="A750" s="28" t="s">
        <v>4783</v>
      </c>
      <c r="B750" s="29" t="s">
        <v>1101</v>
      </c>
      <c r="C750" s="29" t="s">
        <v>4784</v>
      </c>
      <c r="D750" s="30" t="s">
        <v>112</v>
      </c>
      <c r="E750" s="30" t="s">
        <v>113</v>
      </c>
      <c r="F750" s="32" t="n">
        <v>53</v>
      </c>
      <c r="G750" s="31"/>
      <c r="H750" s="31" t="n">
        <v>2</v>
      </c>
      <c r="I750" s="31" t="s">
        <v>51</v>
      </c>
      <c r="J750" s="29" t="s">
        <v>52</v>
      </c>
      <c r="K750" s="29" t="s">
        <v>53</v>
      </c>
      <c r="L750" s="32" t="n">
        <v>149</v>
      </c>
      <c r="M750" s="33" t="s">
        <v>54</v>
      </c>
      <c r="N750" s="34" t="n">
        <v>75015</v>
      </c>
      <c r="O750" s="35" t="s">
        <v>55</v>
      </c>
      <c r="P750" s="36" t="s">
        <v>885</v>
      </c>
      <c r="Q750" s="36" t="n">
        <v>236</v>
      </c>
      <c r="R750" s="32" t="n">
        <v>82</v>
      </c>
      <c r="S750" s="32" t="n">
        <v>2</v>
      </c>
      <c r="T750" s="32"/>
      <c r="U750" s="32"/>
      <c r="V750" s="37"/>
      <c r="W750" s="32"/>
      <c r="X750" s="34"/>
      <c r="Y750" s="34"/>
      <c r="Z750" s="32"/>
      <c r="AA750" s="32" t="s">
        <v>4785</v>
      </c>
      <c r="AB750" s="32"/>
      <c r="AC750" s="38" t="str">
        <f aca="false">HYPERLINK("https://biocodex6--c.vf.force.com/0014L00000KFZr0QAH", "FLECHTNER DUVAL ISABELLE")</f>
        <v>FLECHTNER DUVAL ISABELLE</v>
      </c>
      <c r="AD750" s="38"/>
      <c r="AE750" s="39"/>
      <c r="AF750" s="40"/>
      <c r="AG750" s="41"/>
      <c r="AH750" s="32"/>
      <c r="AI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XEY750" s="27"/>
      <c r="XEZ750" s="27"/>
      <c r="XFA750" s="27"/>
      <c r="XFB750" s="27"/>
      <c r="XFC750" s="27"/>
      <c r="XFD750" s="27"/>
    </row>
    <row r="751" s="42" customFormat="true" ht="14.15" hidden="false" customHeight="true" outlineLevel="0" collapsed="false">
      <c r="A751" s="28" t="s">
        <v>4786</v>
      </c>
      <c r="B751" s="29" t="s">
        <v>4787</v>
      </c>
      <c r="C751" s="29" t="s">
        <v>4788</v>
      </c>
      <c r="D751" s="30" t="s">
        <v>50</v>
      </c>
      <c r="E751" s="31"/>
      <c r="F751" s="32" t="n">
        <v>40</v>
      </c>
      <c r="G751" s="31" t="s">
        <v>98</v>
      </c>
      <c r="H751" s="31" t="n">
        <v>1</v>
      </c>
      <c r="I751" s="31" t="s">
        <v>572</v>
      </c>
      <c r="J751" s="29"/>
      <c r="K751" s="29" t="s">
        <v>4789</v>
      </c>
      <c r="L751" s="32" t="n">
        <v>57</v>
      </c>
      <c r="M751" s="33" t="s">
        <v>1379</v>
      </c>
      <c r="N751" s="34" t="n">
        <v>75008</v>
      </c>
      <c r="O751" s="35" t="s">
        <v>55</v>
      </c>
      <c r="P751" s="36" t="s">
        <v>4790</v>
      </c>
      <c r="Q751" s="36" t="n">
        <v>2</v>
      </c>
      <c r="R751" s="32" t="n">
        <v>81</v>
      </c>
      <c r="S751" s="32" t="n">
        <v>2</v>
      </c>
      <c r="T751" s="32"/>
      <c r="U751" s="32"/>
      <c r="V751" s="37"/>
      <c r="W751" s="32"/>
      <c r="X751" s="34" t="n">
        <v>1</v>
      </c>
      <c r="Y751" s="34"/>
      <c r="Z751" s="32"/>
      <c r="AA751" s="32" t="s">
        <v>4791</v>
      </c>
      <c r="AB751" s="32" t="s">
        <v>4792</v>
      </c>
      <c r="AC751" s="38" t="str">
        <f aca="false">HYPERLINK("https://biocodex6--c.vf.force.com/0014L00000KFMLBQA5", "ALIMI MARDOUKH ELEONORE")</f>
        <v>ALIMI MARDOUKH ELEONORE</v>
      </c>
      <c r="AD751" s="38" t="str">
        <f aca="false">HYPERLINK("https://annuairesante.ameli.fr/professionnels-de-sante/recherche/fiche-detaillee-B7c1kjE0Nzqx.html", "ALIMI MARDOUKH ELEONORE")</f>
        <v>ALIMI MARDOUKH ELEONORE</v>
      </c>
      <c r="AE751" s="39" t="n">
        <v>45280.4791666667</v>
      </c>
      <c r="AF751" s="40" t="s">
        <v>4793</v>
      </c>
      <c r="AG751" s="41"/>
      <c r="AH751" s="32"/>
      <c r="AI751" s="32"/>
      <c r="AL751" s="43" t="s">
        <v>657</v>
      </c>
      <c r="AM751" s="43" t="s">
        <v>137</v>
      </c>
      <c r="AN751" s="43" t="s">
        <v>657</v>
      </c>
      <c r="AO751" s="43" t="s">
        <v>137</v>
      </c>
      <c r="AP751" s="43" t="s">
        <v>657</v>
      </c>
      <c r="AQ751" s="43" t="s">
        <v>137</v>
      </c>
      <c r="AR751" s="43" t="s">
        <v>657</v>
      </c>
      <c r="AS751" s="43" t="s">
        <v>262</v>
      </c>
      <c r="AT751" s="43" t="s">
        <v>657</v>
      </c>
      <c r="AU751" s="43" t="s">
        <v>262</v>
      </c>
      <c r="XEY751" s="27"/>
      <c r="XEZ751" s="27"/>
      <c r="XFA751" s="27"/>
      <c r="XFB751" s="27"/>
      <c r="XFC751" s="27"/>
      <c r="XFD751" s="27"/>
    </row>
    <row r="752" s="42" customFormat="true" ht="14.15" hidden="false" customHeight="true" outlineLevel="0" collapsed="false">
      <c r="A752" s="28" t="s">
        <v>4794</v>
      </c>
      <c r="B752" s="29" t="s">
        <v>4419</v>
      </c>
      <c r="C752" s="29" t="s">
        <v>4795</v>
      </c>
      <c r="D752" s="30" t="s">
        <v>112</v>
      </c>
      <c r="E752" s="31"/>
      <c r="F752" s="32" t="n">
        <v>38</v>
      </c>
      <c r="G752" s="31" t="s">
        <v>215</v>
      </c>
      <c r="H752" s="31" t="n">
        <v>1</v>
      </c>
      <c r="I752" s="31" t="s">
        <v>62</v>
      </c>
      <c r="J752" s="29" t="s">
        <v>3283</v>
      </c>
      <c r="K752" s="29" t="s">
        <v>3284</v>
      </c>
      <c r="L752" s="32" t="n">
        <v>66</v>
      </c>
      <c r="M752" s="33" t="s">
        <v>1125</v>
      </c>
      <c r="N752" s="34" t="n">
        <v>75017</v>
      </c>
      <c r="O752" s="35" t="s">
        <v>55</v>
      </c>
      <c r="P752" s="36" t="s">
        <v>4796</v>
      </c>
      <c r="Q752" s="36" t="n">
        <v>5</v>
      </c>
      <c r="R752" s="32" t="n">
        <v>79</v>
      </c>
      <c r="S752" s="32" t="n">
        <v>2</v>
      </c>
      <c r="T752" s="32"/>
      <c r="U752" s="32"/>
      <c r="V752" s="37"/>
      <c r="W752" s="32"/>
      <c r="X752" s="34"/>
      <c r="Y752" s="34"/>
      <c r="Z752" s="36"/>
      <c r="AA752" s="32" t="s">
        <v>4797</v>
      </c>
      <c r="AB752" s="32" t="s">
        <v>4798</v>
      </c>
      <c r="AC752" s="38" t="str">
        <f aca="false">HYPERLINK("https://biocodex6--c.vf.force.com/0014L00000KFP66QAH", "ROZENTAL JONATHAN")</f>
        <v>ROZENTAL JONATHAN</v>
      </c>
      <c r="AD752" s="38" t="str">
        <f aca="false">HYPERLINK("https://annuairesante.ameli.fr/professionnels-de-sante/recherche/fiche-detaillee-B7c1lTEwODKx.html", "ROZENTAL JONATHAN")</f>
        <v>ROZENTAL JONATHAN</v>
      </c>
      <c r="AE752" s="39"/>
      <c r="AF752" s="40"/>
      <c r="AG752" s="41"/>
      <c r="AH752" s="32" t="s">
        <v>179</v>
      </c>
      <c r="AI752" s="32"/>
      <c r="AL752" s="43" t="s">
        <v>85</v>
      </c>
      <c r="AM752" s="43" t="s">
        <v>2764</v>
      </c>
      <c r="AN752" s="43" t="s">
        <v>85</v>
      </c>
      <c r="AO752" s="43" t="s">
        <v>2764</v>
      </c>
      <c r="AP752" s="43" t="s">
        <v>85</v>
      </c>
      <c r="AQ752" s="43" t="s">
        <v>2764</v>
      </c>
      <c r="AR752" s="43" t="s">
        <v>85</v>
      </c>
      <c r="AS752" s="43" t="s">
        <v>2764</v>
      </c>
      <c r="AT752" s="43" t="s">
        <v>85</v>
      </c>
      <c r="AU752" s="43" t="s">
        <v>2764</v>
      </c>
      <c r="XEY752" s="27"/>
      <c r="XEZ752" s="27"/>
      <c r="XFA752" s="27"/>
      <c r="XFB752" s="27"/>
      <c r="XFC752" s="27"/>
      <c r="XFD752" s="27"/>
    </row>
    <row r="753" s="42" customFormat="true" ht="14.15" hidden="false" customHeight="true" outlineLevel="0" collapsed="false">
      <c r="A753" s="28" t="s">
        <v>4799</v>
      </c>
      <c r="B753" s="29" t="s">
        <v>643</v>
      </c>
      <c r="C753" s="29" t="s">
        <v>4800</v>
      </c>
      <c r="D753" s="30" t="s">
        <v>50</v>
      </c>
      <c r="E753" s="31"/>
      <c r="F753" s="32" t="n">
        <v>76</v>
      </c>
      <c r="G753" s="31"/>
      <c r="H753" s="31" t="n">
        <v>1</v>
      </c>
      <c r="I753" s="31" t="s">
        <v>197</v>
      </c>
      <c r="J753" s="29" t="s">
        <v>4801</v>
      </c>
      <c r="K753" s="29" t="s">
        <v>4802</v>
      </c>
      <c r="L753" s="32" t="n">
        <v>206</v>
      </c>
      <c r="M753" s="33" t="s">
        <v>4230</v>
      </c>
      <c r="N753" s="34" t="n">
        <v>75017</v>
      </c>
      <c r="O753" s="35" t="s">
        <v>55</v>
      </c>
      <c r="P753" s="36" t="s">
        <v>4803</v>
      </c>
      <c r="Q753" s="36" t="n">
        <v>11</v>
      </c>
      <c r="R753" s="32" t="n">
        <v>75</v>
      </c>
      <c r="S753" s="32" t="n">
        <v>2</v>
      </c>
      <c r="T753" s="32"/>
      <c r="U753" s="32"/>
      <c r="V753" s="37"/>
      <c r="W753" s="32"/>
      <c r="X753" s="34"/>
      <c r="Y753" s="34"/>
      <c r="Z753" s="36"/>
      <c r="AA753" s="32" t="s">
        <v>4804</v>
      </c>
      <c r="AB753" s="32"/>
      <c r="AC753" s="38" t="str">
        <f aca="false">HYPERLINK("https://biocodex6--c.vf.force.com/0014L00000KFTDpQAP", "BESSE PIERRE")</f>
        <v>BESSE PIERRE</v>
      </c>
      <c r="AD753" s="38"/>
      <c r="AE753" s="39"/>
      <c r="AF753" s="40"/>
      <c r="AG753" s="41"/>
      <c r="AH753" s="32" t="s">
        <v>179</v>
      </c>
      <c r="AI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XEY753" s="27"/>
      <c r="XEZ753" s="27"/>
      <c r="XFA753" s="27"/>
      <c r="XFB753" s="27"/>
      <c r="XFC753" s="27"/>
      <c r="XFD753" s="27"/>
    </row>
    <row r="754" s="42" customFormat="true" ht="14.15" hidden="false" customHeight="true" outlineLevel="0" collapsed="false">
      <c r="A754" s="28" t="s">
        <v>4805</v>
      </c>
      <c r="B754" s="29" t="s">
        <v>494</v>
      </c>
      <c r="C754" s="29" t="s">
        <v>4806</v>
      </c>
      <c r="D754" s="30" t="s">
        <v>50</v>
      </c>
      <c r="E754" s="31"/>
      <c r="F754" s="32" t="n">
        <v>35</v>
      </c>
      <c r="G754" s="31" t="s">
        <v>98</v>
      </c>
      <c r="H754" s="31" t="n">
        <v>2</v>
      </c>
      <c r="I754" s="31" t="s">
        <v>387</v>
      </c>
      <c r="J754" s="29" t="s">
        <v>1306</v>
      </c>
      <c r="K754" s="29" t="s">
        <v>1307</v>
      </c>
      <c r="L754" s="32" t="n">
        <v>11</v>
      </c>
      <c r="M754" s="33" t="s">
        <v>1308</v>
      </c>
      <c r="N754" s="34" t="n">
        <v>75016</v>
      </c>
      <c r="O754" s="35" t="s">
        <v>55</v>
      </c>
      <c r="P754" s="36" t="s">
        <v>1309</v>
      </c>
      <c r="Q754" s="36" t="n">
        <v>9</v>
      </c>
      <c r="R754" s="32" t="n">
        <v>69</v>
      </c>
      <c r="S754" s="32" t="n">
        <v>2</v>
      </c>
      <c r="T754" s="32"/>
      <c r="U754" s="32"/>
      <c r="V754" s="37"/>
      <c r="W754" s="32"/>
      <c r="X754" s="34" t="n">
        <v>1</v>
      </c>
      <c r="Y754" s="34"/>
      <c r="Z754" s="32"/>
      <c r="AA754" s="32" t="s">
        <v>4807</v>
      </c>
      <c r="AB754" s="32" t="s">
        <v>4808</v>
      </c>
      <c r="AC754" s="38" t="str">
        <f aca="false">HYPERLINK("https://biocodex6--c.vf.force.com/0014L00000KGGdnQAH", "CHEZAUD GABRIEL")</f>
        <v>CHEZAUD GABRIEL</v>
      </c>
      <c r="AD754" s="38" t="str">
        <f aca="false">HYPERLINK("https://annuairesante.ameli.fr/professionnels-de-sante/recherche/fiche-detaillee-B7c1kjs4OTu3.html", "CHEZAUD GABRIEL")</f>
        <v>CHEZAUD GABRIEL</v>
      </c>
      <c r="AE754" s="39" t="n">
        <v>45310.5833333333</v>
      </c>
      <c r="AF754" s="40" t="s">
        <v>4809</v>
      </c>
      <c r="AG754" s="41" t="s">
        <v>69</v>
      </c>
      <c r="AH754" s="32" t="s">
        <v>70</v>
      </c>
      <c r="AI754" s="32"/>
      <c r="AL754" s="43" t="s">
        <v>263</v>
      </c>
      <c r="AM754" s="43" t="s">
        <v>262</v>
      </c>
      <c r="AN754" s="43" t="s">
        <v>263</v>
      </c>
      <c r="AO754" s="43" t="s">
        <v>262</v>
      </c>
      <c r="AP754" s="43" t="s">
        <v>263</v>
      </c>
      <c r="AQ754" s="43" t="s">
        <v>262</v>
      </c>
      <c r="AR754" s="43" t="s">
        <v>263</v>
      </c>
      <c r="AS754" s="43" t="s">
        <v>262</v>
      </c>
      <c r="AT754" s="43" t="s">
        <v>925</v>
      </c>
      <c r="AU754" s="43" t="s">
        <v>262</v>
      </c>
      <c r="XEY754" s="27"/>
      <c r="XEZ754" s="27"/>
      <c r="XFA754" s="27"/>
      <c r="XFB754" s="27"/>
      <c r="XFC754" s="27"/>
      <c r="XFD754" s="27"/>
    </row>
    <row r="755" s="42" customFormat="true" ht="14.15" hidden="false" customHeight="true" outlineLevel="0" collapsed="false">
      <c r="A755" s="28" t="s">
        <v>4463</v>
      </c>
      <c r="B755" s="29" t="s">
        <v>399</v>
      </c>
      <c r="C755" s="29" t="s">
        <v>4810</v>
      </c>
      <c r="D755" s="30" t="s">
        <v>172</v>
      </c>
      <c r="E755" s="31"/>
      <c r="F755" s="32" t="n">
        <v>59</v>
      </c>
      <c r="G755" s="31"/>
      <c r="H755" s="31" t="n">
        <v>2</v>
      </c>
      <c r="I755" s="31" t="s">
        <v>99</v>
      </c>
      <c r="J755" s="29"/>
      <c r="K755" s="29" t="s">
        <v>4811</v>
      </c>
      <c r="L755" s="32" t="n">
        <v>10</v>
      </c>
      <c r="M755" s="33" t="s">
        <v>4812</v>
      </c>
      <c r="N755" s="34" t="n">
        <v>75015</v>
      </c>
      <c r="O755" s="35" t="s">
        <v>55</v>
      </c>
      <c r="P755" s="36"/>
      <c r="Q755" s="36" t="n">
        <v>1</v>
      </c>
      <c r="R755" s="32" t="n">
        <v>68</v>
      </c>
      <c r="S755" s="32" t="n">
        <v>2</v>
      </c>
      <c r="T755" s="43" t="s">
        <v>4813</v>
      </c>
      <c r="U755" s="32" t="n">
        <v>3</v>
      </c>
      <c r="V755" s="37" t="n">
        <v>3</v>
      </c>
      <c r="W755" s="32"/>
      <c r="X755" s="34"/>
      <c r="Y755" s="34"/>
      <c r="Z755" s="32"/>
      <c r="AA755" s="32" t="s">
        <v>4814</v>
      </c>
      <c r="AC755" s="38" t="str">
        <f aca="false">HYPERLINK("https://biocodex6--c.vf.force.com/0014L00000KFuFYQA1", "NICOLAS OLIVIER")</f>
        <v>NICOLAS OLIVIER</v>
      </c>
      <c r="AD755" s="38"/>
      <c r="AE755" s="39"/>
      <c r="AF755" s="40"/>
      <c r="AG755" s="41" t="n">
        <v>45355.5208333333</v>
      </c>
      <c r="AH755" s="32" t="s">
        <v>70</v>
      </c>
      <c r="AI755" s="32" t="s">
        <v>71</v>
      </c>
      <c r="AJ755" s="42" t="s">
        <v>4815</v>
      </c>
      <c r="AL755" s="32"/>
      <c r="AM755" s="32"/>
      <c r="AN755" s="32"/>
      <c r="AO755" s="32"/>
      <c r="AP755" s="32"/>
      <c r="AQ755" s="32"/>
      <c r="AR755" s="32"/>
      <c r="AS755" s="32"/>
      <c r="AT755" s="32"/>
      <c r="AU755" s="43" t="s">
        <v>866</v>
      </c>
      <c r="XEY755" s="27"/>
      <c r="XEZ755" s="27"/>
      <c r="XFA755" s="27"/>
      <c r="XFB755" s="27"/>
      <c r="XFC755" s="27"/>
      <c r="XFD755" s="27"/>
    </row>
    <row r="756" s="42" customFormat="true" ht="14.15" hidden="false" customHeight="true" outlineLevel="0" collapsed="false">
      <c r="A756" s="28" t="s">
        <v>4816</v>
      </c>
      <c r="B756" s="29" t="s">
        <v>4817</v>
      </c>
      <c r="C756" s="29" t="s">
        <v>4818</v>
      </c>
      <c r="D756" s="30" t="s">
        <v>172</v>
      </c>
      <c r="E756" s="31"/>
      <c r="F756" s="32" t="n">
        <v>0</v>
      </c>
      <c r="G756" s="31"/>
      <c r="H756" s="31" t="n">
        <v>1</v>
      </c>
      <c r="I756" s="31" t="s">
        <v>119</v>
      </c>
      <c r="J756" s="29"/>
      <c r="K756" s="29" t="s">
        <v>4029</v>
      </c>
      <c r="L756" s="32" t="n">
        <v>1</v>
      </c>
      <c r="M756" s="33" t="s">
        <v>4030</v>
      </c>
      <c r="N756" s="34" t="n">
        <v>75007</v>
      </c>
      <c r="O756" s="35" t="s">
        <v>55</v>
      </c>
      <c r="P756" s="36"/>
      <c r="Q756" s="36" t="n">
        <v>4</v>
      </c>
      <c r="R756" s="32" t="n">
        <v>65</v>
      </c>
      <c r="S756" s="32" t="n">
        <v>2</v>
      </c>
      <c r="T756" s="43" t="s">
        <v>316</v>
      </c>
      <c r="U756" s="32"/>
      <c r="V756" s="37"/>
      <c r="W756" s="32"/>
      <c r="X756" s="34"/>
      <c r="Y756" s="34"/>
      <c r="Z756" s="32"/>
      <c r="AA756" s="32" t="s">
        <v>4819</v>
      </c>
      <c r="AB756" s="32"/>
      <c r="AC756" s="38" t="str">
        <f aca="false">HYPERLINK("https://biocodex6--c.vf.force.com/0014L00000KFj85QAD", "CASTAGNE CESAR")</f>
        <v>CASTAGNE CESAR</v>
      </c>
      <c r="AD756" s="38"/>
      <c r="AE756" s="39"/>
      <c r="AF756" s="40"/>
      <c r="AG756" s="41"/>
      <c r="AH756" s="32"/>
      <c r="AI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XEY756" s="27"/>
      <c r="XEZ756" s="27"/>
      <c r="XFA756" s="27"/>
      <c r="XFB756" s="27"/>
      <c r="XFC756" s="27"/>
      <c r="XFD756" s="27"/>
    </row>
    <row r="757" s="42" customFormat="true" ht="14.15" hidden="false" customHeight="true" outlineLevel="0" collapsed="false">
      <c r="A757" s="28" t="s">
        <v>4820</v>
      </c>
      <c r="B757" s="29" t="s">
        <v>1534</v>
      </c>
      <c r="C757" s="29" t="s">
        <v>4821</v>
      </c>
      <c r="D757" s="30" t="s">
        <v>172</v>
      </c>
      <c r="E757" s="31"/>
      <c r="F757" s="32" t="n">
        <v>58</v>
      </c>
      <c r="G757" s="31"/>
      <c r="H757" s="31" t="n">
        <v>2</v>
      </c>
      <c r="I757" s="31" t="s">
        <v>173</v>
      </c>
      <c r="J757" s="29"/>
      <c r="K757" s="29" t="s">
        <v>4751</v>
      </c>
      <c r="L757" s="32" t="n">
        <v>108</v>
      </c>
      <c r="M757" s="33" t="s">
        <v>175</v>
      </c>
      <c r="N757" s="34" t="n">
        <v>75016</v>
      </c>
      <c r="O757" s="35" t="s">
        <v>55</v>
      </c>
      <c r="P757" s="36"/>
      <c r="Q757" s="36" t="n">
        <v>3</v>
      </c>
      <c r="R757" s="32" t="n">
        <v>63</v>
      </c>
      <c r="S757" s="32" t="n">
        <v>2</v>
      </c>
      <c r="T757" s="43" t="s">
        <v>177</v>
      </c>
      <c r="U757" s="32" t="n">
        <v>3</v>
      </c>
      <c r="V757" s="37" t="n">
        <v>3</v>
      </c>
      <c r="W757" s="32"/>
      <c r="X757" s="34"/>
      <c r="Y757" s="34"/>
      <c r="Z757" s="32"/>
      <c r="AA757" s="32" t="s">
        <v>4822</v>
      </c>
      <c r="AB757" s="32"/>
      <c r="AC757" s="38" t="str">
        <f aca="false">HYPERLINK("https://biocodex6--c.vf.force.com/0014L00000KFpATQA1", "MACQUERON GERARD")</f>
        <v>MACQUERON GERARD</v>
      </c>
      <c r="AD757" s="38"/>
      <c r="AE757" s="39"/>
      <c r="AF757" s="40"/>
      <c r="AG757" s="41"/>
      <c r="AH757" s="32"/>
      <c r="AI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XEY757" s="27"/>
      <c r="XEZ757" s="27"/>
      <c r="XFA757" s="27"/>
      <c r="XFB757" s="27"/>
      <c r="XFC757" s="27"/>
      <c r="XFD757" s="27"/>
    </row>
    <row r="758" s="42" customFormat="true" ht="14.15" hidden="false" customHeight="true" outlineLevel="0" collapsed="false">
      <c r="A758" s="28" t="s">
        <v>4823</v>
      </c>
      <c r="B758" s="29" t="s">
        <v>332</v>
      </c>
      <c r="C758" s="29" t="s">
        <v>4824</v>
      </c>
      <c r="D758" s="30" t="s">
        <v>112</v>
      </c>
      <c r="E758" s="31"/>
      <c r="F758" s="32" t="n">
        <v>64</v>
      </c>
      <c r="G758" s="31"/>
      <c r="H758" s="31" t="n">
        <v>2</v>
      </c>
      <c r="I758" s="31" t="s">
        <v>77</v>
      </c>
      <c r="J758" s="29"/>
      <c r="K758" s="29" t="s">
        <v>4825</v>
      </c>
      <c r="L758" s="32" t="n">
        <v>41</v>
      </c>
      <c r="M758" s="33" t="s">
        <v>4826</v>
      </c>
      <c r="N758" s="34" t="n">
        <v>92200</v>
      </c>
      <c r="O758" s="35" t="s">
        <v>81</v>
      </c>
      <c r="P758" s="36" t="s">
        <v>4827</v>
      </c>
      <c r="Q758" s="36" t="n">
        <v>2</v>
      </c>
      <c r="R758" s="32" t="n">
        <v>63</v>
      </c>
      <c r="S758" s="32" t="n">
        <v>2</v>
      </c>
      <c r="T758" s="32"/>
      <c r="U758" s="32"/>
      <c r="V758" s="37"/>
      <c r="W758" s="32"/>
      <c r="X758" s="34"/>
      <c r="Y758" s="34"/>
      <c r="Z758" s="32"/>
      <c r="AA758" s="32" t="s">
        <v>4828</v>
      </c>
      <c r="AB758" s="32"/>
      <c r="AC758" s="38" t="str">
        <f aca="false">HYPERLINK("https://biocodex6--c.vf.force.com/0014L00000KFiccQAD", "HERBELIN CATHERINE")</f>
        <v>HERBELIN CATHERINE</v>
      </c>
      <c r="AD758" s="38"/>
      <c r="AE758" s="39"/>
      <c r="AF758" s="40"/>
      <c r="AG758" s="41"/>
      <c r="AH758" s="32"/>
      <c r="AI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XEY758" s="27"/>
      <c r="XEZ758" s="27"/>
      <c r="XFA758" s="27"/>
      <c r="XFB758" s="27"/>
      <c r="XFC758" s="27"/>
      <c r="XFD758" s="27"/>
    </row>
    <row r="759" s="42" customFormat="true" ht="14.15" hidden="false" customHeight="true" outlineLevel="0" collapsed="false">
      <c r="A759" s="28" t="s">
        <v>4829</v>
      </c>
      <c r="B759" s="29" t="s">
        <v>4830</v>
      </c>
      <c r="C759" s="29" t="s">
        <v>4831</v>
      </c>
      <c r="D759" s="30" t="s">
        <v>172</v>
      </c>
      <c r="E759" s="31"/>
      <c r="F759" s="32" t="n">
        <v>73</v>
      </c>
      <c r="G759" s="31"/>
      <c r="H759" s="31" t="n">
        <v>1</v>
      </c>
      <c r="I759" s="31" t="s">
        <v>173</v>
      </c>
      <c r="J759" s="29"/>
      <c r="K759" s="29" t="s">
        <v>4832</v>
      </c>
      <c r="L759" s="32" t="n">
        <v>10</v>
      </c>
      <c r="M759" s="33" t="s">
        <v>4833</v>
      </c>
      <c r="N759" s="34" t="n">
        <v>75016</v>
      </c>
      <c r="O759" s="35" t="s">
        <v>55</v>
      </c>
      <c r="P759" s="36" t="s">
        <v>4834</v>
      </c>
      <c r="Q759" s="36" t="n">
        <v>1</v>
      </c>
      <c r="R759" s="36" t="n">
        <v>61</v>
      </c>
      <c r="S759" s="32" t="n">
        <v>2</v>
      </c>
      <c r="T759" s="43" t="s">
        <v>2189</v>
      </c>
      <c r="U759" s="32" t="n">
        <v>3</v>
      </c>
      <c r="V759" s="37" t="n">
        <v>3</v>
      </c>
      <c r="W759" s="32"/>
      <c r="X759" s="34"/>
      <c r="Y759" s="34"/>
      <c r="Z759" s="36"/>
      <c r="AA759" s="32" t="s">
        <v>4835</v>
      </c>
      <c r="AB759" s="32"/>
      <c r="AC759" s="38" t="str">
        <f aca="false">HYPERLINK("https://biocodex6--c.vf.force.com/0014L00000KFShaQAH", "BENSAAD ABEL")</f>
        <v>BENSAAD ABEL</v>
      </c>
      <c r="AD759" s="38"/>
      <c r="AE759" s="39"/>
      <c r="AF759" s="40"/>
      <c r="AG759" s="41"/>
      <c r="AH759" s="32" t="s">
        <v>179</v>
      </c>
      <c r="AI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XEY759" s="27"/>
      <c r="XEZ759" s="27"/>
      <c r="XFA759" s="27"/>
      <c r="XFB759" s="27"/>
      <c r="XFC759" s="27"/>
      <c r="XFD759" s="27"/>
    </row>
    <row r="760" s="42" customFormat="true" ht="14.15" hidden="false" customHeight="true" outlineLevel="0" collapsed="false">
      <c r="A760" s="28" t="s">
        <v>4836</v>
      </c>
      <c r="B760" s="29" t="s">
        <v>1837</v>
      </c>
      <c r="C760" s="29" t="s">
        <v>4837</v>
      </c>
      <c r="D760" s="30" t="s">
        <v>112</v>
      </c>
      <c r="E760" s="31"/>
      <c r="F760" s="32" t="n">
        <v>35</v>
      </c>
      <c r="G760" s="31"/>
      <c r="H760" s="31" t="n">
        <v>1</v>
      </c>
      <c r="I760" s="31" t="s">
        <v>77</v>
      </c>
      <c r="J760" s="29"/>
      <c r="K760" s="29" t="s">
        <v>1296</v>
      </c>
      <c r="L760" s="32" t="n">
        <v>169</v>
      </c>
      <c r="M760" s="33" t="s">
        <v>1297</v>
      </c>
      <c r="N760" s="34" t="n">
        <v>92200</v>
      </c>
      <c r="O760" s="35" t="s">
        <v>81</v>
      </c>
      <c r="P760" s="36"/>
      <c r="Q760" s="36" t="n">
        <v>2</v>
      </c>
      <c r="R760" s="32" t="n">
        <v>60</v>
      </c>
      <c r="S760" s="32" t="n">
        <v>2</v>
      </c>
      <c r="T760" s="32"/>
      <c r="U760" s="32"/>
      <c r="V760" s="37"/>
      <c r="W760" s="32"/>
      <c r="X760" s="34"/>
      <c r="Y760" s="34"/>
      <c r="Z760" s="32"/>
      <c r="AA760" s="32" t="s">
        <v>4838</v>
      </c>
      <c r="AB760" s="32"/>
      <c r="AC760" s="38" t="str">
        <f aca="false">HYPERLINK("https://biocodex6--c.vf.force.com/0014L00000KG9EcQAL", "TROLLIET MARIE")</f>
        <v>TROLLIET MARIE</v>
      </c>
      <c r="AD760" s="38"/>
      <c r="AE760" s="39"/>
      <c r="AF760" s="40"/>
      <c r="AG760" s="41"/>
      <c r="AH760" s="32"/>
      <c r="AI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XEY760" s="27"/>
      <c r="XEZ760" s="27"/>
      <c r="XFA760" s="27"/>
      <c r="XFB760" s="27"/>
      <c r="XFC760" s="27"/>
      <c r="XFD760" s="27"/>
    </row>
    <row r="761" s="42" customFormat="true" ht="14.15" hidden="false" customHeight="true" outlineLevel="0" collapsed="false">
      <c r="A761" s="28" t="s">
        <v>4839</v>
      </c>
      <c r="B761" s="29" t="s">
        <v>2433</v>
      </c>
      <c r="C761" s="29" t="s">
        <v>4840</v>
      </c>
      <c r="D761" s="30" t="s">
        <v>172</v>
      </c>
      <c r="E761" s="30" t="s">
        <v>1277</v>
      </c>
      <c r="F761" s="32" t="n">
        <v>72</v>
      </c>
      <c r="G761" s="31"/>
      <c r="H761" s="31" t="n">
        <v>1</v>
      </c>
      <c r="I761" s="31" t="s">
        <v>435</v>
      </c>
      <c r="J761" s="29"/>
      <c r="K761" s="29" t="s">
        <v>3617</v>
      </c>
      <c r="L761" s="32" t="n">
        <v>8</v>
      </c>
      <c r="M761" s="33" t="s">
        <v>3465</v>
      </c>
      <c r="N761" s="34" t="n">
        <v>75016</v>
      </c>
      <c r="O761" s="35" t="s">
        <v>55</v>
      </c>
      <c r="P761" s="36"/>
      <c r="Q761" s="36" t="n">
        <v>3</v>
      </c>
      <c r="R761" s="32" t="n">
        <v>58</v>
      </c>
      <c r="S761" s="32" t="n">
        <v>2</v>
      </c>
      <c r="T761" s="43" t="s">
        <v>316</v>
      </c>
      <c r="U761" s="32"/>
      <c r="V761" s="37"/>
      <c r="W761" s="32"/>
      <c r="X761" s="34"/>
      <c r="Y761" s="34"/>
      <c r="Z761" s="32"/>
      <c r="AA761" s="32" t="s">
        <v>4841</v>
      </c>
      <c r="AB761" s="32"/>
      <c r="AC761" s="38" t="str">
        <f aca="false">HYPERLINK("https://biocodex6--c.vf.force.com/0014L00000KFUsIQAX", "BROOMAND BERNARD")</f>
        <v>BROOMAND BERNARD</v>
      </c>
      <c r="AD761" s="38"/>
      <c r="AE761" s="39"/>
      <c r="AF761" s="40"/>
      <c r="AG761" s="41"/>
      <c r="AH761" s="32"/>
      <c r="AI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XEY761" s="27"/>
      <c r="XEZ761" s="27"/>
      <c r="XFA761" s="27"/>
      <c r="XFB761" s="27"/>
      <c r="XFC761" s="27"/>
      <c r="XFD761" s="27"/>
    </row>
    <row r="762" s="42" customFormat="true" ht="14.15" hidden="false" customHeight="true" outlineLevel="0" collapsed="false">
      <c r="A762" s="28" t="s">
        <v>4842</v>
      </c>
      <c r="B762" s="29" t="s">
        <v>4843</v>
      </c>
      <c r="C762" s="29" t="s">
        <v>4844</v>
      </c>
      <c r="D762" s="30" t="s">
        <v>112</v>
      </c>
      <c r="E762" s="31"/>
      <c r="F762" s="32" t="n">
        <v>40</v>
      </c>
      <c r="G762" s="31"/>
      <c r="H762" s="31" t="n">
        <v>1</v>
      </c>
      <c r="I762" s="31" t="s">
        <v>77</v>
      </c>
      <c r="J762" s="29" t="s">
        <v>246</v>
      </c>
      <c r="K762" s="29" t="s">
        <v>247</v>
      </c>
      <c r="L762" s="32" t="n">
        <v>36</v>
      </c>
      <c r="M762" s="33" t="s">
        <v>248</v>
      </c>
      <c r="N762" s="34" t="n">
        <v>92200</v>
      </c>
      <c r="O762" s="35" t="s">
        <v>81</v>
      </c>
      <c r="P762" s="36" t="s">
        <v>365</v>
      </c>
      <c r="Q762" s="36" t="n">
        <v>49</v>
      </c>
      <c r="R762" s="32" t="n">
        <v>57</v>
      </c>
      <c r="S762" s="32" t="n">
        <v>2</v>
      </c>
      <c r="T762" s="32"/>
      <c r="U762" s="32"/>
      <c r="V762" s="37"/>
      <c r="W762" s="32"/>
      <c r="X762" s="34"/>
      <c r="Y762" s="34"/>
      <c r="Z762" s="36"/>
      <c r="AA762" s="32" t="s">
        <v>4845</v>
      </c>
      <c r="AB762" s="32"/>
      <c r="AC762" s="38" t="str">
        <f aca="false">HYPERLINK("https://biocodex6--c.vf.force.com/0014L00000KGFn4QAH", "HAJJI HELA")</f>
        <v>HAJJI HELA</v>
      </c>
      <c r="AD762" s="38"/>
      <c r="AE762" s="39" t="n">
        <v>45233.6041666667</v>
      </c>
      <c r="AF762" s="40"/>
      <c r="AG762" s="41"/>
      <c r="AH762" s="32" t="s">
        <v>179</v>
      </c>
      <c r="AI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XEY762" s="27"/>
      <c r="XEZ762" s="27"/>
      <c r="XFA762" s="27"/>
      <c r="XFB762" s="27"/>
      <c r="XFC762" s="27"/>
      <c r="XFD762" s="27"/>
    </row>
    <row r="763" s="42" customFormat="true" ht="14.15" hidden="false" customHeight="true" outlineLevel="0" collapsed="false">
      <c r="A763" s="28" t="s">
        <v>4846</v>
      </c>
      <c r="B763" s="29" t="s">
        <v>4847</v>
      </c>
      <c r="C763" s="29" t="s">
        <v>4848</v>
      </c>
      <c r="D763" s="30" t="s">
        <v>244</v>
      </c>
      <c r="E763" s="30" t="s">
        <v>245</v>
      </c>
      <c r="F763" s="32" t="n">
        <v>44</v>
      </c>
      <c r="G763" s="31"/>
      <c r="H763" s="31" t="n">
        <v>1</v>
      </c>
      <c r="I763" s="31" t="s">
        <v>51</v>
      </c>
      <c r="J763" s="29" t="s">
        <v>52</v>
      </c>
      <c r="K763" s="29" t="s">
        <v>53</v>
      </c>
      <c r="L763" s="32" t="n">
        <v>149</v>
      </c>
      <c r="M763" s="33" t="s">
        <v>54</v>
      </c>
      <c r="N763" s="34" t="n">
        <v>75015</v>
      </c>
      <c r="O763" s="35" t="s">
        <v>55</v>
      </c>
      <c r="P763" s="36" t="s">
        <v>4554</v>
      </c>
      <c r="Q763" s="36" t="n">
        <v>236</v>
      </c>
      <c r="R763" s="32" t="n">
        <v>57</v>
      </c>
      <c r="S763" s="32" t="n">
        <v>2</v>
      </c>
      <c r="T763" s="32"/>
      <c r="U763" s="32"/>
      <c r="V763" s="37"/>
      <c r="W763" s="32"/>
      <c r="X763" s="34"/>
      <c r="Y763" s="34"/>
      <c r="Z763" s="32"/>
      <c r="AA763" s="32" t="s">
        <v>4849</v>
      </c>
      <c r="AB763" s="32"/>
      <c r="AC763" s="38" t="str">
        <f aca="false">HYPERLINK("https://biocodex6--c.vf.force.com/0014L00000KFYrLQAX", "DRIESSEN MARINE")</f>
        <v>DRIESSEN MARINE</v>
      </c>
      <c r="AD763" s="38"/>
      <c r="AE763" s="39"/>
      <c r="AF763" s="40"/>
      <c r="AG763" s="41"/>
      <c r="AH763" s="32"/>
      <c r="AI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XEY763" s="27"/>
      <c r="XEZ763" s="27"/>
      <c r="XFA763" s="27"/>
      <c r="XFB763" s="27"/>
      <c r="XFC763" s="27"/>
      <c r="XFD763" s="27"/>
    </row>
    <row r="764" s="42" customFormat="true" ht="14.15" hidden="false" customHeight="true" outlineLevel="0" collapsed="false">
      <c r="A764" s="28" t="s">
        <v>4850</v>
      </c>
      <c r="B764" s="29" t="s">
        <v>4169</v>
      </c>
      <c r="C764" s="29" t="s">
        <v>4851</v>
      </c>
      <c r="D764" s="30" t="s">
        <v>244</v>
      </c>
      <c r="E764" s="31"/>
      <c r="F764" s="32" t="n">
        <v>36</v>
      </c>
      <c r="G764" s="31"/>
      <c r="H764" s="31" t="n">
        <v>1</v>
      </c>
      <c r="I764" s="31" t="s">
        <v>295</v>
      </c>
      <c r="J764" s="29" t="s">
        <v>489</v>
      </c>
      <c r="K764" s="29" t="s">
        <v>490</v>
      </c>
      <c r="L764" s="32" t="n">
        <v>3</v>
      </c>
      <c r="M764" s="33" t="s">
        <v>491</v>
      </c>
      <c r="N764" s="34" t="n">
        <v>92300</v>
      </c>
      <c r="O764" s="35" t="s">
        <v>298</v>
      </c>
      <c r="P764" s="36" t="s">
        <v>1592</v>
      </c>
      <c r="Q764" s="36" t="n">
        <v>26</v>
      </c>
      <c r="R764" s="32" t="n">
        <v>56</v>
      </c>
      <c r="S764" s="32" t="n">
        <v>2</v>
      </c>
      <c r="T764" s="32"/>
      <c r="U764" s="32"/>
      <c r="V764" s="37" t="n">
        <v>3</v>
      </c>
      <c r="W764" s="32" t="n">
        <v>3</v>
      </c>
      <c r="X764" s="34"/>
      <c r="Y764" s="34" t="n">
        <v>1</v>
      </c>
      <c r="Z764" s="32"/>
      <c r="AA764" s="32" t="s">
        <v>4852</v>
      </c>
      <c r="AB764" s="32"/>
      <c r="AC764" s="38" t="str">
        <f aca="false">HYPERLINK("https://biocodex6--c.vf.force.com/0014L00000KG9hRQAT", "LAROUZEE ELISE")</f>
        <v>LAROUZEE ELISE</v>
      </c>
      <c r="AD764" s="38"/>
      <c r="AE764" s="39" t="n">
        <v>45246.5625</v>
      </c>
      <c r="AF764" s="40"/>
      <c r="AG764" s="41"/>
      <c r="AH764" s="32"/>
      <c r="AI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XEY764" s="27"/>
      <c r="XEZ764" s="27"/>
      <c r="XFA764" s="27"/>
      <c r="XFB764" s="27"/>
      <c r="XFC764" s="27"/>
      <c r="XFD764" s="27"/>
    </row>
    <row r="765" s="42" customFormat="true" ht="14.15" hidden="false" customHeight="true" outlineLevel="0" collapsed="false">
      <c r="A765" s="28" t="s">
        <v>4853</v>
      </c>
      <c r="B765" s="29" t="s">
        <v>2640</v>
      </c>
      <c r="C765" s="29" t="s">
        <v>4854</v>
      </c>
      <c r="D765" s="30" t="s">
        <v>1103</v>
      </c>
      <c r="E765" s="30" t="s">
        <v>172</v>
      </c>
      <c r="F765" s="32" t="n">
        <v>85</v>
      </c>
      <c r="G765" s="31" t="s">
        <v>215</v>
      </c>
      <c r="H765" s="31" t="n">
        <v>2</v>
      </c>
      <c r="I765" s="31" t="s">
        <v>435</v>
      </c>
      <c r="J765" s="29"/>
      <c r="K765" s="29" t="s">
        <v>4855</v>
      </c>
      <c r="L765" s="32" t="n">
        <v>5</v>
      </c>
      <c r="M765" s="33" t="s">
        <v>4856</v>
      </c>
      <c r="N765" s="34" t="n">
        <v>75016</v>
      </c>
      <c r="O765" s="35" t="s">
        <v>55</v>
      </c>
      <c r="P765" s="36" t="s">
        <v>4857</v>
      </c>
      <c r="Q765" s="36" t="n">
        <v>1</v>
      </c>
      <c r="R765" s="32" t="n">
        <v>56</v>
      </c>
      <c r="S765" s="32" t="n">
        <v>2</v>
      </c>
      <c r="T765" s="43" t="s">
        <v>316</v>
      </c>
      <c r="U765" s="32"/>
      <c r="V765" s="37"/>
      <c r="W765" s="32"/>
      <c r="X765" s="34"/>
      <c r="Y765" s="34"/>
      <c r="Z765" s="32"/>
      <c r="AA765" s="32" t="s">
        <v>4858</v>
      </c>
      <c r="AB765" s="32" t="s">
        <v>4859</v>
      </c>
      <c r="AC765" s="38" t="str">
        <f aca="false">HYPERLINK("https://biocodex6--c.vf.force.com/0014L00000KFxOMQA1", "RABAIN JEAN FRANCOIS")</f>
        <v>RABAIN JEAN FRANCOIS</v>
      </c>
      <c r="AD765" s="38" t="str">
        <f aca="false">HYPERLINK("https://annuairesante.ameli.fr/professionnels-de-sante/recherche/fiche-detaillee-B7c1kDQwODey.html", "RABAIN JEAN FRANCOIS")</f>
        <v>RABAIN JEAN FRANCOIS</v>
      </c>
      <c r="AE765" s="39"/>
      <c r="AF765" s="40"/>
      <c r="AG765" s="41"/>
      <c r="AH765" s="32"/>
      <c r="AI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XEY765" s="27"/>
      <c r="XEZ765" s="27"/>
      <c r="XFA765" s="27"/>
      <c r="XFB765" s="27"/>
      <c r="XFC765" s="27"/>
      <c r="XFD765" s="27"/>
    </row>
    <row r="766" s="42" customFormat="true" ht="14.15" hidden="false" customHeight="true" outlineLevel="0" collapsed="false">
      <c r="A766" s="28" t="s">
        <v>4860</v>
      </c>
      <c r="B766" s="29" t="s">
        <v>3304</v>
      </c>
      <c r="C766" s="29" t="s">
        <v>4861</v>
      </c>
      <c r="D766" s="30" t="s">
        <v>172</v>
      </c>
      <c r="E766" s="30" t="s">
        <v>4862</v>
      </c>
      <c r="F766" s="32" t="n">
        <v>70</v>
      </c>
      <c r="G766" s="31"/>
      <c r="H766" s="31" t="n">
        <v>3</v>
      </c>
      <c r="I766" s="31" t="s">
        <v>435</v>
      </c>
      <c r="J766" s="29"/>
      <c r="K766" s="29" t="s">
        <v>4863</v>
      </c>
      <c r="L766" s="32" t="n">
        <v>12</v>
      </c>
      <c r="M766" s="33" t="s">
        <v>4864</v>
      </c>
      <c r="N766" s="34" t="n">
        <v>75016</v>
      </c>
      <c r="O766" s="35" t="s">
        <v>55</v>
      </c>
      <c r="P766" s="36" t="s">
        <v>4865</v>
      </c>
      <c r="Q766" s="36" t="n">
        <v>2</v>
      </c>
      <c r="R766" s="32" t="n">
        <v>55</v>
      </c>
      <c r="S766" s="32" t="n">
        <v>2</v>
      </c>
      <c r="T766" s="43" t="s">
        <v>316</v>
      </c>
      <c r="U766" s="32"/>
      <c r="V766" s="37"/>
      <c r="W766" s="32"/>
      <c r="X766" s="34"/>
      <c r="Y766" s="34"/>
      <c r="Z766" s="32"/>
      <c r="AA766" s="32" t="s">
        <v>4866</v>
      </c>
      <c r="AB766" s="32"/>
      <c r="AC766" s="38" t="str">
        <f aca="false">HYPERLINK("https://biocodex6--c.vf.force.com/0014L00000KFzpYQAT", "ROYANT PAROLA SYLVIE")</f>
        <v>ROYANT PAROLA SYLVIE</v>
      </c>
      <c r="AD766" s="38"/>
      <c r="AE766" s="39"/>
      <c r="AF766" s="40"/>
      <c r="AG766" s="41"/>
      <c r="AH766" s="32"/>
      <c r="AI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XEY766" s="27"/>
      <c r="XEZ766" s="27"/>
      <c r="XFA766" s="27"/>
      <c r="XFB766" s="27"/>
      <c r="XFC766" s="27"/>
      <c r="XFD766" s="27"/>
    </row>
    <row r="767" s="42" customFormat="true" ht="14.15" hidden="false" customHeight="true" outlineLevel="0" collapsed="false">
      <c r="A767" s="28" t="s">
        <v>4867</v>
      </c>
      <c r="B767" s="29" t="s">
        <v>2481</v>
      </c>
      <c r="C767" s="29" t="s">
        <v>4868</v>
      </c>
      <c r="D767" s="30" t="s">
        <v>172</v>
      </c>
      <c r="E767" s="31"/>
      <c r="F767" s="32" t="n">
        <v>66</v>
      </c>
      <c r="G767" s="31"/>
      <c r="H767" s="31" t="n">
        <v>1</v>
      </c>
      <c r="I767" s="31" t="s">
        <v>173</v>
      </c>
      <c r="J767" s="29"/>
      <c r="K767" s="29" t="s">
        <v>4869</v>
      </c>
      <c r="L767" s="32" t="n">
        <v>74</v>
      </c>
      <c r="M767" s="33" t="s">
        <v>1637</v>
      </c>
      <c r="N767" s="34" t="n">
        <v>75016</v>
      </c>
      <c r="O767" s="35" t="s">
        <v>55</v>
      </c>
      <c r="P767" s="36"/>
      <c r="Q767" s="36" t="n">
        <v>2</v>
      </c>
      <c r="R767" s="36" t="n">
        <v>55</v>
      </c>
      <c r="S767" s="32" t="n">
        <v>2</v>
      </c>
      <c r="T767" s="43" t="s">
        <v>2189</v>
      </c>
      <c r="U767" s="32" t="n">
        <v>3</v>
      </c>
      <c r="V767" s="37" t="n">
        <v>3</v>
      </c>
      <c r="W767" s="32"/>
      <c r="X767" s="34"/>
      <c r="Y767" s="34"/>
      <c r="Z767" s="32"/>
      <c r="AA767" s="32" t="s">
        <v>4870</v>
      </c>
      <c r="AB767" s="32"/>
      <c r="AC767" s="38" t="str">
        <f aca="false">HYPERLINK("https://biocodex6--c.vf.force.com/0014L00000KFVaDQAX", "CARRIERE ANNE SOPHIE")</f>
        <v>CARRIERE ANNE SOPHIE</v>
      </c>
      <c r="AD767" s="38"/>
      <c r="AE767" s="39"/>
      <c r="AF767" s="40"/>
      <c r="AG767" s="41"/>
      <c r="AH767" s="32"/>
      <c r="AI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XEY767" s="27"/>
      <c r="XEZ767" s="27"/>
      <c r="XFA767" s="27"/>
      <c r="XFB767" s="27"/>
      <c r="XFC767" s="27"/>
      <c r="XFD767" s="27"/>
    </row>
    <row r="768" s="42" customFormat="true" ht="14.15" hidden="false" customHeight="true" outlineLevel="0" collapsed="false">
      <c r="A768" s="28" t="s">
        <v>4871</v>
      </c>
      <c r="B768" s="29" t="s">
        <v>1101</v>
      </c>
      <c r="C768" s="29" t="s">
        <v>4872</v>
      </c>
      <c r="D768" s="30" t="s">
        <v>172</v>
      </c>
      <c r="E768" s="31"/>
      <c r="F768" s="32" t="n">
        <v>62</v>
      </c>
      <c r="G768" s="31"/>
      <c r="H768" s="31" t="n">
        <v>1</v>
      </c>
      <c r="I768" s="31" t="s">
        <v>572</v>
      </c>
      <c r="J768" s="29"/>
      <c r="K768" s="29" t="s">
        <v>4873</v>
      </c>
      <c r="L768" s="32" t="n">
        <v>11</v>
      </c>
      <c r="M768" s="33" t="s">
        <v>4874</v>
      </c>
      <c r="N768" s="34" t="n">
        <v>75008</v>
      </c>
      <c r="O768" s="35" t="s">
        <v>55</v>
      </c>
      <c r="P768" s="36" t="s">
        <v>4875</v>
      </c>
      <c r="Q768" s="36" t="n">
        <v>2</v>
      </c>
      <c r="R768" s="32" t="n">
        <v>53</v>
      </c>
      <c r="S768" s="32" t="n">
        <v>2</v>
      </c>
      <c r="T768" s="43" t="s">
        <v>4813</v>
      </c>
      <c r="U768" s="32" t="n">
        <v>3</v>
      </c>
      <c r="V768" s="37" t="n">
        <v>3</v>
      </c>
      <c r="W768" s="32"/>
      <c r="X768" s="34"/>
      <c r="Y768" s="34"/>
      <c r="Z768" s="32"/>
      <c r="AA768" s="32" t="s">
        <v>4876</v>
      </c>
      <c r="AB768" s="44"/>
      <c r="AC768" s="38" t="str">
        <f aca="false">HYPERLINK("https://biocodex6--c.vf.force.com/0014L00000KFlQhQAL", "LAFFONT ISABELLE")</f>
        <v>LAFFONT ISABELLE</v>
      </c>
      <c r="AD768" s="38"/>
      <c r="AE768" s="39" t="n">
        <v>45366.4583333333</v>
      </c>
      <c r="AF768" s="40" t="s">
        <v>4877</v>
      </c>
      <c r="AG768" s="41"/>
      <c r="AH768" s="32" t="s">
        <v>70</v>
      </c>
      <c r="AI768" s="32" t="s">
        <v>71</v>
      </c>
      <c r="AJ768" s="42" t="s">
        <v>4878</v>
      </c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XEY768" s="27"/>
      <c r="XEZ768" s="27"/>
      <c r="XFA768" s="27"/>
      <c r="XFB768" s="27"/>
      <c r="XFC768" s="27"/>
      <c r="XFD768" s="27"/>
    </row>
    <row r="769" s="42" customFormat="true" ht="14.15" hidden="false" customHeight="true" outlineLevel="0" collapsed="false">
      <c r="A769" s="28" t="s">
        <v>4879</v>
      </c>
      <c r="B769" s="29" t="s">
        <v>1304</v>
      </c>
      <c r="C769" s="29" t="s">
        <v>4880</v>
      </c>
      <c r="D769" s="30" t="s">
        <v>172</v>
      </c>
      <c r="E769" s="30" t="s">
        <v>818</v>
      </c>
      <c r="F769" s="32" t="n">
        <v>55</v>
      </c>
      <c r="G769" s="31"/>
      <c r="H769" s="31" t="n">
        <v>1</v>
      </c>
      <c r="I769" s="31" t="s">
        <v>99</v>
      </c>
      <c r="J769" s="29" t="s">
        <v>595</v>
      </c>
      <c r="K769" s="29" t="s">
        <v>596</v>
      </c>
      <c r="L769" s="32" t="n">
        <v>20</v>
      </c>
      <c r="M769" s="33" t="s">
        <v>597</v>
      </c>
      <c r="N769" s="34" t="n">
        <v>75015</v>
      </c>
      <c r="O769" s="35" t="s">
        <v>55</v>
      </c>
      <c r="P769" s="36"/>
      <c r="Q769" s="36" t="n">
        <v>90</v>
      </c>
      <c r="R769" s="32" t="n">
        <v>53</v>
      </c>
      <c r="S769" s="32" t="n">
        <v>2</v>
      </c>
      <c r="T769" s="43" t="s">
        <v>316</v>
      </c>
      <c r="U769" s="32"/>
      <c r="V769" s="37"/>
      <c r="W769" s="32"/>
      <c r="X769" s="34"/>
      <c r="Y769" s="34"/>
      <c r="Z769" s="32"/>
      <c r="AA769" s="32" t="s">
        <v>4881</v>
      </c>
      <c r="AB769" s="32"/>
      <c r="AC769" s="38" t="str">
        <f aca="false">HYPERLINK("https://biocodex6--c.vf.force.com/0014L00000KFtHVQA1", "DE VAUX PAULINE")</f>
        <v>DE VAUX PAULINE</v>
      </c>
      <c r="AD769" s="38"/>
      <c r="AE769" s="39"/>
      <c r="AF769" s="40"/>
      <c r="AG769" s="41"/>
      <c r="AH769" s="32"/>
      <c r="AI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XEY769" s="27"/>
      <c r="XEZ769" s="27"/>
      <c r="XFA769" s="27"/>
      <c r="XFB769" s="27"/>
      <c r="XFC769" s="27"/>
      <c r="XFD769" s="27"/>
    </row>
    <row r="770" s="42" customFormat="true" ht="14.15" hidden="false" customHeight="true" outlineLevel="0" collapsed="false">
      <c r="A770" s="28" t="s">
        <v>4882</v>
      </c>
      <c r="B770" s="29" t="s">
        <v>3640</v>
      </c>
      <c r="C770" s="29" t="s">
        <v>4883</v>
      </c>
      <c r="D770" s="30" t="s">
        <v>172</v>
      </c>
      <c r="E770" s="31"/>
      <c r="F770" s="32" t="n">
        <v>50</v>
      </c>
      <c r="G770" s="31"/>
      <c r="H770" s="31" t="n">
        <v>2</v>
      </c>
      <c r="I770" s="31" t="s">
        <v>173</v>
      </c>
      <c r="J770" s="29"/>
      <c r="K770" s="29" t="s">
        <v>4884</v>
      </c>
      <c r="L770" s="32" t="n">
        <v>30</v>
      </c>
      <c r="M770" s="33" t="s">
        <v>4885</v>
      </c>
      <c r="N770" s="34" t="n">
        <v>75016</v>
      </c>
      <c r="O770" s="35" t="s">
        <v>55</v>
      </c>
      <c r="P770" s="36"/>
      <c r="Q770" s="36" t="n">
        <v>2</v>
      </c>
      <c r="R770" s="32" t="n">
        <v>53</v>
      </c>
      <c r="S770" s="32" t="n">
        <v>2</v>
      </c>
      <c r="T770" s="43" t="s">
        <v>3663</v>
      </c>
      <c r="U770" s="32"/>
      <c r="V770" s="37" t="n">
        <v>3</v>
      </c>
      <c r="W770" s="32"/>
      <c r="X770" s="34"/>
      <c r="Y770" s="34"/>
      <c r="Z770" s="36"/>
      <c r="AA770" s="32" t="s">
        <v>4886</v>
      </c>
      <c r="AB770" s="32"/>
      <c r="AC770" s="38" t="str">
        <f aca="false">HYPERLINK("https://biocodex6--c.vf.force.com/0014L00000KFYzzQAH", "DUBEAU MARIE CHARLOTTE")</f>
        <v>DUBEAU MARIE CHARLOTTE</v>
      </c>
      <c r="AD770" s="38"/>
      <c r="AE770" s="39"/>
      <c r="AF770" s="40"/>
      <c r="AG770" s="41"/>
      <c r="AH770" s="32" t="s">
        <v>179</v>
      </c>
      <c r="AI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XEY770" s="27"/>
      <c r="XEZ770" s="27"/>
      <c r="XFA770" s="27"/>
      <c r="XFB770" s="27"/>
      <c r="XFC770" s="27"/>
      <c r="XFD770" s="27"/>
    </row>
    <row r="771" s="42" customFormat="true" ht="14.15" hidden="false" customHeight="true" outlineLevel="0" collapsed="false">
      <c r="A771" s="28" t="s">
        <v>4887</v>
      </c>
      <c r="B771" s="29" t="s">
        <v>1270</v>
      </c>
      <c r="C771" s="29" t="s">
        <v>4888</v>
      </c>
      <c r="D771" s="30" t="s">
        <v>112</v>
      </c>
      <c r="E771" s="31"/>
      <c r="F771" s="32" t="n">
        <v>67</v>
      </c>
      <c r="G771" s="31"/>
      <c r="H771" s="31" t="n">
        <v>1</v>
      </c>
      <c r="I771" s="31" t="s">
        <v>51</v>
      </c>
      <c r="J771" s="29" t="s">
        <v>3812</v>
      </c>
      <c r="K771" s="29" t="s">
        <v>3813</v>
      </c>
      <c r="L771" s="32" t="n">
        <v>17</v>
      </c>
      <c r="M771" s="33" t="s">
        <v>3814</v>
      </c>
      <c r="N771" s="34" t="n">
        <v>75015</v>
      </c>
      <c r="O771" s="35" t="s">
        <v>55</v>
      </c>
      <c r="P771" s="36" t="s">
        <v>3815</v>
      </c>
      <c r="Q771" s="36" t="n">
        <v>5</v>
      </c>
      <c r="R771" s="32" t="n">
        <v>51</v>
      </c>
      <c r="S771" s="32" t="n">
        <v>2</v>
      </c>
      <c r="T771" s="32"/>
      <c r="U771" s="32"/>
      <c r="V771" s="37"/>
      <c r="W771" s="32"/>
      <c r="X771" s="34"/>
      <c r="Y771" s="34"/>
      <c r="Z771" s="32"/>
      <c r="AA771" s="32" t="s">
        <v>4889</v>
      </c>
      <c r="AB771" s="32"/>
      <c r="AC771" s="38" t="str">
        <f aca="false">HYPERLINK("https://biocodex6--c.vf.force.com/0014L00000KFgZ1QAL", "COLIN GORSKI ANNE MARIE")</f>
        <v>COLIN GORSKI ANNE MARIE</v>
      </c>
      <c r="AD771" s="38"/>
      <c r="AE771" s="39" t="n">
        <v>45245.3958333333</v>
      </c>
      <c r="AF771" s="40"/>
      <c r="AG771" s="41"/>
      <c r="AH771" s="32"/>
      <c r="AI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XEY771" s="27"/>
      <c r="XEZ771" s="27"/>
      <c r="XFA771" s="27"/>
      <c r="XFB771" s="27"/>
      <c r="XFC771" s="27"/>
      <c r="XFD771" s="27"/>
    </row>
    <row r="772" s="42" customFormat="true" ht="14.15" hidden="false" customHeight="true" outlineLevel="0" collapsed="false">
      <c r="A772" s="28" t="s">
        <v>4890</v>
      </c>
      <c r="B772" s="29" t="s">
        <v>128</v>
      </c>
      <c r="C772" s="29" t="s">
        <v>4891</v>
      </c>
      <c r="D772" s="30" t="s">
        <v>172</v>
      </c>
      <c r="E772" s="30" t="s">
        <v>818</v>
      </c>
      <c r="F772" s="32" t="n">
        <v>70</v>
      </c>
      <c r="G772" s="31"/>
      <c r="H772" s="31" t="n">
        <v>1</v>
      </c>
      <c r="I772" s="31" t="s">
        <v>99</v>
      </c>
      <c r="J772" s="29"/>
      <c r="K772" s="29" t="s">
        <v>4892</v>
      </c>
      <c r="L772" s="32" t="n">
        <v>15</v>
      </c>
      <c r="M772" s="33" t="s">
        <v>4893</v>
      </c>
      <c r="N772" s="34" t="n">
        <v>75015</v>
      </c>
      <c r="O772" s="35" t="s">
        <v>55</v>
      </c>
      <c r="P772" s="36" t="s">
        <v>4894</v>
      </c>
      <c r="Q772" s="36" t="n">
        <v>1</v>
      </c>
      <c r="R772" s="32" t="n">
        <v>51</v>
      </c>
      <c r="S772" s="32" t="n">
        <v>2</v>
      </c>
      <c r="T772" s="43" t="s">
        <v>2183</v>
      </c>
      <c r="U772" s="32" t="n">
        <v>3</v>
      </c>
      <c r="V772" s="37" t="n">
        <v>3</v>
      </c>
      <c r="W772" s="32"/>
      <c r="X772" s="34"/>
      <c r="Y772" s="34"/>
      <c r="Z772" s="36"/>
      <c r="AA772" s="32" t="s">
        <v>4895</v>
      </c>
      <c r="AB772" s="32"/>
      <c r="AC772" s="38" t="str">
        <f aca="false">HYPERLINK("https://biocodex6--c.vf.force.com/0014L00000KFSKBQA5", "BELCOUR FRANCOISE")</f>
        <v>BELCOUR FRANCOISE</v>
      </c>
      <c r="AD772" s="38"/>
      <c r="AE772" s="39"/>
      <c r="AF772" s="40"/>
      <c r="AG772" s="41"/>
      <c r="AH772" s="32" t="s">
        <v>179</v>
      </c>
      <c r="AI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XEY772" s="27"/>
      <c r="XEZ772" s="27"/>
      <c r="XFA772" s="27"/>
      <c r="XFB772" s="27"/>
      <c r="XFC772" s="27"/>
      <c r="XFD772" s="27"/>
    </row>
    <row r="773" s="42" customFormat="true" ht="14.15" hidden="false" customHeight="true" outlineLevel="0" collapsed="false">
      <c r="A773" s="28" t="s">
        <v>4896</v>
      </c>
      <c r="B773" s="29" t="s">
        <v>4897</v>
      </c>
      <c r="C773" s="29" t="s">
        <v>4898</v>
      </c>
      <c r="D773" s="30" t="s">
        <v>172</v>
      </c>
      <c r="E773" s="30" t="s">
        <v>818</v>
      </c>
      <c r="F773" s="32" t="n">
        <v>61</v>
      </c>
      <c r="G773" s="31"/>
      <c r="H773" s="31" t="n">
        <v>1</v>
      </c>
      <c r="I773" s="31" t="s">
        <v>119</v>
      </c>
      <c r="J773" s="29"/>
      <c r="K773" s="29" t="s">
        <v>4899</v>
      </c>
      <c r="L773" s="32" t="n">
        <v>1</v>
      </c>
      <c r="M773" s="33" t="s">
        <v>4900</v>
      </c>
      <c r="N773" s="34" t="n">
        <v>75007</v>
      </c>
      <c r="O773" s="35" t="s">
        <v>55</v>
      </c>
      <c r="P773" s="36" t="s">
        <v>4901</v>
      </c>
      <c r="Q773" s="36" t="n">
        <v>1</v>
      </c>
      <c r="R773" s="32" t="n">
        <v>51</v>
      </c>
      <c r="S773" s="32" t="n">
        <v>2</v>
      </c>
      <c r="T773" s="43" t="s">
        <v>1107</v>
      </c>
      <c r="U773" s="32"/>
      <c r="V773" s="37" t="n">
        <v>3</v>
      </c>
      <c r="W773" s="32"/>
      <c r="X773" s="34"/>
      <c r="Y773" s="34"/>
      <c r="Z773" s="32"/>
      <c r="AA773" s="32" t="s">
        <v>4902</v>
      </c>
      <c r="AB773" s="32"/>
      <c r="AC773" s="38" t="str">
        <f aca="false">HYPERLINK("https://biocodex6--c.vf.force.com/0014L00000KFj5WQAT", "HOURTANE MARYSE")</f>
        <v>HOURTANE MARYSE</v>
      </c>
      <c r="AD773" s="38"/>
      <c r="AE773" s="39"/>
      <c r="AF773" s="40"/>
      <c r="AG773" s="41"/>
      <c r="AH773" s="32"/>
      <c r="AI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XEY773" s="27"/>
      <c r="XEZ773" s="27"/>
      <c r="XFA773" s="27"/>
      <c r="XFB773" s="27"/>
      <c r="XFC773" s="27"/>
      <c r="XFD773" s="27"/>
    </row>
    <row r="774" s="42" customFormat="true" ht="14.15" hidden="false" customHeight="true" outlineLevel="0" collapsed="false">
      <c r="A774" s="28" t="s">
        <v>4903</v>
      </c>
      <c r="B774" s="29" t="s">
        <v>3454</v>
      </c>
      <c r="C774" s="29" t="s">
        <v>4904</v>
      </c>
      <c r="D774" s="30" t="s">
        <v>172</v>
      </c>
      <c r="E774" s="31"/>
      <c r="F774" s="32" t="n">
        <v>66</v>
      </c>
      <c r="G774" s="31"/>
      <c r="H774" s="31" t="n">
        <v>1</v>
      </c>
      <c r="I774" s="31" t="s">
        <v>197</v>
      </c>
      <c r="J774" s="29"/>
      <c r="K774" s="29" t="s">
        <v>4905</v>
      </c>
      <c r="L774" s="32" t="n">
        <v>39</v>
      </c>
      <c r="M774" s="33" t="s">
        <v>4906</v>
      </c>
      <c r="N774" s="34" t="n">
        <v>75017</v>
      </c>
      <c r="O774" s="35" t="s">
        <v>55</v>
      </c>
      <c r="P774" s="36" t="s">
        <v>4907</v>
      </c>
      <c r="Q774" s="36" t="n">
        <v>3</v>
      </c>
      <c r="R774" s="32" t="n">
        <v>51</v>
      </c>
      <c r="S774" s="32" t="n">
        <v>2</v>
      </c>
      <c r="T774" s="43" t="s">
        <v>2183</v>
      </c>
      <c r="U774" s="32"/>
      <c r="V774" s="37" t="n">
        <v>3</v>
      </c>
      <c r="W774" s="32"/>
      <c r="X774" s="34"/>
      <c r="Y774" s="34"/>
      <c r="Z774" s="32"/>
      <c r="AA774" s="32" t="s">
        <v>4908</v>
      </c>
      <c r="AB774" s="32"/>
      <c r="AC774" s="38" t="str">
        <f aca="false">HYPERLINK("https://biocodex6--c.vf.force.com/0014L00000KFTryQAH", "BARBIER DELPHINE")</f>
        <v>BARBIER DELPHINE</v>
      </c>
      <c r="AD774" s="38"/>
      <c r="AE774" s="39"/>
      <c r="AF774" s="40"/>
      <c r="AG774" s="41"/>
      <c r="AH774" s="32"/>
      <c r="AI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XEY774" s="27"/>
      <c r="XEZ774" s="27"/>
      <c r="XFA774" s="27"/>
      <c r="XFB774" s="27"/>
      <c r="XFC774" s="27"/>
      <c r="XFD774" s="27"/>
    </row>
    <row r="775" s="42" customFormat="true" ht="14.15" hidden="false" customHeight="true" outlineLevel="0" collapsed="false">
      <c r="A775" s="28" t="s">
        <v>4909</v>
      </c>
      <c r="B775" s="29" t="s">
        <v>4910</v>
      </c>
      <c r="C775" s="29" t="s">
        <v>4911</v>
      </c>
      <c r="D775" s="30" t="s">
        <v>172</v>
      </c>
      <c r="E775" s="31"/>
      <c r="F775" s="32" t="n">
        <v>37</v>
      </c>
      <c r="G775" s="31"/>
      <c r="H775" s="31" t="n">
        <v>2</v>
      </c>
      <c r="I775" s="31" t="s">
        <v>197</v>
      </c>
      <c r="J775" s="29" t="s">
        <v>1915</v>
      </c>
      <c r="K775" s="29" t="s">
        <v>1916</v>
      </c>
      <c r="L775" s="32" t="n">
        <v>17</v>
      </c>
      <c r="M775" s="33" t="s">
        <v>1917</v>
      </c>
      <c r="N775" s="34" t="n">
        <v>75017</v>
      </c>
      <c r="O775" s="35" t="s">
        <v>55</v>
      </c>
      <c r="P775" s="36" t="s">
        <v>1918</v>
      </c>
      <c r="Q775" s="36" t="n">
        <v>12</v>
      </c>
      <c r="R775" s="32" t="n">
        <v>50</v>
      </c>
      <c r="S775" s="32" t="n">
        <v>2</v>
      </c>
      <c r="T775" s="43" t="s">
        <v>316</v>
      </c>
      <c r="U775" s="32"/>
      <c r="V775" s="37"/>
      <c r="W775" s="32"/>
      <c r="X775" s="34"/>
      <c r="Y775" s="34"/>
      <c r="Z775" s="32"/>
      <c r="AA775" s="32" t="s">
        <v>4912</v>
      </c>
      <c r="AB775" s="32"/>
      <c r="AC775" s="38" t="str">
        <f aca="false">HYPERLINK("https://biocodex6--c.vf.force.com/0014L00000KFPM5QAP", "FAVEZ MAUREEN")</f>
        <v>FAVEZ MAUREEN</v>
      </c>
      <c r="AD775" s="38"/>
      <c r="AE775" s="39"/>
      <c r="AF775" s="40"/>
      <c r="AG775" s="41"/>
      <c r="AH775" s="32"/>
      <c r="AI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XEY775" s="27"/>
      <c r="XEZ775" s="27"/>
      <c r="XFA775" s="27"/>
      <c r="XFB775" s="27"/>
      <c r="XFC775" s="27"/>
      <c r="XFD775" s="27"/>
    </row>
    <row r="776" s="42" customFormat="true" ht="14.15" hidden="false" customHeight="true" outlineLevel="0" collapsed="false">
      <c r="A776" s="28" t="s">
        <v>4913</v>
      </c>
      <c r="B776" s="29" t="s">
        <v>3724</v>
      </c>
      <c r="C776" s="29" t="s">
        <v>4914</v>
      </c>
      <c r="D776" s="30" t="s">
        <v>172</v>
      </c>
      <c r="E776" s="31"/>
      <c r="F776" s="32" t="n">
        <v>42</v>
      </c>
      <c r="G776" s="31"/>
      <c r="H776" s="31" t="n">
        <v>1</v>
      </c>
      <c r="I776" s="31" t="s">
        <v>233</v>
      </c>
      <c r="J776" s="29"/>
      <c r="K776" s="29" t="s">
        <v>2822</v>
      </c>
      <c r="L776" s="32" t="n">
        <v>3</v>
      </c>
      <c r="M776" s="33" t="s">
        <v>2823</v>
      </c>
      <c r="N776" s="34" t="n">
        <v>75015</v>
      </c>
      <c r="O776" s="35" t="s">
        <v>55</v>
      </c>
      <c r="P776" s="36" t="s">
        <v>3699</v>
      </c>
      <c r="Q776" s="36" t="n">
        <v>5</v>
      </c>
      <c r="R776" s="32" t="n">
        <v>48</v>
      </c>
      <c r="S776" s="32" t="n">
        <v>2</v>
      </c>
      <c r="T776" s="43" t="s">
        <v>1107</v>
      </c>
      <c r="U776" s="32" t="n">
        <v>3</v>
      </c>
      <c r="V776" s="37" t="n">
        <v>3</v>
      </c>
      <c r="W776" s="32"/>
      <c r="X776" s="34"/>
      <c r="Y776" s="34"/>
      <c r="Z776" s="32"/>
      <c r="AA776" s="32" t="s">
        <v>4915</v>
      </c>
      <c r="AB776" s="32"/>
      <c r="AC776" s="38" t="str">
        <f aca="false">HYPERLINK("https://biocodex6--c.vf.force.com/0014L00000KFSUBQA5", "BEHEREC LAURENE")</f>
        <v>BEHEREC LAURENE</v>
      </c>
      <c r="AD776" s="38"/>
      <c r="AE776" s="39"/>
      <c r="AF776" s="40"/>
      <c r="AG776" s="41"/>
      <c r="AH776" s="32"/>
      <c r="AI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XEY776" s="27"/>
      <c r="XEZ776" s="27"/>
      <c r="XFA776" s="27"/>
      <c r="XFB776" s="27"/>
      <c r="XFC776" s="27"/>
      <c r="XFD776" s="27"/>
    </row>
    <row r="777" s="42" customFormat="true" ht="14.15" hidden="false" customHeight="true" outlineLevel="0" collapsed="false">
      <c r="A777" s="28" t="s">
        <v>4916</v>
      </c>
      <c r="B777" s="29" t="s">
        <v>1101</v>
      </c>
      <c r="C777" s="29" t="s">
        <v>4917</v>
      </c>
      <c r="D777" s="30" t="s">
        <v>172</v>
      </c>
      <c r="E777" s="30" t="s">
        <v>818</v>
      </c>
      <c r="F777" s="32" t="n">
        <v>67</v>
      </c>
      <c r="G777" s="31"/>
      <c r="H777" s="31" t="n">
        <v>2</v>
      </c>
      <c r="I777" s="31" t="s">
        <v>51</v>
      </c>
      <c r="J777" s="29"/>
      <c r="K777" s="29" t="s">
        <v>4918</v>
      </c>
      <c r="L777" s="32" t="n">
        <v>311</v>
      </c>
      <c r="M777" s="33" t="s">
        <v>852</v>
      </c>
      <c r="N777" s="34" t="n">
        <v>75015</v>
      </c>
      <c r="O777" s="35" t="s">
        <v>55</v>
      </c>
      <c r="P777" s="36" t="s">
        <v>4919</v>
      </c>
      <c r="Q777" s="36" t="n">
        <v>1</v>
      </c>
      <c r="R777" s="32" t="n">
        <v>43</v>
      </c>
      <c r="S777" s="32" t="n">
        <v>2</v>
      </c>
      <c r="T777" s="43" t="s">
        <v>316</v>
      </c>
      <c r="U777" s="32"/>
      <c r="V777" s="37"/>
      <c r="W777" s="32"/>
      <c r="X777" s="34"/>
      <c r="Y777" s="34"/>
      <c r="Z777" s="32"/>
      <c r="AA777" s="32" t="s">
        <v>4920</v>
      </c>
      <c r="AB777" s="32"/>
      <c r="AC777" s="38" t="str">
        <f aca="false">HYPERLINK("https://biocodex6--c.vf.force.com/0014L00000KFgAJQA1", "GIRAUDON ISABELLE")</f>
        <v>GIRAUDON ISABELLE</v>
      </c>
      <c r="AD777" s="38"/>
      <c r="AE777" s="39"/>
      <c r="AF777" s="40"/>
      <c r="AG777" s="41"/>
      <c r="AH777" s="32"/>
      <c r="AI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XEY777" s="27"/>
      <c r="XEZ777" s="27"/>
      <c r="XFA777" s="27"/>
      <c r="XFB777" s="27"/>
      <c r="XFC777" s="27"/>
      <c r="XFD777" s="27"/>
    </row>
    <row r="778" s="42" customFormat="true" ht="14.15" hidden="false" customHeight="true" outlineLevel="0" collapsed="false">
      <c r="A778" s="28" t="s">
        <v>4921</v>
      </c>
      <c r="B778" s="29" t="s">
        <v>560</v>
      </c>
      <c r="C778" s="29" t="s">
        <v>4922</v>
      </c>
      <c r="D778" s="30" t="s">
        <v>172</v>
      </c>
      <c r="E778" s="31"/>
      <c r="F778" s="32" t="n">
        <v>38</v>
      </c>
      <c r="G778" s="31"/>
      <c r="H778" s="31" t="n">
        <v>1</v>
      </c>
      <c r="I778" s="31" t="s">
        <v>197</v>
      </c>
      <c r="J778" s="29"/>
      <c r="K778" s="29" t="s">
        <v>4923</v>
      </c>
      <c r="L778" s="32" t="n">
        <v>209</v>
      </c>
      <c r="M778" s="33" t="s">
        <v>4230</v>
      </c>
      <c r="N778" s="34" t="n">
        <v>75017</v>
      </c>
      <c r="O778" s="35" t="s">
        <v>55</v>
      </c>
      <c r="P778" s="36" t="s">
        <v>4924</v>
      </c>
      <c r="Q778" s="36" t="n">
        <v>1</v>
      </c>
      <c r="R778" s="32" t="n">
        <v>39</v>
      </c>
      <c r="S778" s="32" t="n">
        <v>2</v>
      </c>
      <c r="T778" s="43" t="s">
        <v>316</v>
      </c>
      <c r="U778" s="32"/>
      <c r="V778" s="37"/>
      <c r="W778" s="32"/>
      <c r="X778" s="34"/>
      <c r="Y778" s="34"/>
      <c r="Z778" s="32"/>
      <c r="AA778" s="32" t="s">
        <v>4925</v>
      </c>
      <c r="AB778" s="32"/>
      <c r="AC778" s="38" t="str">
        <f aca="false">HYPERLINK("https://biocodex6--c.vf.force.com/0014L00000KFOSuQAP", "KIESMANN ELISABETH")</f>
        <v>KIESMANN ELISABETH</v>
      </c>
      <c r="AD778" s="38"/>
      <c r="AE778" s="39"/>
      <c r="AF778" s="40"/>
      <c r="AG778" s="41"/>
      <c r="AH778" s="32"/>
      <c r="AI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XEY778" s="27"/>
      <c r="XEZ778" s="27"/>
      <c r="XFA778" s="27"/>
      <c r="XFB778" s="27"/>
      <c r="XFC778" s="27"/>
      <c r="XFD778" s="27"/>
    </row>
    <row r="779" s="42" customFormat="true" ht="14.15" hidden="false" customHeight="true" outlineLevel="0" collapsed="false">
      <c r="A779" s="28" t="s">
        <v>4926</v>
      </c>
      <c r="B779" s="29" t="s">
        <v>4927</v>
      </c>
      <c r="C779" s="29" t="s">
        <v>4928</v>
      </c>
      <c r="D779" s="30" t="s">
        <v>112</v>
      </c>
      <c r="E779" s="31"/>
      <c r="F779" s="32"/>
      <c r="G779" s="31"/>
      <c r="H779" s="31" t="n">
        <v>3</v>
      </c>
      <c r="I779" s="31" t="s">
        <v>77</v>
      </c>
      <c r="J779" s="29" t="s">
        <v>246</v>
      </c>
      <c r="K779" s="29" t="s">
        <v>247</v>
      </c>
      <c r="L779" s="32" t="n">
        <v>36</v>
      </c>
      <c r="M779" s="33" t="s">
        <v>248</v>
      </c>
      <c r="N779" s="34" t="n">
        <v>92200</v>
      </c>
      <c r="O779" s="35" t="s">
        <v>81</v>
      </c>
      <c r="P779" s="36" t="s">
        <v>365</v>
      </c>
      <c r="Q779" s="36" t="n">
        <v>49</v>
      </c>
      <c r="R779" s="32" t="n">
        <v>32</v>
      </c>
      <c r="S779" s="32" t="n">
        <v>2</v>
      </c>
      <c r="T779" s="32"/>
      <c r="U779" s="32"/>
      <c r="V779" s="37"/>
      <c r="W779" s="32"/>
      <c r="X779" s="34"/>
      <c r="Y779" s="34"/>
      <c r="Z779" s="36"/>
      <c r="AA779" s="32" t="s">
        <v>4929</v>
      </c>
      <c r="AB779" s="32"/>
      <c r="AC779" s="38" t="str">
        <f aca="false">HYPERLINK("https://biocodex6--c.vf.force.com/0014L00000KFN7GQAX", "BENISSA MOHAMED REDA")</f>
        <v>BENISSA MOHAMED REDA</v>
      </c>
      <c r="AD779" s="38"/>
      <c r="AE779" s="39"/>
      <c r="AF779" s="40"/>
      <c r="AG779" s="41"/>
      <c r="AH779" s="32" t="s">
        <v>179</v>
      </c>
      <c r="AI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XEY779" s="27"/>
      <c r="XEZ779" s="27"/>
      <c r="XFA779" s="27"/>
      <c r="XFB779" s="27"/>
      <c r="XFC779" s="27"/>
      <c r="XFD779" s="27"/>
    </row>
    <row r="780" s="42" customFormat="true" ht="14.15" hidden="false" customHeight="true" outlineLevel="0" collapsed="false">
      <c r="A780" s="28" t="s">
        <v>4930</v>
      </c>
      <c r="B780" s="29" t="s">
        <v>4931</v>
      </c>
      <c r="C780" s="29" t="s">
        <v>4932</v>
      </c>
      <c r="D780" s="30" t="s">
        <v>244</v>
      </c>
      <c r="E780" s="30" t="s">
        <v>245</v>
      </c>
      <c r="F780" s="32" t="n">
        <v>63</v>
      </c>
      <c r="G780" s="31"/>
      <c r="H780" s="31" t="n">
        <v>1</v>
      </c>
      <c r="I780" s="31" t="s">
        <v>233</v>
      </c>
      <c r="J780" s="29"/>
      <c r="K780" s="29" t="s">
        <v>2741</v>
      </c>
      <c r="L780" s="32" t="n">
        <v>14</v>
      </c>
      <c r="M780" s="33" t="s">
        <v>2742</v>
      </c>
      <c r="N780" s="34" t="n">
        <v>75015</v>
      </c>
      <c r="O780" s="35" t="s">
        <v>55</v>
      </c>
      <c r="P780" s="36" t="s">
        <v>2743</v>
      </c>
      <c r="Q780" s="36" t="n">
        <v>2</v>
      </c>
      <c r="R780" s="32" t="n">
        <v>27</v>
      </c>
      <c r="S780" s="32" t="n">
        <v>2</v>
      </c>
      <c r="T780" s="32"/>
      <c r="U780" s="32"/>
      <c r="V780" s="37" t="n">
        <v>3</v>
      </c>
      <c r="W780" s="32" t="n">
        <v>3</v>
      </c>
      <c r="X780" s="34"/>
      <c r="Y780" s="34" t="n">
        <v>1</v>
      </c>
      <c r="Z780" s="36" t="s">
        <v>4933</v>
      </c>
      <c r="AA780" s="32" t="s">
        <v>4934</v>
      </c>
      <c r="AB780" s="44"/>
      <c r="AC780" s="38" t="str">
        <f aca="false">HYPERLINK("https://biocodex6--c.vf.force.com/0014L00000KFk2BQAT", "COLELLA CAROLINA")</f>
        <v>COLELLA CAROLINA</v>
      </c>
      <c r="AD780" s="38"/>
      <c r="AE780" s="39"/>
      <c r="AF780" s="40"/>
      <c r="AG780" s="41"/>
      <c r="AH780" s="32" t="s">
        <v>179</v>
      </c>
      <c r="AI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XEY780" s="27"/>
      <c r="XEZ780" s="27"/>
      <c r="XFA780" s="27"/>
      <c r="XFB780" s="27"/>
      <c r="XFC780" s="27"/>
      <c r="XFD780" s="27"/>
    </row>
    <row r="781" s="42" customFormat="true" ht="14.15" hidden="false" customHeight="true" outlineLevel="0" collapsed="false">
      <c r="A781" s="28" t="s">
        <v>4935</v>
      </c>
      <c r="B781" s="51" t="s">
        <v>619</v>
      </c>
      <c r="C781" s="51" t="s">
        <v>4936</v>
      </c>
      <c r="D781" s="30" t="s">
        <v>172</v>
      </c>
      <c r="E781" s="30" t="s">
        <v>545</v>
      </c>
      <c r="F781" s="32" t="n">
        <v>35</v>
      </c>
      <c r="G781" s="31"/>
      <c r="H781" s="31" t="n">
        <v>1</v>
      </c>
      <c r="I781" s="31" t="s">
        <v>435</v>
      </c>
      <c r="J781" s="29"/>
      <c r="K781" s="29" t="s">
        <v>4937</v>
      </c>
      <c r="L781" s="32" t="n">
        <v>5</v>
      </c>
      <c r="M781" s="33" t="s">
        <v>2211</v>
      </c>
      <c r="N781" s="34" t="n">
        <v>75016</v>
      </c>
      <c r="O781" s="35" t="s">
        <v>55</v>
      </c>
      <c r="P781" s="36" t="s">
        <v>4938</v>
      </c>
      <c r="Q781" s="36" t="n">
        <v>1</v>
      </c>
      <c r="R781" s="32" t="n">
        <v>25</v>
      </c>
      <c r="S781" s="32" t="n">
        <v>2</v>
      </c>
      <c r="T781" s="43" t="s">
        <v>4813</v>
      </c>
      <c r="U781" s="32"/>
      <c r="V781" s="37" t="n">
        <v>3</v>
      </c>
      <c r="W781" s="32"/>
      <c r="X781" s="34"/>
      <c r="Y781" s="56"/>
      <c r="Z781" s="32"/>
      <c r="AA781" s="32" t="s">
        <v>4939</v>
      </c>
      <c r="AB781" s="57"/>
      <c r="AC781" s="38" t="str">
        <f aca="false">HYPERLINK("https://biocodex6--c.vf.force.com/0014L00000KGBKMQA5", "SALFATI CHARLES")</f>
        <v>SALFATI CHARLES</v>
      </c>
      <c r="AD781" s="38"/>
      <c r="AE781" s="39"/>
      <c r="AF781" s="40"/>
      <c r="AG781" s="41"/>
      <c r="AH781" s="32" t="s">
        <v>156</v>
      </c>
      <c r="AI781" s="32" t="s">
        <v>180</v>
      </c>
      <c r="AK781" s="42" t="s">
        <v>4940</v>
      </c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XEY781" s="27"/>
      <c r="XEZ781" s="27"/>
      <c r="XFA781" s="27"/>
      <c r="XFB781" s="27"/>
      <c r="XFC781" s="27"/>
      <c r="XFD781" s="27"/>
    </row>
    <row r="782" s="42" customFormat="true" ht="14.15" hidden="false" customHeight="true" outlineLevel="0" collapsed="false">
      <c r="A782" s="28" t="s">
        <v>2775</v>
      </c>
      <c r="B782" s="29" t="s">
        <v>1226</v>
      </c>
      <c r="C782" s="29" t="s">
        <v>4411</v>
      </c>
      <c r="D782" s="30" t="s">
        <v>50</v>
      </c>
      <c r="E782" s="31" t="s">
        <v>344</v>
      </c>
      <c r="F782" s="32" t="n">
        <v>79</v>
      </c>
      <c r="G782" s="31"/>
      <c r="H782" s="31" t="n">
        <v>4</v>
      </c>
      <c r="I782" s="31" t="s">
        <v>197</v>
      </c>
      <c r="J782" s="29"/>
      <c r="K782" s="49" t="s">
        <v>4941</v>
      </c>
      <c r="L782" s="32" t="n">
        <v>90</v>
      </c>
      <c r="M782" s="33" t="s">
        <v>605</v>
      </c>
      <c r="N782" s="34" t="n">
        <v>75017</v>
      </c>
      <c r="O782" s="35" t="s">
        <v>55</v>
      </c>
      <c r="P782" s="36" t="s">
        <v>4942</v>
      </c>
      <c r="Q782" s="36" t="n">
        <v>2</v>
      </c>
      <c r="R782" s="32" t="n">
        <v>11</v>
      </c>
      <c r="S782" s="32" t="n">
        <v>2</v>
      </c>
      <c r="T782" s="32"/>
      <c r="U782" s="32"/>
      <c r="V782" s="37" t="n">
        <v>3</v>
      </c>
      <c r="W782" s="32"/>
      <c r="X782" s="34"/>
      <c r="Y782" s="34"/>
      <c r="Z782" s="32"/>
      <c r="AA782" s="32" t="s">
        <v>4412</v>
      </c>
      <c r="AB782" s="32"/>
      <c r="AC782" s="38" t="str">
        <f aca="false">HYPERLINK("https://biocodex6--c.vf.force.com/0014L00000KFtAzQAL", "NACCACHE JEAN PIERRE")</f>
        <v>NACCACHE JEAN PIERRE</v>
      </c>
      <c r="AD782" s="38"/>
      <c r="AE782" s="39" t="n">
        <v>45251.4166666667</v>
      </c>
      <c r="AF782" s="40"/>
      <c r="AG782" s="41"/>
      <c r="AH782" s="32"/>
      <c r="AI782" s="32"/>
      <c r="AK782" s="42" t="s">
        <v>4943</v>
      </c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XEY782" s="27"/>
      <c r="XEZ782" s="27"/>
      <c r="XFA782" s="27"/>
      <c r="XFB782" s="27"/>
      <c r="XFC782" s="27"/>
      <c r="XFD782" s="27"/>
    </row>
    <row r="783" s="42" customFormat="true" ht="14.15" hidden="false" customHeight="true" outlineLevel="0" collapsed="false">
      <c r="A783" s="28" t="s">
        <v>4944</v>
      </c>
      <c r="B783" s="29" t="s">
        <v>3978</v>
      </c>
      <c r="C783" s="29" t="s">
        <v>4945</v>
      </c>
      <c r="D783" s="30" t="s">
        <v>112</v>
      </c>
      <c r="E783" s="30" t="s">
        <v>1709</v>
      </c>
      <c r="F783" s="32" t="n">
        <v>64</v>
      </c>
      <c r="G783" s="31"/>
      <c r="H783" s="31" t="n">
        <v>1</v>
      </c>
      <c r="I783" s="31" t="s">
        <v>51</v>
      </c>
      <c r="J783" s="29" t="s">
        <v>52</v>
      </c>
      <c r="K783" s="29" t="s">
        <v>53</v>
      </c>
      <c r="L783" s="32" t="n">
        <v>149</v>
      </c>
      <c r="M783" s="33" t="s">
        <v>54</v>
      </c>
      <c r="N783" s="34" t="n">
        <v>75015</v>
      </c>
      <c r="O783" s="35" t="s">
        <v>55</v>
      </c>
      <c r="P783" s="36" t="s">
        <v>4610</v>
      </c>
      <c r="Q783" s="36" t="n">
        <v>236</v>
      </c>
      <c r="R783" s="32" t="n">
        <v>11</v>
      </c>
      <c r="S783" s="32" t="n">
        <v>2</v>
      </c>
      <c r="T783" s="32"/>
      <c r="U783" s="32"/>
      <c r="V783" s="37"/>
      <c r="W783" s="32"/>
      <c r="X783" s="34"/>
      <c r="Y783" s="34"/>
      <c r="Z783" s="32"/>
      <c r="AA783" s="32" t="s">
        <v>4946</v>
      </c>
      <c r="AB783" s="32"/>
      <c r="AC783" s="38" t="str">
        <f aca="false">HYPERLINK("https://biocodex6--c.vf.force.com/0014L00000Ufh1VQAR", "RENOLLEAU SYLVAIN")</f>
        <v>RENOLLEAU SYLVAIN</v>
      </c>
      <c r="AD783" s="38"/>
      <c r="AE783" s="39"/>
      <c r="AF783" s="40"/>
      <c r="AG783" s="41"/>
      <c r="AH783" s="32"/>
      <c r="AI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XEY783" s="27"/>
      <c r="XEZ783" s="27"/>
      <c r="XFA783" s="27"/>
      <c r="XFB783" s="27"/>
      <c r="XFC783" s="27"/>
      <c r="XFD783" s="27"/>
    </row>
    <row r="784" s="42" customFormat="true" ht="14.15" hidden="false" customHeight="true" outlineLevel="0" collapsed="false">
      <c r="A784" s="28" t="s">
        <v>4947</v>
      </c>
      <c r="B784" s="29" t="s">
        <v>4948</v>
      </c>
      <c r="C784" s="29" t="s">
        <v>4949</v>
      </c>
      <c r="D784" s="30" t="s">
        <v>112</v>
      </c>
      <c r="E784" s="31"/>
      <c r="F784" s="32" t="n">
        <v>35</v>
      </c>
      <c r="G784" s="31" t="s">
        <v>61</v>
      </c>
      <c r="H784" s="31" t="n">
        <v>1</v>
      </c>
      <c r="I784" s="31" t="s">
        <v>62</v>
      </c>
      <c r="J784" s="29" t="s">
        <v>3283</v>
      </c>
      <c r="K784" s="29" t="s">
        <v>3284</v>
      </c>
      <c r="L784" s="32" t="n">
        <v>66</v>
      </c>
      <c r="M784" s="33" t="s">
        <v>1125</v>
      </c>
      <c r="N784" s="34" t="n">
        <v>75017</v>
      </c>
      <c r="O784" s="35" t="s">
        <v>55</v>
      </c>
      <c r="P784" s="36" t="s">
        <v>4950</v>
      </c>
      <c r="Q784" s="36" t="n">
        <v>5</v>
      </c>
      <c r="R784" s="32"/>
      <c r="S784" s="32" t="n">
        <v>2</v>
      </c>
      <c r="T784" s="32"/>
      <c r="U784" s="32"/>
      <c r="V784" s="37"/>
      <c r="W784" s="32"/>
      <c r="X784" s="34"/>
      <c r="Y784" s="34"/>
      <c r="Z784" s="36"/>
      <c r="AA784" s="32" t="s">
        <v>4951</v>
      </c>
      <c r="AB784" s="32" t="s">
        <v>4952</v>
      </c>
      <c r="AC784" s="38" t="str">
        <f aca="false">HYPERLINK("https://biocodex6--c.vf.force.com/0014L00000KGES6QAP", "GUIRGIS LISA")</f>
        <v>GUIRGIS LISA</v>
      </c>
      <c r="AD784" s="38" t="str">
        <f aca="false">HYPERLINK("https://annuairesante.ameli.fr/professionnels-de-sante/recherche/fiche-detaillee-B7c1mjA5NDO7.html", "GUIRGIS LISA")</f>
        <v>GUIRGIS LISA</v>
      </c>
      <c r="AE784" s="39" t="n">
        <v>45218.625</v>
      </c>
      <c r="AF784" s="40"/>
      <c r="AG784" s="41"/>
      <c r="AH784" s="32" t="s">
        <v>179</v>
      </c>
      <c r="AI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XEY784" s="27"/>
      <c r="XEZ784" s="27"/>
      <c r="XFA784" s="27"/>
      <c r="XFB784" s="27"/>
      <c r="XFC784" s="27"/>
      <c r="XFD784" s="27"/>
    </row>
    <row r="785" s="42" customFormat="true" ht="14.15" hidden="false" customHeight="true" outlineLevel="0" collapsed="false">
      <c r="A785" s="28" t="s">
        <v>4953</v>
      </c>
      <c r="B785" s="29" t="s">
        <v>182</v>
      </c>
      <c r="C785" s="29" t="s">
        <v>4954</v>
      </c>
      <c r="D785" s="30" t="s">
        <v>50</v>
      </c>
      <c r="E785" s="31"/>
      <c r="F785" s="32" t="n">
        <v>36</v>
      </c>
      <c r="G785" s="31" t="s">
        <v>98</v>
      </c>
      <c r="H785" s="31" t="n">
        <v>1</v>
      </c>
      <c r="I785" s="31" t="s">
        <v>387</v>
      </c>
      <c r="J785" s="29"/>
      <c r="K785" s="29" t="s">
        <v>3790</v>
      </c>
      <c r="L785" s="32" t="n">
        <v>6</v>
      </c>
      <c r="M785" s="33" t="s">
        <v>3791</v>
      </c>
      <c r="N785" s="34" t="n">
        <v>75016</v>
      </c>
      <c r="O785" s="35" t="s">
        <v>55</v>
      </c>
      <c r="P785" s="36" t="s">
        <v>4955</v>
      </c>
      <c r="Q785" s="36" t="n">
        <v>5</v>
      </c>
      <c r="R785" s="32"/>
      <c r="S785" s="32" t="n">
        <v>2</v>
      </c>
      <c r="T785" s="32"/>
      <c r="U785" s="32"/>
      <c r="V785" s="37"/>
      <c r="W785" s="32"/>
      <c r="X785" s="34"/>
      <c r="Y785" s="34"/>
      <c r="Z785" s="36"/>
      <c r="AA785" s="32" t="s">
        <v>4956</v>
      </c>
      <c r="AB785" s="32" t="s">
        <v>4957</v>
      </c>
      <c r="AC785" s="38" t="str">
        <f aca="false">HYPERLINK("https://biocodex6--c.vf.force.com/0014L00000hubimQAA", "BOUGNOUX LAURENT")</f>
        <v>BOUGNOUX LAURENT</v>
      </c>
      <c r="AD785" s="38" t="str">
        <f aca="false">HYPERLINK("https://annuairesante.ameli.fr/professionnels-de-sante/recherche/fiche-detaillee-B7c1kzI4MDS1.html", "BOUGNOUX LAURENT")</f>
        <v>BOUGNOUX LAURENT</v>
      </c>
      <c r="AE785" s="39"/>
      <c r="AF785" s="40"/>
      <c r="AG785" s="41"/>
      <c r="AH785" s="32" t="s">
        <v>179</v>
      </c>
      <c r="AI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XEY785" s="27"/>
      <c r="XEZ785" s="27"/>
      <c r="XFA785" s="27"/>
      <c r="XFB785" s="27"/>
      <c r="XFC785" s="27"/>
      <c r="XFD785" s="27"/>
    </row>
    <row r="786" s="42" customFormat="true" ht="14.15" hidden="false" customHeight="true" outlineLevel="0" collapsed="false">
      <c r="A786" s="28" t="s">
        <v>4958</v>
      </c>
      <c r="B786" s="29" t="s">
        <v>1130</v>
      </c>
      <c r="C786" s="29" t="s">
        <v>4959</v>
      </c>
      <c r="D786" s="30" t="s">
        <v>50</v>
      </c>
      <c r="E786" s="30" t="s">
        <v>344</v>
      </c>
      <c r="F786" s="32" t="n">
        <v>33</v>
      </c>
      <c r="G786" s="31" t="s">
        <v>98</v>
      </c>
      <c r="H786" s="31" t="n">
        <v>1</v>
      </c>
      <c r="I786" s="31" t="s">
        <v>572</v>
      </c>
      <c r="J786" s="29"/>
      <c r="K786" s="29" t="s">
        <v>4960</v>
      </c>
      <c r="L786" s="32" t="n">
        <v>6</v>
      </c>
      <c r="M786" s="33" t="s">
        <v>4961</v>
      </c>
      <c r="N786" s="34" t="n">
        <v>75008</v>
      </c>
      <c r="O786" s="35" t="s">
        <v>55</v>
      </c>
      <c r="P786" s="36" t="s">
        <v>4962</v>
      </c>
      <c r="Q786" s="36" t="n">
        <v>1</v>
      </c>
      <c r="R786" s="32"/>
      <c r="S786" s="32" t="n">
        <v>2</v>
      </c>
      <c r="T786" s="32"/>
      <c r="U786" s="32"/>
      <c r="V786" s="37"/>
      <c r="W786" s="32"/>
      <c r="X786" s="34"/>
      <c r="Y786" s="34"/>
      <c r="Z786" s="32"/>
      <c r="AA786" s="32" t="s">
        <v>4963</v>
      </c>
      <c r="AB786" s="32" t="s">
        <v>4964</v>
      </c>
      <c r="AC786" s="38" t="str">
        <f aca="false">HYPERLINK("https://biocodex6--c.vf.force.com/0014L00000KGIPRQA5", "ALIMI DANIEL")</f>
        <v>ALIMI DANIEL</v>
      </c>
      <c r="AD786" s="38" t="str">
        <f aca="false">HYPERLINK("https://annuairesante.ameli.fr/professionnels-de-sante/recherche/fiche-detaillee-B7c1kzMxNzKz.html", "ALIMI DANIEL")</f>
        <v>ALIMI DANIEL</v>
      </c>
      <c r="AE786" s="39"/>
      <c r="AF786" s="40"/>
      <c r="AG786" s="41"/>
      <c r="AH786" s="32"/>
      <c r="AI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XEY786" s="27"/>
      <c r="XEZ786" s="27"/>
      <c r="XFA786" s="27"/>
      <c r="XFB786" s="27"/>
      <c r="XFC786" s="27"/>
      <c r="XFD786" s="27"/>
    </row>
    <row r="787" s="42" customFormat="true" ht="14.15" hidden="false" customHeight="true" outlineLevel="0" collapsed="false">
      <c r="A787" s="28" t="s">
        <v>4965</v>
      </c>
      <c r="B787" s="29" t="s">
        <v>332</v>
      </c>
      <c r="C787" s="29" t="s">
        <v>4966</v>
      </c>
      <c r="D787" s="30" t="s">
        <v>50</v>
      </c>
      <c r="E787" s="31"/>
      <c r="F787" s="32" t="n">
        <v>34</v>
      </c>
      <c r="G787" s="31" t="s">
        <v>98</v>
      </c>
      <c r="H787" s="31" t="n">
        <v>2</v>
      </c>
      <c r="I787" s="31" t="s">
        <v>99</v>
      </c>
      <c r="J787" s="29"/>
      <c r="K787" s="29" t="s">
        <v>1935</v>
      </c>
      <c r="L787" s="32" t="n">
        <v>10</v>
      </c>
      <c r="M787" s="33" t="s">
        <v>1474</v>
      </c>
      <c r="N787" s="34" t="n">
        <v>75015</v>
      </c>
      <c r="O787" s="35" t="s">
        <v>55</v>
      </c>
      <c r="P787" s="36" t="s">
        <v>1936</v>
      </c>
      <c r="Q787" s="36" t="n">
        <v>5</v>
      </c>
      <c r="R787" s="32"/>
      <c r="S787" s="32" t="n">
        <v>2</v>
      </c>
      <c r="T787" s="32"/>
      <c r="U787" s="32"/>
      <c r="V787" s="37"/>
      <c r="W787" s="32"/>
      <c r="X787" s="34"/>
      <c r="Y787" s="34"/>
      <c r="Z787" s="36"/>
      <c r="AA787" s="32" t="s">
        <v>4967</v>
      </c>
      <c r="AB787" s="32" t="s">
        <v>4968</v>
      </c>
      <c r="AC787" s="38" t="str">
        <f aca="false">HYPERLINK("https://biocodex6--c.vf.force.com/0014L00000KGJa2QAH", "LACHARME CATHERINE")</f>
        <v>LACHARME CATHERINE</v>
      </c>
      <c r="AD787" s="38" t="str">
        <f aca="false">HYPERLINK("https://annuairesante.ameli.fr/professionnels-de-sante/recherche/fiche-detaillee-B7c1kzE4Nzqx.html", "LACHARME CATHERINE")</f>
        <v>LACHARME CATHERINE</v>
      </c>
      <c r="AE787" s="39"/>
      <c r="AF787" s="40"/>
      <c r="AG787" s="41"/>
      <c r="AH787" s="32" t="s">
        <v>179</v>
      </c>
      <c r="AI787" s="32"/>
      <c r="AJ787" s="42" t="s">
        <v>1128</v>
      </c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XEY787" s="27"/>
      <c r="XEZ787" s="27"/>
      <c r="XFA787" s="27"/>
      <c r="XFB787" s="27"/>
      <c r="XFC787" s="27"/>
      <c r="XFD787" s="27"/>
    </row>
    <row r="788" s="42" customFormat="true" ht="14.15" hidden="false" customHeight="true" outlineLevel="0" collapsed="false">
      <c r="A788" s="28" t="s">
        <v>4969</v>
      </c>
      <c r="B788" s="29" t="s">
        <v>4169</v>
      </c>
      <c r="C788" s="29" t="s">
        <v>4970</v>
      </c>
      <c r="D788" s="30" t="s">
        <v>75</v>
      </c>
      <c r="E788" s="31"/>
      <c r="F788" s="32" t="n">
        <v>33</v>
      </c>
      <c r="G788" s="31"/>
      <c r="H788" s="31" t="n">
        <v>2</v>
      </c>
      <c r="I788" s="31" t="s">
        <v>99</v>
      </c>
      <c r="J788" s="29" t="s">
        <v>595</v>
      </c>
      <c r="K788" s="29" t="s">
        <v>596</v>
      </c>
      <c r="L788" s="32" t="n">
        <v>20</v>
      </c>
      <c r="M788" s="33" t="s">
        <v>597</v>
      </c>
      <c r="N788" s="34" t="n">
        <v>75015</v>
      </c>
      <c r="O788" s="35" t="s">
        <v>55</v>
      </c>
      <c r="P788" s="36" t="s">
        <v>4971</v>
      </c>
      <c r="Q788" s="36" t="n">
        <v>90</v>
      </c>
      <c r="R788" s="32"/>
      <c r="S788" s="32" t="n">
        <v>2</v>
      </c>
      <c r="T788" s="32"/>
      <c r="U788" s="32"/>
      <c r="V788" s="37"/>
      <c r="W788" s="32"/>
      <c r="X788" s="34"/>
      <c r="Y788" s="34" t="n">
        <v>1</v>
      </c>
      <c r="Z788" s="32"/>
      <c r="AA788" s="32" t="s">
        <v>4972</v>
      </c>
      <c r="AB788" s="32"/>
      <c r="AC788" s="38" t="str">
        <f aca="false">HYPERLINK("https://biocodex6--c.vf.force.com/0014L00000KGEYBQA5", "COFFIN ELISE")</f>
        <v>COFFIN ELISE</v>
      </c>
      <c r="AD788" s="38"/>
      <c r="AE788" s="39"/>
      <c r="AF788" s="40"/>
      <c r="AG788" s="41"/>
      <c r="AH788" s="32"/>
      <c r="AI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XEY788" s="27"/>
      <c r="XEZ788" s="27"/>
      <c r="XFA788" s="27"/>
      <c r="XFB788" s="27"/>
      <c r="XFC788" s="27"/>
      <c r="XFD788" s="27"/>
    </row>
    <row r="789" s="42" customFormat="true" ht="14.15" hidden="false" customHeight="true" outlineLevel="0" collapsed="false">
      <c r="A789" s="28" t="s">
        <v>4973</v>
      </c>
      <c r="B789" s="29" t="s">
        <v>4974</v>
      </c>
      <c r="C789" s="29" t="s">
        <v>4975</v>
      </c>
      <c r="D789" s="30" t="s">
        <v>244</v>
      </c>
      <c r="E789" s="30" t="s">
        <v>113</v>
      </c>
      <c r="F789" s="32" t="n">
        <v>31</v>
      </c>
      <c r="G789" s="31"/>
      <c r="H789" s="31" t="n">
        <v>1</v>
      </c>
      <c r="I789" s="31" t="s">
        <v>99</v>
      </c>
      <c r="J789" s="29" t="s">
        <v>595</v>
      </c>
      <c r="K789" s="29" t="s">
        <v>596</v>
      </c>
      <c r="L789" s="32" t="n">
        <v>20</v>
      </c>
      <c r="M789" s="33" t="s">
        <v>597</v>
      </c>
      <c r="N789" s="34" t="n">
        <v>75015</v>
      </c>
      <c r="O789" s="35" t="s">
        <v>55</v>
      </c>
      <c r="P789" s="36" t="s">
        <v>4976</v>
      </c>
      <c r="Q789" s="36" t="n">
        <v>90</v>
      </c>
      <c r="R789" s="32"/>
      <c r="S789" s="32" t="n">
        <v>2</v>
      </c>
      <c r="T789" s="32"/>
      <c r="U789" s="32"/>
      <c r="V789" s="37"/>
      <c r="W789" s="32"/>
      <c r="X789" s="34"/>
      <c r="Y789" s="34"/>
      <c r="Z789" s="32"/>
      <c r="AA789" s="32" t="s">
        <v>4977</v>
      </c>
      <c r="AB789" s="32"/>
      <c r="AC789" s="38" t="str">
        <f aca="false">HYPERLINK("https://biocodex6--c.vf.force.com/0014L00000Ufk8NQAR", "DA SILVA FLORIAN")</f>
        <v>DA SILVA FLORIAN</v>
      </c>
      <c r="AD789" s="38"/>
      <c r="AE789" s="39"/>
      <c r="AF789" s="40"/>
      <c r="AG789" s="41"/>
      <c r="AH789" s="32"/>
      <c r="AI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XEY789" s="27"/>
      <c r="XEZ789" s="27"/>
      <c r="XFA789" s="27"/>
      <c r="XFB789" s="27"/>
      <c r="XFC789" s="27"/>
      <c r="XFD789" s="27"/>
    </row>
    <row r="790" s="42" customFormat="true" ht="14.15" hidden="false" customHeight="true" outlineLevel="0" collapsed="false">
      <c r="A790" s="28" t="s">
        <v>4978</v>
      </c>
      <c r="B790" s="29" t="s">
        <v>709</v>
      </c>
      <c r="C790" s="29" t="s">
        <v>4979</v>
      </c>
      <c r="D790" s="30" t="s">
        <v>50</v>
      </c>
      <c r="E790" s="31"/>
      <c r="F790" s="32" t="n">
        <v>47</v>
      </c>
      <c r="G790" s="31"/>
      <c r="H790" s="31" t="n">
        <v>1</v>
      </c>
      <c r="I790" s="31" t="s">
        <v>51</v>
      </c>
      <c r="J790" s="29" t="s">
        <v>52</v>
      </c>
      <c r="K790" s="29" t="s">
        <v>53</v>
      </c>
      <c r="L790" s="32" t="n">
        <v>149</v>
      </c>
      <c r="M790" s="33" t="s">
        <v>54</v>
      </c>
      <c r="N790" s="34" t="n">
        <v>75015</v>
      </c>
      <c r="O790" s="35" t="s">
        <v>55</v>
      </c>
      <c r="P790" s="36" t="s">
        <v>2723</v>
      </c>
      <c r="Q790" s="36" t="n">
        <v>236</v>
      </c>
      <c r="R790" s="32"/>
      <c r="S790" s="32" t="n">
        <v>2</v>
      </c>
      <c r="T790" s="32"/>
      <c r="U790" s="32"/>
      <c r="V790" s="37"/>
      <c r="W790" s="32"/>
      <c r="X790" s="34"/>
      <c r="Y790" s="34"/>
      <c r="Z790" s="32"/>
      <c r="AA790" s="32" t="s">
        <v>4980</v>
      </c>
      <c r="AB790" s="32"/>
      <c r="AC790" s="38" t="str">
        <f aca="false">HYPERLINK("https://biocodex6--c.vf.force.com/0014L00000NB4moQAD", "FASSY COLCOMBET MARION")</f>
        <v>FASSY COLCOMBET MARION</v>
      </c>
      <c r="AD790" s="38"/>
      <c r="AE790" s="39"/>
      <c r="AF790" s="40"/>
      <c r="AG790" s="41"/>
      <c r="AH790" s="32"/>
      <c r="AI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XEY790" s="27"/>
      <c r="XEZ790" s="27"/>
      <c r="XFA790" s="27"/>
      <c r="XFB790" s="27"/>
      <c r="XFC790" s="27"/>
      <c r="XFD790" s="27"/>
    </row>
    <row r="791" s="42" customFormat="true" ht="14.15" hidden="false" customHeight="true" outlineLevel="0" collapsed="false">
      <c r="A791" s="28" t="s">
        <v>4981</v>
      </c>
      <c r="B791" s="29" t="s">
        <v>96</v>
      </c>
      <c r="C791" s="29" t="s">
        <v>4982</v>
      </c>
      <c r="D791" s="30" t="s">
        <v>112</v>
      </c>
      <c r="E791" s="31"/>
      <c r="F791" s="32" t="n">
        <v>35</v>
      </c>
      <c r="G791" s="31"/>
      <c r="H791" s="31" t="n">
        <v>1</v>
      </c>
      <c r="I791" s="31" t="s">
        <v>51</v>
      </c>
      <c r="J791" s="29" t="s">
        <v>52</v>
      </c>
      <c r="K791" s="29" t="s">
        <v>53</v>
      </c>
      <c r="L791" s="32" t="n">
        <v>149</v>
      </c>
      <c r="M791" s="33" t="s">
        <v>54</v>
      </c>
      <c r="N791" s="34" t="n">
        <v>75015</v>
      </c>
      <c r="O791" s="35" t="s">
        <v>55</v>
      </c>
      <c r="P791" s="36" t="s">
        <v>1821</v>
      </c>
      <c r="Q791" s="36" t="n">
        <v>236</v>
      </c>
      <c r="R791" s="32"/>
      <c r="S791" s="32" t="n">
        <v>2</v>
      </c>
      <c r="T791" s="32"/>
      <c r="U791" s="32"/>
      <c r="V791" s="37"/>
      <c r="W791" s="32"/>
      <c r="X791" s="34"/>
      <c r="Y791" s="34"/>
      <c r="Z791" s="36"/>
      <c r="AA791" s="32" t="s">
        <v>4983</v>
      </c>
      <c r="AB791" s="32"/>
      <c r="AC791" s="38" t="str">
        <f aca="false">HYPERLINK("https://biocodex6--c.vf.force.com/0014L00000hvD76QAE", "FOURNIER BENJAMIN")</f>
        <v>FOURNIER BENJAMIN</v>
      </c>
      <c r="AD791" s="38"/>
      <c r="AE791" s="39"/>
      <c r="AF791" s="40"/>
      <c r="AG791" s="41"/>
      <c r="AH791" s="32" t="s">
        <v>179</v>
      </c>
      <c r="AI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XEY791" s="27"/>
      <c r="XEZ791" s="27"/>
      <c r="XFA791" s="27"/>
      <c r="XFB791" s="27"/>
      <c r="XFC791" s="27"/>
      <c r="XFD791" s="27"/>
    </row>
    <row r="792" s="42" customFormat="true" ht="14.15" hidden="false" customHeight="true" outlineLevel="0" collapsed="false">
      <c r="A792" s="28" t="s">
        <v>4984</v>
      </c>
      <c r="B792" s="29" t="s">
        <v>3784</v>
      </c>
      <c r="C792" s="29" t="s">
        <v>4985</v>
      </c>
      <c r="D792" s="30" t="s">
        <v>112</v>
      </c>
      <c r="E792" s="31"/>
      <c r="F792" s="32" t="n">
        <v>34</v>
      </c>
      <c r="G792" s="31"/>
      <c r="H792" s="31" t="n">
        <v>1</v>
      </c>
      <c r="I792" s="31" t="s">
        <v>51</v>
      </c>
      <c r="J792" s="29" t="s">
        <v>52</v>
      </c>
      <c r="K792" s="29" t="s">
        <v>53</v>
      </c>
      <c r="L792" s="32" t="n">
        <v>149</v>
      </c>
      <c r="M792" s="33" t="s">
        <v>54</v>
      </c>
      <c r="N792" s="34" t="n">
        <v>75015</v>
      </c>
      <c r="O792" s="35" t="s">
        <v>55</v>
      </c>
      <c r="P792" s="36" t="s">
        <v>4986</v>
      </c>
      <c r="Q792" s="36" t="n">
        <v>236</v>
      </c>
      <c r="R792" s="32"/>
      <c r="S792" s="32" t="n">
        <v>2</v>
      </c>
      <c r="T792" s="32"/>
      <c r="U792" s="32"/>
      <c r="V792" s="37"/>
      <c r="W792" s="32"/>
      <c r="X792" s="34"/>
      <c r="Y792" s="34"/>
      <c r="Z792" s="32"/>
      <c r="AA792" s="32" t="s">
        <v>4987</v>
      </c>
      <c r="AB792" s="32"/>
      <c r="AC792" s="38" t="str">
        <f aca="false">HYPERLINK("https://biocodex6--c.vf.force.com/0014L00000KHYwXQAX", "BERNHEIM SEGOLENE")</f>
        <v>BERNHEIM SEGOLENE</v>
      </c>
      <c r="AD792" s="38"/>
      <c r="AE792" s="39"/>
      <c r="AF792" s="40"/>
      <c r="AG792" s="41"/>
      <c r="AH792" s="32"/>
      <c r="AI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XEY792" s="27"/>
      <c r="XEZ792" s="27"/>
      <c r="XFA792" s="27"/>
      <c r="XFB792" s="27"/>
      <c r="XFC792" s="27"/>
      <c r="XFD792" s="27"/>
    </row>
    <row r="793" s="42" customFormat="true" ht="14.15" hidden="false" customHeight="true" outlineLevel="0" collapsed="false">
      <c r="A793" s="28" t="s">
        <v>4988</v>
      </c>
      <c r="B793" s="29" t="s">
        <v>4989</v>
      </c>
      <c r="C793" s="29" t="s">
        <v>4990</v>
      </c>
      <c r="D793" s="30" t="s">
        <v>50</v>
      </c>
      <c r="E793" s="31"/>
      <c r="F793" s="32" t="n">
        <v>32</v>
      </c>
      <c r="G793" s="31"/>
      <c r="H793" s="31" t="n">
        <v>1</v>
      </c>
      <c r="I793" s="31" t="s">
        <v>51</v>
      </c>
      <c r="J793" s="29" t="s">
        <v>850</v>
      </c>
      <c r="K793" s="29" t="s">
        <v>851</v>
      </c>
      <c r="L793" s="32" t="n">
        <v>178</v>
      </c>
      <c r="M793" s="33" t="s">
        <v>852</v>
      </c>
      <c r="N793" s="34" t="n">
        <v>75015</v>
      </c>
      <c r="O793" s="35" t="s">
        <v>55</v>
      </c>
      <c r="P793" s="36" t="s">
        <v>853</v>
      </c>
      <c r="Q793" s="36" t="n">
        <v>24</v>
      </c>
      <c r="R793" s="32"/>
      <c r="S793" s="32" t="n">
        <v>2</v>
      </c>
      <c r="T793" s="32"/>
      <c r="U793" s="32"/>
      <c r="V793" s="37"/>
      <c r="W793" s="32"/>
      <c r="X793" s="34"/>
      <c r="Y793" s="34" t="n">
        <v>1</v>
      </c>
      <c r="Z793" s="32"/>
      <c r="AA793" s="32" t="s">
        <v>4991</v>
      </c>
      <c r="AB793" s="32"/>
      <c r="AC793" s="38" t="str">
        <f aca="false">HYPERLINK("https://biocodex6--c.vf.force.com/0014L00000KJCofQAH", "MALLAM RASHED SAJED ADNAAN")</f>
        <v>MALLAM RASHED SAJED ADNAAN</v>
      </c>
      <c r="AD793" s="38"/>
      <c r="AE793" s="39" t="n">
        <v>45355.6041666667</v>
      </c>
      <c r="AF793" s="40"/>
      <c r="AG793" s="41"/>
      <c r="AH793" s="32"/>
      <c r="AI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XEY793" s="27"/>
      <c r="XEZ793" s="27"/>
      <c r="XFA793" s="27"/>
      <c r="XFB793" s="27"/>
      <c r="XFC793" s="27"/>
      <c r="XFD793" s="27"/>
    </row>
    <row r="794" s="42" customFormat="true" ht="14.15" hidden="false" customHeight="true" outlineLevel="0" collapsed="false">
      <c r="A794" s="28" t="s">
        <v>4992</v>
      </c>
      <c r="B794" s="29" t="s">
        <v>160</v>
      </c>
      <c r="C794" s="29" t="s">
        <v>4993</v>
      </c>
      <c r="D794" s="30" t="s">
        <v>50</v>
      </c>
      <c r="E794" s="31"/>
      <c r="F794" s="32" t="n">
        <v>33</v>
      </c>
      <c r="G794" s="31" t="s">
        <v>98</v>
      </c>
      <c r="H794" s="31" t="n">
        <v>1</v>
      </c>
      <c r="I794" s="31" t="s">
        <v>51</v>
      </c>
      <c r="J794" s="29"/>
      <c r="K794" s="29" t="s">
        <v>4994</v>
      </c>
      <c r="L794" s="32" t="n">
        <v>70</v>
      </c>
      <c r="M794" s="33" t="s">
        <v>224</v>
      </c>
      <c r="N794" s="34" t="n">
        <v>75015</v>
      </c>
      <c r="O794" s="35" t="s">
        <v>55</v>
      </c>
      <c r="P794" s="36" t="s">
        <v>4995</v>
      </c>
      <c r="Q794" s="36" t="n">
        <v>2</v>
      </c>
      <c r="R794" s="32"/>
      <c r="S794" s="32" t="n">
        <v>2</v>
      </c>
      <c r="T794" s="32"/>
      <c r="U794" s="32"/>
      <c r="V794" s="37"/>
      <c r="W794" s="32"/>
      <c r="X794" s="34"/>
      <c r="Y794" s="34"/>
      <c r="Z794" s="32"/>
      <c r="AA794" s="32" t="s">
        <v>4996</v>
      </c>
      <c r="AB794" s="32" t="s">
        <v>4997</v>
      </c>
      <c r="AC794" s="38" t="str">
        <f aca="false">HYPERLINK("https://biocodex6--c.vf.force.com/0014L00000KGGbFQAX", "CHARRIER CAMILLE")</f>
        <v>CHARRIER CAMILLE</v>
      </c>
      <c r="AD794" s="38" t="str">
        <f aca="false">HYPERLINK("https://annuairesante.ameli.fr/professionnels-de-sante/recherche/fiche-detaillee-B7c1kzIzNTuz.html", "CHARRIER CAMILLE")</f>
        <v>CHARRIER CAMILLE</v>
      </c>
      <c r="AE794" s="39"/>
      <c r="AF794" s="40"/>
      <c r="AG794" s="41"/>
      <c r="AH794" s="32"/>
      <c r="AI794" s="32"/>
      <c r="AL794" s="32"/>
      <c r="AM794" s="43" t="s">
        <v>137</v>
      </c>
      <c r="AN794" s="43" t="s">
        <v>657</v>
      </c>
      <c r="AO794" s="43" t="s">
        <v>137</v>
      </c>
      <c r="AP794" s="43" t="s">
        <v>639</v>
      </c>
      <c r="AQ794" s="43" t="s">
        <v>661</v>
      </c>
      <c r="AR794" s="43" t="s">
        <v>4998</v>
      </c>
      <c r="AS794" s="32"/>
      <c r="AT794" s="43" t="s">
        <v>657</v>
      </c>
      <c r="AU794" s="43" t="s">
        <v>137</v>
      </c>
      <c r="XEY794" s="27"/>
      <c r="XEZ794" s="27"/>
      <c r="XFA794" s="27"/>
      <c r="XFB794" s="27"/>
      <c r="XFC794" s="27"/>
      <c r="XFD794" s="27"/>
    </row>
    <row r="795" s="42" customFormat="true" ht="14.15" hidden="false" customHeight="true" outlineLevel="0" collapsed="false">
      <c r="A795" s="28" t="s">
        <v>4999</v>
      </c>
      <c r="B795" s="29" t="s">
        <v>3346</v>
      </c>
      <c r="C795" s="29" t="s">
        <v>5000</v>
      </c>
      <c r="D795" s="30" t="s">
        <v>244</v>
      </c>
      <c r="E795" s="30" t="s">
        <v>741</v>
      </c>
      <c r="F795" s="32" t="n">
        <v>34</v>
      </c>
      <c r="G795" s="31" t="s">
        <v>215</v>
      </c>
      <c r="H795" s="31" t="n">
        <v>2</v>
      </c>
      <c r="I795" s="31" t="s">
        <v>435</v>
      </c>
      <c r="J795" s="29" t="s">
        <v>2209</v>
      </c>
      <c r="K795" s="29" t="s">
        <v>2210</v>
      </c>
      <c r="L795" s="32" t="n">
        <v>4</v>
      </c>
      <c r="M795" s="33" t="s">
        <v>3465</v>
      </c>
      <c r="N795" s="34" t="n">
        <v>75016</v>
      </c>
      <c r="O795" s="35" t="s">
        <v>55</v>
      </c>
      <c r="P795" s="36" t="s">
        <v>5001</v>
      </c>
      <c r="Q795" s="36" t="n">
        <v>5</v>
      </c>
      <c r="R795" s="32"/>
      <c r="S795" s="32" t="n">
        <v>2</v>
      </c>
      <c r="T795" s="32"/>
      <c r="U795" s="32"/>
      <c r="V795" s="37" t="n">
        <v>3</v>
      </c>
      <c r="W795" s="32"/>
      <c r="X795" s="34"/>
      <c r="Y795" s="34"/>
      <c r="Z795" s="32"/>
      <c r="AA795" s="32" t="s">
        <v>5002</v>
      </c>
      <c r="AB795" s="32" t="s">
        <v>5003</v>
      </c>
      <c r="AC795" s="38" t="str">
        <f aca="false">HYPERLINK("https://biocodex6--c.vf.force.com/0014L00000KGGnRQAX", "ROUCHE JULIEN")</f>
        <v>ROUCHE JULIEN</v>
      </c>
      <c r="AD795" s="38" t="str">
        <f aca="false">HYPERLINK("https://annuairesante.ameli.fr/professionnels-de-sante/recherche/fiche-detaillee-B7c1kzE2MTG2.html", "ROUCHE JULIEN")</f>
        <v>ROUCHE JULIEN</v>
      </c>
      <c r="AE795" s="39"/>
      <c r="AF795" s="40"/>
      <c r="AG795" s="41"/>
      <c r="AH795" s="32"/>
      <c r="AI795" s="32"/>
      <c r="AL795" s="43" t="s">
        <v>822</v>
      </c>
      <c r="AM795" s="43" t="s">
        <v>137</v>
      </c>
      <c r="AN795" s="43" t="s">
        <v>822</v>
      </c>
      <c r="AO795" s="43" t="s">
        <v>137</v>
      </c>
      <c r="AP795" s="43" t="s">
        <v>822</v>
      </c>
      <c r="AQ795" s="43" t="s">
        <v>137</v>
      </c>
      <c r="AR795" s="43" t="s">
        <v>822</v>
      </c>
      <c r="AS795" s="43" t="s">
        <v>137</v>
      </c>
      <c r="AT795" s="43" t="s">
        <v>822</v>
      </c>
      <c r="AU795" s="43" t="s">
        <v>137</v>
      </c>
      <c r="XEY795" s="27"/>
      <c r="XEZ795" s="27"/>
      <c r="XFA795" s="27"/>
      <c r="XFB795" s="27"/>
      <c r="XFC795" s="27"/>
      <c r="XFD795" s="27"/>
    </row>
    <row r="796" s="42" customFormat="true" ht="14.15" hidden="false" customHeight="true" outlineLevel="0" collapsed="false">
      <c r="A796" s="28" t="s">
        <v>5004</v>
      </c>
      <c r="B796" s="29" t="s">
        <v>96</v>
      </c>
      <c r="C796" s="29" t="s">
        <v>5005</v>
      </c>
      <c r="D796" s="30" t="s">
        <v>172</v>
      </c>
      <c r="E796" s="30" t="s">
        <v>545</v>
      </c>
      <c r="F796" s="32" t="n">
        <v>36</v>
      </c>
      <c r="G796" s="31"/>
      <c r="H796" s="31" t="n">
        <v>2</v>
      </c>
      <c r="I796" s="31" t="s">
        <v>62</v>
      </c>
      <c r="J796" s="29"/>
      <c r="K796" s="29" t="s">
        <v>5006</v>
      </c>
      <c r="L796" s="32" t="n">
        <v>10</v>
      </c>
      <c r="M796" s="33" t="s">
        <v>5007</v>
      </c>
      <c r="N796" s="52" t="n">
        <v>75017</v>
      </c>
      <c r="O796" s="35" t="s">
        <v>55</v>
      </c>
      <c r="P796" s="36"/>
      <c r="Q796" s="36" t="n">
        <v>1</v>
      </c>
      <c r="R796" s="32"/>
      <c r="S796" s="32" t="n">
        <v>2</v>
      </c>
      <c r="T796" s="32"/>
      <c r="U796" s="32"/>
      <c r="V796" s="37"/>
      <c r="W796" s="32"/>
      <c r="X796" s="34"/>
      <c r="Y796" s="34"/>
      <c r="Z796" s="32"/>
      <c r="AA796" s="32" t="s">
        <v>5008</v>
      </c>
      <c r="AB796" s="44"/>
      <c r="AC796" s="38" t="str">
        <f aca="false">HYPERLINK("https://biocodex6--c.vf.force.com/0014L00000KGGc8QAH", "LANDMAN BENJAMIN")</f>
        <v>LANDMAN BENJAMIN</v>
      </c>
      <c r="AD796" s="38"/>
      <c r="AE796" s="39"/>
      <c r="AF796" s="40"/>
      <c r="AG796" s="41"/>
      <c r="AH796" s="32" t="s">
        <v>2191</v>
      </c>
      <c r="AI796" s="32" t="s">
        <v>2191</v>
      </c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XEY796" s="27"/>
      <c r="XEZ796" s="27"/>
      <c r="XFA796" s="27"/>
      <c r="XFB796" s="27"/>
      <c r="XFC796" s="27"/>
      <c r="XFD796" s="27"/>
    </row>
    <row r="797" s="42" customFormat="true" ht="14.15" hidden="false" customHeight="true" outlineLevel="0" collapsed="false">
      <c r="A797" s="28" t="s">
        <v>5009</v>
      </c>
      <c r="B797" s="29" t="s">
        <v>5010</v>
      </c>
      <c r="C797" s="29" t="s">
        <v>5011</v>
      </c>
      <c r="D797" s="30" t="s">
        <v>50</v>
      </c>
      <c r="E797" s="31"/>
      <c r="F797" s="32"/>
      <c r="G797" s="31"/>
      <c r="H797" s="31" t="n">
        <v>1</v>
      </c>
      <c r="I797" s="31" t="s">
        <v>62</v>
      </c>
      <c r="J797" s="29" t="s">
        <v>3283</v>
      </c>
      <c r="K797" s="29" t="s">
        <v>3284</v>
      </c>
      <c r="L797" s="32" t="n">
        <v>66</v>
      </c>
      <c r="M797" s="33" t="s">
        <v>1125</v>
      </c>
      <c r="N797" s="34" t="n">
        <v>75017</v>
      </c>
      <c r="O797" s="35" t="s">
        <v>55</v>
      </c>
      <c r="P797" s="36"/>
      <c r="Q797" s="36" t="n">
        <v>5</v>
      </c>
      <c r="R797" s="32"/>
      <c r="S797" s="32" t="n">
        <v>2</v>
      </c>
      <c r="T797" s="32"/>
      <c r="U797" s="32"/>
      <c r="V797" s="37"/>
      <c r="W797" s="32"/>
      <c r="X797" s="34"/>
      <c r="Y797" s="34"/>
      <c r="Z797" s="32"/>
      <c r="AA797" s="32"/>
      <c r="AB797" s="32"/>
      <c r="AC797" s="38"/>
      <c r="AD797" s="38"/>
      <c r="AE797" s="39"/>
      <c r="AF797" s="40"/>
      <c r="AG797" s="45"/>
      <c r="AH797" s="32"/>
      <c r="AI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XEY797" s="27"/>
      <c r="XEZ797" s="27"/>
      <c r="XFA797" s="27"/>
      <c r="XFB797" s="27"/>
      <c r="XFC797" s="27"/>
      <c r="XFD797" s="27"/>
    </row>
    <row r="798" s="42" customFormat="true" ht="14.15" hidden="false" customHeight="true" outlineLevel="0" collapsed="false">
      <c r="A798" s="28" t="s">
        <v>5012</v>
      </c>
      <c r="B798" s="29" t="s">
        <v>5013</v>
      </c>
      <c r="C798" s="29" t="s">
        <v>5014</v>
      </c>
      <c r="D798" s="30" t="s">
        <v>50</v>
      </c>
      <c r="E798" s="31"/>
      <c r="F798" s="32" t="n">
        <v>31</v>
      </c>
      <c r="G798" s="31"/>
      <c r="H798" s="31" t="n">
        <v>1</v>
      </c>
      <c r="I798" s="31" t="s">
        <v>62</v>
      </c>
      <c r="J798" s="29" t="s">
        <v>1123</v>
      </c>
      <c r="K798" s="29" t="s">
        <v>1124</v>
      </c>
      <c r="L798" s="32" t="n">
        <v>97</v>
      </c>
      <c r="M798" s="33" t="s">
        <v>1125</v>
      </c>
      <c r="N798" s="34" t="n">
        <v>75017</v>
      </c>
      <c r="O798" s="35" t="s">
        <v>55</v>
      </c>
      <c r="P798" s="36" t="s">
        <v>1126</v>
      </c>
      <c r="Q798" s="36" t="n">
        <v>6</v>
      </c>
      <c r="R798" s="32"/>
      <c r="S798" s="32" t="n">
        <v>2</v>
      </c>
      <c r="T798" s="32"/>
      <c r="U798" s="32"/>
      <c r="V798" s="37"/>
      <c r="W798" s="32"/>
      <c r="X798" s="34"/>
      <c r="Y798" s="34"/>
      <c r="Z798" s="32"/>
      <c r="AA798" s="32" t="s">
        <v>5015</v>
      </c>
      <c r="AB798" s="32"/>
      <c r="AC798" s="38" t="str">
        <f aca="false">HYPERLINK("https://biocodex6--c.vf.force.com/0014L00000NDOpKQAX", "BERROUYNE MAROUA")</f>
        <v>BERROUYNE MAROUA</v>
      </c>
      <c r="AD798" s="38"/>
      <c r="AE798" s="39"/>
      <c r="AF798" s="40"/>
      <c r="AG798" s="41"/>
      <c r="AH798" s="32"/>
      <c r="AI798" s="32"/>
      <c r="AJ798" s="42" t="s">
        <v>1128</v>
      </c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XEY798" s="27"/>
      <c r="XEZ798" s="27"/>
      <c r="XFA798" s="27"/>
      <c r="XFB798" s="27"/>
      <c r="XFC798" s="27"/>
      <c r="XFD798" s="27"/>
    </row>
    <row r="799" s="42" customFormat="true" ht="14.15" hidden="false" customHeight="true" outlineLevel="0" collapsed="false">
      <c r="A799" s="28" t="s">
        <v>1134</v>
      </c>
      <c r="B799" s="29" t="s">
        <v>727</v>
      </c>
      <c r="C799" s="29" t="s">
        <v>5016</v>
      </c>
      <c r="D799" s="30" t="s">
        <v>1103</v>
      </c>
      <c r="E799" s="30" t="s">
        <v>545</v>
      </c>
      <c r="F799" s="32"/>
      <c r="G799" s="31"/>
      <c r="H799" s="31" t="n">
        <v>1</v>
      </c>
      <c r="I799" s="31" t="s">
        <v>197</v>
      </c>
      <c r="J799" s="29"/>
      <c r="K799" s="29" t="s">
        <v>5017</v>
      </c>
      <c r="L799" s="32" t="n">
        <v>12</v>
      </c>
      <c r="M799" s="33" t="s">
        <v>423</v>
      </c>
      <c r="N799" s="52" t="n">
        <v>75017</v>
      </c>
      <c r="O799" s="35" t="s">
        <v>55</v>
      </c>
      <c r="P799" s="36"/>
      <c r="Q799" s="36" t="n">
        <v>1</v>
      </c>
      <c r="R799" s="32"/>
      <c r="S799" s="32" t="n">
        <v>2</v>
      </c>
      <c r="T799" s="32"/>
      <c r="U799" s="32"/>
      <c r="V799" s="37"/>
      <c r="W799" s="32"/>
      <c r="X799" s="34"/>
      <c r="Y799" s="34"/>
      <c r="Z799" s="32"/>
      <c r="AA799" s="32"/>
      <c r="AB799" s="44"/>
      <c r="AC799" s="38"/>
      <c r="AD799" s="38"/>
      <c r="AE799" s="39"/>
      <c r="AF799" s="40"/>
      <c r="AG799" s="45"/>
      <c r="AH799" s="32" t="s">
        <v>2191</v>
      </c>
      <c r="AI799" s="32" t="s">
        <v>2191</v>
      </c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XEY799" s="27"/>
      <c r="XEZ799" s="27"/>
      <c r="XFA799" s="27"/>
      <c r="XFB799" s="27"/>
      <c r="XFC799" s="27"/>
      <c r="XFD799" s="27"/>
    </row>
    <row r="800" s="42" customFormat="true" ht="14.15" hidden="false" customHeight="true" outlineLevel="0" collapsed="false">
      <c r="A800" s="28" t="s">
        <v>5018</v>
      </c>
      <c r="B800" s="29" t="s">
        <v>4227</v>
      </c>
      <c r="C800" s="29" t="s">
        <v>5019</v>
      </c>
      <c r="D800" s="30" t="s">
        <v>50</v>
      </c>
      <c r="E800" s="31"/>
      <c r="F800" s="32" t="n">
        <v>36</v>
      </c>
      <c r="G800" s="31"/>
      <c r="H800" s="31" t="n">
        <v>1</v>
      </c>
      <c r="I800" s="31" t="s">
        <v>197</v>
      </c>
      <c r="J800" s="29" t="s">
        <v>2561</v>
      </c>
      <c r="K800" s="29" t="s">
        <v>2562</v>
      </c>
      <c r="L800" s="32" t="n">
        <v>6</v>
      </c>
      <c r="M800" s="33" t="s">
        <v>2563</v>
      </c>
      <c r="N800" s="34" t="n">
        <v>75017</v>
      </c>
      <c r="O800" s="35" t="s">
        <v>55</v>
      </c>
      <c r="P800" s="36" t="s">
        <v>2564</v>
      </c>
      <c r="Q800" s="36" t="n">
        <v>6</v>
      </c>
      <c r="R800" s="32"/>
      <c r="S800" s="32" t="n">
        <v>2</v>
      </c>
      <c r="T800" s="32"/>
      <c r="U800" s="32"/>
      <c r="V800" s="37"/>
      <c r="W800" s="32"/>
      <c r="X800" s="34"/>
      <c r="Y800" s="34"/>
      <c r="Z800" s="32"/>
      <c r="AA800" s="32" t="s">
        <v>5020</v>
      </c>
      <c r="AB800" s="32"/>
      <c r="AC800" s="38" t="str">
        <f aca="false">HYPERLINK("https://biocodex6--c.vf.force.com/0014L00000bQ1szQAC", "PRUNIERES JEAN BAPTISTE")</f>
        <v>PRUNIERES JEAN BAPTISTE</v>
      </c>
      <c r="AD800" s="38"/>
      <c r="AE800" s="39"/>
      <c r="AF800" s="40"/>
      <c r="AG800" s="41"/>
      <c r="AH800" s="32"/>
      <c r="AI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XEY800" s="27"/>
      <c r="XEZ800" s="27"/>
      <c r="XFA800" s="27"/>
      <c r="XFB800" s="27"/>
      <c r="XFC800" s="27"/>
      <c r="XFD800" s="27"/>
    </row>
    <row r="801" s="42" customFormat="true" ht="14.15" hidden="false" customHeight="true" outlineLevel="0" collapsed="false">
      <c r="A801" s="28" t="s">
        <v>5021</v>
      </c>
      <c r="B801" s="29" t="s">
        <v>353</v>
      </c>
      <c r="C801" s="29" t="s">
        <v>5022</v>
      </c>
      <c r="D801" s="30" t="s">
        <v>268</v>
      </c>
      <c r="E801" s="31"/>
      <c r="F801" s="32" t="n">
        <v>77</v>
      </c>
      <c r="G801" s="31"/>
      <c r="H801" s="31" t="n">
        <v>2</v>
      </c>
      <c r="I801" s="31" t="s">
        <v>572</v>
      </c>
      <c r="J801" s="29" t="s">
        <v>678</v>
      </c>
      <c r="K801" s="29" t="s">
        <v>679</v>
      </c>
      <c r="L801" s="32" t="n">
        <v>6</v>
      </c>
      <c r="M801" s="33" t="s">
        <v>680</v>
      </c>
      <c r="N801" s="34" t="n">
        <v>75008</v>
      </c>
      <c r="O801" s="35" t="s">
        <v>55</v>
      </c>
      <c r="P801" s="36" t="s">
        <v>870</v>
      </c>
      <c r="Q801" s="36" t="n">
        <v>43</v>
      </c>
      <c r="R801" s="32" t="n">
        <v>813</v>
      </c>
      <c r="S801" s="32" t="n">
        <v>1</v>
      </c>
      <c r="T801" s="32"/>
      <c r="U801" s="32"/>
      <c r="V801" s="37"/>
      <c r="W801" s="32"/>
      <c r="X801" s="34"/>
      <c r="Y801" s="34"/>
      <c r="Z801" s="36"/>
      <c r="AA801" s="32" t="s">
        <v>5023</v>
      </c>
      <c r="AB801" s="32"/>
      <c r="AC801" s="38" t="str">
        <f aca="false">HYPERLINK("https://biocodex6--c.vf.force.com/0014L00000KFvPiQAL", "PERRIN ALAIN")</f>
        <v>PERRIN ALAIN</v>
      </c>
      <c r="AD801" s="38"/>
      <c r="AE801" s="39"/>
      <c r="AF801" s="40"/>
      <c r="AG801" s="41"/>
      <c r="AH801" s="32" t="s">
        <v>179</v>
      </c>
      <c r="AI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XEY801" s="27"/>
      <c r="XEZ801" s="27"/>
      <c r="XFA801" s="27"/>
      <c r="XFB801" s="27"/>
      <c r="XFC801" s="27"/>
      <c r="XFD801" s="27"/>
    </row>
    <row r="802" s="42" customFormat="true" ht="14.15" hidden="false" customHeight="true" outlineLevel="0" collapsed="false">
      <c r="A802" s="28" t="s">
        <v>5024</v>
      </c>
      <c r="B802" s="29" t="s">
        <v>353</v>
      </c>
      <c r="C802" s="29" t="s">
        <v>5025</v>
      </c>
      <c r="D802" s="30" t="s">
        <v>268</v>
      </c>
      <c r="E802" s="31"/>
      <c r="F802" s="32" t="n">
        <v>77</v>
      </c>
      <c r="G802" s="31" t="s">
        <v>215</v>
      </c>
      <c r="H802" s="31" t="n">
        <v>1</v>
      </c>
      <c r="I802" s="31" t="s">
        <v>119</v>
      </c>
      <c r="J802" s="29"/>
      <c r="K802" s="29" t="s">
        <v>5026</v>
      </c>
      <c r="L802" s="32" t="n">
        <v>12</v>
      </c>
      <c r="M802" s="33" t="s">
        <v>5027</v>
      </c>
      <c r="N802" s="34" t="n">
        <v>75007</v>
      </c>
      <c r="O802" s="35" t="s">
        <v>55</v>
      </c>
      <c r="P802" s="36" t="s">
        <v>5028</v>
      </c>
      <c r="Q802" s="36" t="n">
        <v>1</v>
      </c>
      <c r="R802" s="32" t="n">
        <v>754</v>
      </c>
      <c r="S802" s="32" t="n">
        <v>1</v>
      </c>
      <c r="T802" s="32"/>
      <c r="U802" s="32"/>
      <c r="V802" s="37"/>
      <c r="W802" s="32"/>
      <c r="X802" s="34"/>
      <c r="Y802" s="34"/>
      <c r="Z802" s="36"/>
      <c r="AA802" s="32" t="s">
        <v>5029</v>
      </c>
      <c r="AB802" s="32" t="s">
        <v>5030</v>
      </c>
      <c r="AC802" s="38" t="str">
        <f aca="false">HYPERLINK("https://biocodex6--c.vf.force.com/0014L00000KFZ2OQAX", "DE BILLY ALAIN")</f>
        <v>DE BILLY ALAIN</v>
      </c>
      <c r="AD802" s="38" t="str">
        <f aca="false">HYPERLINK("https://annuairesante.ameli.fr/professionnels-de-sante/recherche/fiche-detaillee-B7c1mjA0Mjuy.html", "DE BILLY ALAIN")</f>
        <v>DE BILLY ALAIN</v>
      </c>
      <c r="AE802" s="39"/>
      <c r="AF802" s="40"/>
      <c r="AG802" s="41"/>
      <c r="AH802" s="32" t="s">
        <v>179</v>
      </c>
      <c r="AI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XEY802" s="27"/>
      <c r="XEZ802" s="27"/>
      <c r="XFA802" s="27"/>
      <c r="XFB802" s="27"/>
      <c r="XFC802" s="27"/>
      <c r="XFD802" s="27"/>
    </row>
    <row r="803" s="42" customFormat="true" ht="14.15" hidden="false" customHeight="true" outlineLevel="0" collapsed="false">
      <c r="A803" s="28" t="s">
        <v>5031</v>
      </c>
      <c r="B803" s="29" t="s">
        <v>142</v>
      </c>
      <c r="C803" s="29" t="s">
        <v>5032</v>
      </c>
      <c r="D803" s="30" t="s">
        <v>268</v>
      </c>
      <c r="E803" s="31"/>
      <c r="F803" s="32" t="n">
        <v>76</v>
      </c>
      <c r="G803" s="31" t="s">
        <v>215</v>
      </c>
      <c r="H803" s="31" t="n">
        <v>1</v>
      </c>
      <c r="I803" s="31" t="s">
        <v>77</v>
      </c>
      <c r="J803" s="29" t="s">
        <v>78</v>
      </c>
      <c r="K803" s="29" t="s">
        <v>79</v>
      </c>
      <c r="L803" s="32" t="n">
        <v>26</v>
      </c>
      <c r="M803" s="33" t="s">
        <v>80</v>
      </c>
      <c r="N803" s="34" t="n">
        <v>92200</v>
      </c>
      <c r="O803" s="35" t="s">
        <v>81</v>
      </c>
      <c r="P803" s="36" t="s">
        <v>5033</v>
      </c>
      <c r="Q803" s="36" t="n">
        <v>10</v>
      </c>
      <c r="R803" s="32" t="n">
        <v>710</v>
      </c>
      <c r="S803" s="32" t="n">
        <v>1</v>
      </c>
      <c r="T803" s="32"/>
      <c r="U803" s="32"/>
      <c r="V803" s="37"/>
      <c r="W803" s="32"/>
      <c r="X803" s="34"/>
      <c r="Y803" s="34"/>
      <c r="Z803" s="36"/>
      <c r="AA803" s="32" t="s">
        <v>5034</v>
      </c>
      <c r="AB803" s="32" t="s">
        <v>5035</v>
      </c>
      <c r="AC803" s="38" t="str">
        <f aca="false">HYPERLINK("https://biocodex6--c.vf.force.com/0014L00000KFmLQQA1", "LAUNAY MICHEL")</f>
        <v>LAUNAY MICHEL</v>
      </c>
      <c r="AD803" s="38" t="str">
        <f aca="false">HYPERLINK("https://annuairesante.ameli.fr/professionnels-de-sante/recherche/fiche-detaillee-CbA1kzMzNTW7.html", "LAUNAY MICHEL")</f>
        <v>LAUNAY MICHEL</v>
      </c>
      <c r="AE803" s="39"/>
      <c r="AF803" s="40"/>
      <c r="AG803" s="41"/>
      <c r="AH803" s="32" t="s">
        <v>179</v>
      </c>
      <c r="AI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XEY803" s="27"/>
      <c r="XEZ803" s="27"/>
      <c r="XFA803" s="27"/>
      <c r="XFB803" s="27"/>
      <c r="XFC803" s="27"/>
      <c r="XFD803" s="27"/>
    </row>
    <row r="804" s="42" customFormat="true" ht="14.15" hidden="false" customHeight="true" outlineLevel="0" collapsed="false">
      <c r="A804" s="28" t="s">
        <v>5036</v>
      </c>
      <c r="B804" s="29" t="s">
        <v>5037</v>
      </c>
      <c r="C804" s="29" t="s">
        <v>5038</v>
      </c>
      <c r="D804" s="30" t="s">
        <v>50</v>
      </c>
      <c r="E804" s="30" t="s">
        <v>2281</v>
      </c>
      <c r="F804" s="32" t="n">
        <v>62</v>
      </c>
      <c r="G804" s="31" t="s">
        <v>98</v>
      </c>
      <c r="H804" s="31" t="n">
        <v>1</v>
      </c>
      <c r="I804" s="31" t="s">
        <v>62</v>
      </c>
      <c r="J804" s="29"/>
      <c r="K804" s="29" t="s">
        <v>5039</v>
      </c>
      <c r="L804" s="32" t="n">
        <v>7</v>
      </c>
      <c r="M804" s="33" t="s">
        <v>3095</v>
      </c>
      <c r="N804" s="34" t="n">
        <v>75017</v>
      </c>
      <c r="O804" s="35" t="s">
        <v>55</v>
      </c>
      <c r="P804" s="36" t="s">
        <v>5040</v>
      </c>
      <c r="Q804" s="36" t="n">
        <v>1</v>
      </c>
      <c r="R804" s="32" t="n">
        <v>650</v>
      </c>
      <c r="S804" s="32" t="n">
        <v>1</v>
      </c>
      <c r="T804" s="32"/>
      <c r="U804" s="32"/>
      <c r="V804" s="37"/>
      <c r="W804" s="32"/>
      <c r="X804" s="34"/>
      <c r="Y804" s="34"/>
      <c r="Z804" s="36"/>
      <c r="AA804" s="32" t="s">
        <v>5041</v>
      </c>
      <c r="AB804" s="32" t="s">
        <v>5042</v>
      </c>
      <c r="AC804" s="38" t="str">
        <f aca="false">HYPERLINK("https://biocodex6--c.vf.force.com/0014L00000KFSbpQAH", "BELHADJ KHEIREDDINE")</f>
        <v>BELHADJ KHEIREDDINE</v>
      </c>
      <c r="AD804" s="38" t="str">
        <f aca="false">HYPERLINK("https://annuairesante.ameli.fr/professionnels-de-sante/recherche/fiche-detaillee-B7c1kjY5ODW1.html", "BELHADJ KHEIREDDINE")</f>
        <v>BELHADJ KHEIREDDINE</v>
      </c>
      <c r="AE804" s="39"/>
      <c r="AF804" s="40"/>
      <c r="AG804" s="41"/>
      <c r="AH804" s="32" t="s">
        <v>179</v>
      </c>
      <c r="AI804" s="32" t="s">
        <v>180</v>
      </c>
      <c r="AJ804" s="42" t="s">
        <v>5043</v>
      </c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XEY804" s="27"/>
      <c r="XEZ804" s="27"/>
      <c r="XFA804" s="27"/>
      <c r="XFB804" s="27"/>
      <c r="XFC804" s="27"/>
      <c r="XFD804" s="27"/>
    </row>
    <row r="805" s="42" customFormat="true" ht="14.15" hidden="false" customHeight="true" outlineLevel="0" collapsed="false">
      <c r="A805" s="28" t="s">
        <v>5044</v>
      </c>
      <c r="B805" s="29" t="s">
        <v>829</v>
      </c>
      <c r="C805" s="29" t="s">
        <v>5045</v>
      </c>
      <c r="D805" s="30" t="s">
        <v>50</v>
      </c>
      <c r="E805" s="31"/>
      <c r="F805" s="32" t="n">
        <v>67</v>
      </c>
      <c r="G805" s="31"/>
      <c r="H805" s="31" t="n">
        <v>2</v>
      </c>
      <c r="I805" s="31" t="s">
        <v>51</v>
      </c>
      <c r="J805" s="29"/>
      <c r="K805" s="29" t="s">
        <v>5046</v>
      </c>
      <c r="L805" s="32" t="n">
        <v>13</v>
      </c>
      <c r="M805" s="33" t="s">
        <v>5047</v>
      </c>
      <c r="N805" s="34" t="n">
        <v>75015</v>
      </c>
      <c r="O805" s="35" t="s">
        <v>55</v>
      </c>
      <c r="P805" s="36" t="s">
        <v>3342</v>
      </c>
      <c r="Q805" s="36" t="n">
        <v>2</v>
      </c>
      <c r="R805" s="32" t="n">
        <v>647</v>
      </c>
      <c r="S805" s="32" t="n">
        <v>1</v>
      </c>
      <c r="T805" s="32"/>
      <c r="U805" s="32"/>
      <c r="V805" s="37"/>
      <c r="W805" s="32"/>
      <c r="X805" s="34"/>
      <c r="Y805" s="34"/>
      <c r="Z805" s="32"/>
      <c r="AA805" s="32" t="s">
        <v>5048</v>
      </c>
      <c r="AB805" s="32"/>
      <c r="AC805" s="38" t="str">
        <f aca="false">HYPERLINK("https://biocodex6--c.vf.force.com/0014L00000KFg4TQAT", "GIRARD DIDIER")</f>
        <v>GIRARD DIDIER</v>
      </c>
      <c r="AD805" s="38"/>
      <c r="AE805" s="39" t="n">
        <v>45211.4166666667</v>
      </c>
      <c r="AF805" s="40"/>
      <c r="AG805" s="41" t="s">
        <v>5049</v>
      </c>
      <c r="AH805" s="32" t="s">
        <v>70</v>
      </c>
      <c r="AI805" s="32" t="s">
        <v>71</v>
      </c>
      <c r="AJ805" s="42" t="s">
        <v>5050</v>
      </c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XEY805" s="27"/>
      <c r="XEZ805" s="27"/>
      <c r="XFA805" s="27"/>
      <c r="XFB805" s="27"/>
      <c r="XFC805" s="27"/>
      <c r="XFD805" s="27"/>
    </row>
    <row r="806" s="42" customFormat="true" ht="14.15" hidden="false" customHeight="true" outlineLevel="0" collapsed="false">
      <c r="A806" s="28" t="s">
        <v>5051</v>
      </c>
      <c r="B806" s="29" t="s">
        <v>5052</v>
      </c>
      <c r="C806" s="29" t="s">
        <v>5053</v>
      </c>
      <c r="D806" s="30" t="s">
        <v>50</v>
      </c>
      <c r="E806" s="31"/>
      <c r="F806" s="32" t="n">
        <v>62</v>
      </c>
      <c r="G806" s="31" t="s">
        <v>345</v>
      </c>
      <c r="H806" s="31" t="n">
        <v>1</v>
      </c>
      <c r="I806" s="31" t="s">
        <v>77</v>
      </c>
      <c r="J806" s="29"/>
      <c r="K806" s="29" t="s">
        <v>5054</v>
      </c>
      <c r="L806" s="32" t="n">
        <v>50</v>
      </c>
      <c r="M806" s="33" t="s">
        <v>5055</v>
      </c>
      <c r="N806" s="34" t="n">
        <v>92200</v>
      </c>
      <c r="O806" s="35" t="s">
        <v>81</v>
      </c>
      <c r="P806" s="36" t="s">
        <v>5056</v>
      </c>
      <c r="Q806" s="36" t="n">
        <v>1</v>
      </c>
      <c r="R806" s="32" t="n">
        <v>596</v>
      </c>
      <c r="S806" s="32" t="n">
        <v>1</v>
      </c>
      <c r="T806" s="32"/>
      <c r="U806" s="32"/>
      <c r="V806" s="37"/>
      <c r="W806" s="32"/>
      <c r="X806" s="34"/>
      <c r="Y806" s="34"/>
      <c r="Z806" s="32"/>
      <c r="AA806" s="32" t="s">
        <v>5057</v>
      </c>
      <c r="AB806" s="32" t="s">
        <v>5058</v>
      </c>
      <c r="AC806" s="38" t="str">
        <f aca="false">HYPERLINK("https://biocodex6--c.vf.force.com/0014L00000KFWR5QAP", "CHETRIT MAURICE")</f>
        <v>CHETRIT MAURICE</v>
      </c>
      <c r="AD806" s="38" t="str">
        <f aca="false">HYPERLINK("https://annuairesante.ameli.fr/professionnels-de-sante/recherche/fiche-detaillee-CbA1kzc4MTaz.html", "CHETRIT MAURICE")</f>
        <v>CHETRIT MAURICE</v>
      </c>
      <c r="AE806" s="39"/>
      <c r="AF806" s="40"/>
      <c r="AG806" s="41"/>
      <c r="AH806" s="32"/>
      <c r="AI806" s="32" t="s">
        <v>180</v>
      </c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XEY806" s="27"/>
      <c r="XEZ806" s="27"/>
      <c r="XFA806" s="27"/>
      <c r="XFB806" s="27"/>
      <c r="XFC806" s="27"/>
      <c r="XFD806" s="27"/>
    </row>
    <row r="807" s="42" customFormat="true" ht="14.15" hidden="false" customHeight="true" outlineLevel="0" collapsed="false">
      <c r="A807" s="28" t="s">
        <v>5059</v>
      </c>
      <c r="B807" s="29" t="s">
        <v>195</v>
      </c>
      <c r="C807" s="29" t="s">
        <v>5060</v>
      </c>
      <c r="D807" s="30" t="s">
        <v>75</v>
      </c>
      <c r="E807" s="31"/>
      <c r="F807" s="32" t="n">
        <v>60</v>
      </c>
      <c r="G807" s="31" t="s">
        <v>215</v>
      </c>
      <c r="H807" s="31" t="n">
        <v>4</v>
      </c>
      <c r="I807" s="31" t="s">
        <v>295</v>
      </c>
      <c r="J807" s="29" t="s">
        <v>5061</v>
      </c>
      <c r="K807" s="29" t="s">
        <v>5062</v>
      </c>
      <c r="L807" s="32" t="n">
        <v>6</v>
      </c>
      <c r="M807" s="33" t="s">
        <v>5063</v>
      </c>
      <c r="N807" s="34" t="n">
        <v>92300</v>
      </c>
      <c r="O807" s="35" t="s">
        <v>298</v>
      </c>
      <c r="P807" s="36" t="s">
        <v>5064</v>
      </c>
      <c r="Q807" s="36" t="n">
        <v>2</v>
      </c>
      <c r="R807" s="32" t="n">
        <v>588</v>
      </c>
      <c r="S807" s="32" t="n">
        <v>1</v>
      </c>
      <c r="T807" s="32"/>
      <c r="U807" s="32" t="n">
        <v>3</v>
      </c>
      <c r="V807" s="37"/>
      <c r="W807" s="32" t="n">
        <v>2</v>
      </c>
      <c r="X807" s="34"/>
      <c r="Y807" s="34" t="n">
        <v>2</v>
      </c>
      <c r="Z807" s="32"/>
      <c r="AA807" s="32" t="s">
        <v>5065</v>
      </c>
      <c r="AB807" s="44" t="s">
        <v>5066</v>
      </c>
      <c r="AC807" s="38" t="str">
        <f aca="false">HYPERLINK("https://biocodex6--c.vf.force.com/0014L00000KFhycQAD", "HACCOUN PHILIPPE")</f>
        <v>HACCOUN PHILIPPE</v>
      </c>
      <c r="AD807" s="38" t="str">
        <f aca="false">HYPERLINK("https://annuairesante.ameli.fr/professionnels-de-sante/recherche/fiche-detaillee-CbA1lTIwNzux.html", "HACCOUN PHILIPPE")</f>
        <v>HACCOUN PHILIPPE</v>
      </c>
      <c r="AE807" s="39" t="n">
        <v>45442.3541666667</v>
      </c>
      <c r="AF807" s="40" t="s">
        <v>5067</v>
      </c>
      <c r="AG807" s="41" t="s">
        <v>125</v>
      </c>
      <c r="AH807" s="32" t="s">
        <v>70</v>
      </c>
      <c r="AI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XEY807" s="27"/>
      <c r="XEZ807" s="27"/>
      <c r="XFA807" s="27"/>
      <c r="XFB807" s="27"/>
      <c r="XFC807" s="27"/>
      <c r="XFD807" s="27"/>
    </row>
    <row r="808" s="42" customFormat="true" ht="14.15" hidden="false" customHeight="true" outlineLevel="0" collapsed="false">
      <c r="A808" s="28" t="s">
        <v>5068</v>
      </c>
      <c r="B808" s="29" t="s">
        <v>5069</v>
      </c>
      <c r="C808" s="29" t="s">
        <v>5070</v>
      </c>
      <c r="D808" s="30" t="s">
        <v>50</v>
      </c>
      <c r="E808" s="31"/>
      <c r="F808" s="32" t="n">
        <v>38</v>
      </c>
      <c r="G808" s="31"/>
      <c r="H808" s="31" t="n">
        <v>1</v>
      </c>
      <c r="I808" s="31" t="s">
        <v>233</v>
      </c>
      <c r="J808" s="29"/>
      <c r="K808" s="29" t="s">
        <v>5071</v>
      </c>
      <c r="L808" s="32" t="n">
        <v>25</v>
      </c>
      <c r="M808" s="33" t="s">
        <v>5072</v>
      </c>
      <c r="N808" s="34" t="n">
        <v>75015</v>
      </c>
      <c r="O808" s="35" t="s">
        <v>55</v>
      </c>
      <c r="P808" s="36" t="s">
        <v>5073</v>
      </c>
      <c r="Q808" s="36" t="n">
        <v>1</v>
      </c>
      <c r="R808" s="32" t="n">
        <v>533</v>
      </c>
      <c r="S808" s="32" t="n">
        <v>1</v>
      </c>
      <c r="T808" s="32"/>
      <c r="U808" s="32"/>
      <c r="V808" s="37"/>
      <c r="W808" s="32"/>
      <c r="X808" s="34"/>
      <c r="Y808" s="34"/>
      <c r="Z808" s="36"/>
      <c r="AA808" s="32" t="s">
        <v>5074</v>
      </c>
      <c r="AB808" s="32"/>
      <c r="AC808" s="38" t="str">
        <f aca="false">HYPERLINK("https://biocodex6--c.vf.force.com/0014L00000KGEJRQA5", "BOULALAM SOUMAYA")</f>
        <v>BOULALAM SOUMAYA</v>
      </c>
      <c r="AD808" s="38"/>
      <c r="AE808" s="39"/>
      <c r="AF808" s="40"/>
      <c r="AG808" s="41"/>
      <c r="AH808" s="32" t="s">
        <v>179</v>
      </c>
      <c r="AI808" s="32" t="s">
        <v>180</v>
      </c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XEY808" s="27"/>
      <c r="XEZ808" s="27"/>
      <c r="XFA808" s="27"/>
      <c r="XFB808" s="27"/>
      <c r="XFC808" s="27"/>
      <c r="XFD808" s="27"/>
    </row>
    <row r="809" s="42" customFormat="true" ht="14.15" hidden="false" customHeight="true" outlineLevel="0" collapsed="false">
      <c r="A809" s="28" t="s">
        <v>5075</v>
      </c>
      <c r="B809" s="29" t="s">
        <v>690</v>
      </c>
      <c r="C809" s="29" t="s">
        <v>5076</v>
      </c>
      <c r="D809" s="30" t="s">
        <v>50</v>
      </c>
      <c r="E809" s="31"/>
      <c r="F809" s="32" t="n">
        <v>71</v>
      </c>
      <c r="G809" s="31"/>
      <c r="H809" s="31" t="n">
        <v>1</v>
      </c>
      <c r="I809" s="31" t="s">
        <v>77</v>
      </c>
      <c r="J809" s="29"/>
      <c r="K809" s="29" t="s">
        <v>1861</v>
      </c>
      <c r="L809" s="32" t="n">
        <v>136</v>
      </c>
      <c r="M809" s="33" t="s">
        <v>1297</v>
      </c>
      <c r="N809" s="34" t="n">
        <v>92200</v>
      </c>
      <c r="O809" s="35" t="s">
        <v>81</v>
      </c>
      <c r="P809" s="36" t="s">
        <v>5077</v>
      </c>
      <c r="Q809" s="36" t="n">
        <v>3</v>
      </c>
      <c r="R809" s="32" t="n">
        <v>493</v>
      </c>
      <c r="S809" s="32" t="n">
        <v>1</v>
      </c>
      <c r="T809" s="32"/>
      <c r="U809" s="32" t="n">
        <v>3</v>
      </c>
      <c r="V809" s="37"/>
      <c r="W809" s="32" t="n">
        <v>3</v>
      </c>
      <c r="X809" s="34"/>
      <c r="Y809" s="34" t="n">
        <v>2</v>
      </c>
      <c r="Z809" s="32"/>
      <c r="AA809" s="32" t="s">
        <v>5078</v>
      </c>
      <c r="AB809" s="32"/>
      <c r="AC809" s="38" t="str">
        <f aca="false">HYPERLINK("https://biocodex6--c.vf.force.com/0014L00000KFpUSQA1", "MALARMEY ERIC")</f>
        <v>MALARMEY ERIC</v>
      </c>
      <c r="AD809" s="38"/>
      <c r="AE809" s="39"/>
      <c r="AF809" s="40"/>
      <c r="AG809" s="41"/>
      <c r="AH809" s="32"/>
      <c r="AI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XEY809" s="27"/>
      <c r="XEZ809" s="27"/>
      <c r="XFA809" s="27"/>
      <c r="XFB809" s="27"/>
      <c r="XFC809" s="27"/>
      <c r="XFD809" s="27"/>
    </row>
    <row r="810" s="42" customFormat="true" ht="14.15" hidden="false" customHeight="true" outlineLevel="0" collapsed="false">
      <c r="A810" s="28" t="s">
        <v>5079</v>
      </c>
      <c r="B810" s="29" t="s">
        <v>1275</v>
      </c>
      <c r="C810" s="29" t="s">
        <v>5080</v>
      </c>
      <c r="D810" s="30" t="s">
        <v>50</v>
      </c>
      <c r="E810" s="31"/>
      <c r="F810" s="32" t="n">
        <v>57</v>
      </c>
      <c r="G810" s="31" t="s">
        <v>98</v>
      </c>
      <c r="H810" s="31" t="n">
        <v>1</v>
      </c>
      <c r="I810" s="31" t="s">
        <v>233</v>
      </c>
      <c r="J810" s="29"/>
      <c r="K810" s="29" t="s">
        <v>3194</v>
      </c>
      <c r="L810" s="32" t="n">
        <v>12</v>
      </c>
      <c r="M810" s="33" t="s">
        <v>3195</v>
      </c>
      <c r="N810" s="34" t="n">
        <v>75015</v>
      </c>
      <c r="O810" s="35" t="s">
        <v>55</v>
      </c>
      <c r="P810" s="36" t="s">
        <v>3196</v>
      </c>
      <c r="Q810" s="36" t="n">
        <v>3</v>
      </c>
      <c r="R810" s="32" t="n">
        <v>481</v>
      </c>
      <c r="S810" s="32" t="n">
        <v>1</v>
      </c>
      <c r="T810" s="32"/>
      <c r="U810" s="32"/>
      <c r="V810" s="37"/>
      <c r="W810" s="32"/>
      <c r="X810" s="34"/>
      <c r="Y810" s="34"/>
      <c r="Z810" s="36"/>
      <c r="AA810" s="32" t="s">
        <v>5081</v>
      </c>
      <c r="AB810" s="32" t="s">
        <v>5082</v>
      </c>
      <c r="AC810" s="38" t="str">
        <f aca="false">HYPERLINK("https://biocodex6--c.vf.force.com/0014L00000KFeH4QAL", "GRUDET STEPHANE")</f>
        <v>GRUDET STEPHANE</v>
      </c>
      <c r="AD810" s="38" t="str">
        <f aca="false">HYPERLINK("https://annuairesante.ameli.fr/professionnels-de-sante/recherche/fiche-detaillee-B7c1kjU4MjKx.html", "GRUDET STEPHANE")</f>
        <v>GRUDET STEPHANE</v>
      </c>
      <c r="AE810" s="39"/>
      <c r="AF810" s="40"/>
      <c r="AG810" s="41"/>
      <c r="AH810" s="32" t="s">
        <v>179</v>
      </c>
      <c r="AI810" s="32"/>
      <c r="AL810" s="43" t="s">
        <v>657</v>
      </c>
      <c r="AM810" s="43" t="s">
        <v>534</v>
      </c>
      <c r="AN810" s="43" t="s">
        <v>657</v>
      </c>
      <c r="AO810" s="43" t="s">
        <v>534</v>
      </c>
      <c r="AP810" s="43" t="s">
        <v>5083</v>
      </c>
      <c r="AQ810" s="43" t="s">
        <v>534</v>
      </c>
      <c r="AR810" s="43" t="s">
        <v>657</v>
      </c>
      <c r="AS810" s="43" t="s">
        <v>534</v>
      </c>
      <c r="AT810" s="43" t="s">
        <v>657</v>
      </c>
      <c r="AU810" s="43" t="s">
        <v>534</v>
      </c>
      <c r="XEY810" s="27"/>
      <c r="XEZ810" s="27"/>
      <c r="XFA810" s="27"/>
      <c r="XFB810" s="27"/>
      <c r="XFC810" s="27"/>
      <c r="XFD810" s="27"/>
    </row>
    <row r="811" s="42" customFormat="true" ht="14.15" hidden="false" customHeight="true" outlineLevel="0" collapsed="false">
      <c r="A811" s="28" t="s">
        <v>5084</v>
      </c>
      <c r="B811" s="29" t="s">
        <v>182</v>
      </c>
      <c r="C811" s="29" t="s">
        <v>5085</v>
      </c>
      <c r="D811" s="30" t="s">
        <v>50</v>
      </c>
      <c r="E811" s="30" t="s">
        <v>421</v>
      </c>
      <c r="F811" s="32" t="n">
        <v>71</v>
      </c>
      <c r="G811" s="31" t="s">
        <v>215</v>
      </c>
      <c r="H811" s="31" t="n">
        <v>1</v>
      </c>
      <c r="I811" s="31" t="s">
        <v>119</v>
      </c>
      <c r="J811" s="29"/>
      <c r="K811" s="29" t="s">
        <v>5086</v>
      </c>
      <c r="L811" s="32" t="n">
        <v>50</v>
      </c>
      <c r="M811" s="33" t="s">
        <v>5087</v>
      </c>
      <c r="N811" s="34" t="n">
        <v>75007</v>
      </c>
      <c r="O811" s="35" t="s">
        <v>55</v>
      </c>
      <c r="P811" s="36" t="s">
        <v>5088</v>
      </c>
      <c r="Q811" s="36" t="n">
        <v>4</v>
      </c>
      <c r="R811" s="32" t="n">
        <v>478</v>
      </c>
      <c r="S811" s="32" t="n">
        <v>1</v>
      </c>
      <c r="T811" s="32"/>
      <c r="U811" s="32" t="n">
        <v>3</v>
      </c>
      <c r="V811" s="37"/>
      <c r="W811" s="32" t="n">
        <v>3</v>
      </c>
      <c r="X811" s="34" t="n">
        <v>1</v>
      </c>
      <c r="Y811" s="34" t="n">
        <v>2</v>
      </c>
      <c r="Z811" s="32"/>
      <c r="AA811" s="32" t="s">
        <v>5089</v>
      </c>
      <c r="AB811" s="44" t="s">
        <v>5090</v>
      </c>
      <c r="AC811" s="38" t="str">
        <f aca="false">HYPERLINK("https://biocodex6--c.vf.force.com/0014L00000KFltgQAD", "LANGART LAURENT")</f>
        <v>LANGART LAURENT</v>
      </c>
      <c r="AD811" s="38" t="str">
        <f aca="false">HYPERLINK("https://annuairesante.ameli.fr/professionnels-de-sante/recherche/fiche-detaillee-B7c1kTs4MjG7.html", "LANGART LAURENT")</f>
        <v>LANGART LAURENT</v>
      </c>
      <c r="AE811" s="39" t="n">
        <v>45294.5</v>
      </c>
      <c r="AF811" s="40" t="s">
        <v>5091</v>
      </c>
      <c r="AG811" s="41" t="s">
        <v>69</v>
      </c>
      <c r="AH811" s="32" t="s">
        <v>70</v>
      </c>
      <c r="AI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XEY811" s="27"/>
      <c r="XEZ811" s="27"/>
      <c r="XFA811" s="27"/>
      <c r="XFB811" s="27"/>
      <c r="XFC811" s="27"/>
      <c r="XFD811" s="27"/>
    </row>
    <row r="812" s="42" customFormat="true" ht="14.15" hidden="false" customHeight="true" outlineLevel="0" collapsed="false">
      <c r="A812" s="28" t="s">
        <v>5092</v>
      </c>
      <c r="B812" s="29" t="s">
        <v>3978</v>
      </c>
      <c r="C812" s="29" t="s">
        <v>5093</v>
      </c>
      <c r="D812" s="30" t="s">
        <v>50</v>
      </c>
      <c r="E812" s="31"/>
      <c r="F812" s="32" t="n">
        <v>48</v>
      </c>
      <c r="G812" s="31"/>
      <c r="H812" s="31" t="n">
        <v>2</v>
      </c>
      <c r="I812" s="31" t="s">
        <v>62</v>
      </c>
      <c r="J812" s="29"/>
      <c r="K812" s="29" t="s">
        <v>3484</v>
      </c>
      <c r="L812" s="32" t="n">
        <v>18</v>
      </c>
      <c r="M812" s="33" t="s">
        <v>3485</v>
      </c>
      <c r="N812" s="34" t="n">
        <v>75017</v>
      </c>
      <c r="O812" s="35" t="s">
        <v>55</v>
      </c>
      <c r="P812" s="36"/>
      <c r="Q812" s="36" t="n">
        <v>2</v>
      </c>
      <c r="R812" s="32" t="n">
        <v>478</v>
      </c>
      <c r="S812" s="32" t="n">
        <v>1</v>
      </c>
      <c r="T812" s="32"/>
      <c r="U812" s="32"/>
      <c r="V812" s="37"/>
      <c r="W812" s="32"/>
      <c r="X812" s="34"/>
      <c r="Y812" s="34"/>
      <c r="Z812" s="36"/>
      <c r="AA812" s="32" t="s">
        <v>5094</v>
      </c>
      <c r="AB812" s="32"/>
      <c r="AC812" s="38" t="str">
        <f aca="false">HYPERLINK("https://biocodex6--c.vf.force.com/0014L00000KG1YeQAL", "SALZGEBER SYLVAIN")</f>
        <v>SALZGEBER SYLVAIN</v>
      </c>
      <c r="AD812" s="38"/>
      <c r="AE812" s="39"/>
      <c r="AF812" s="40"/>
      <c r="AG812" s="41"/>
      <c r="AH812" s="32" t="s">
        <v>179</v>
      </c>
      <c r="AI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XEY812" s="27"/>
      <c r="XEZ812" s="27"/>
      <c r="XFA812" s="27"/>
      <c r="XFB812" s="27"/>
      <c r="XFC812" s="27"/>
      <c r="XFD812" s="27"/>
    </row>
    <row r="813" s="42" customFormat="true" ht="14.15" hidden="false" customHeight="true" outlineLevel="0" collapsed="false">
      <c r="A813" s="28" t="s">
        <v>5095</v>
      </c>
      <c r="B813" s="29" t="s">
        <v>182</v>
      </c>
      <c r="C813" s="29" t="s">
        <v>5096</v>
      </c>
      <c r="D813" s="30" t="s">
        <v>50</v>
      </c>
      <c r="E813" s="31"/>
      <c r="F813" s="32" t="n">
        <v>70</v>
      </c>
      <c r="G813" s="31"/>
      <c r="H813" s="31" t="n">
        <v>1</v>
      </c>
      <c r="I813" s="31" t="s">
        <v>119</v>
      </c>
      <c r="J813" s="29"/>
      <c r="K813" s="29" t="s">
        <v>5097</v>
      </c>
      <c r="L813" s="32" t="n">
        <v>12</v>
      </c>
      <c r="M813" s="33" t="s">
        <v>5098</v>
      </c>
      <c r="N813" s="34" t="n">
        <v>75007</v>
      </c>
      <c r="O813" s="35" t="s">
        <v>55</v>
      </c>
      <c r="P813" s="36" t="s">
        <v>5099</v>
      </c>
      <c r="Q813" s="36" t="n">
        <v>1</v>
      </c>
      <c r="R813" s="32" t="n">
        <v>474</v>
      </c>
      <c r="S813" s="32" t="n">
        <v>1</v>
      </c>
      <c r="T813" s="32"/>
      <c r="U813" s="32"/>
      <c r="V813" s="37"/>
      <c r="W813" s="32"/>
      <c r="X813" s="34"/>
      <c r="Y813" s="34"/>
      <c r="Z813" s="36"/>
      <c r="AA813" s="32" t="s">
        <v>5100</v>
      </c>
      <c r="AB813" s="32"/>
      <c r="AC813" s="38" t="str">
        <f aca="false">HYPERLINK("https://biocodex6--c.vf.force.com/0014L00000KFhnfQAD", "GUITER LAURENT")</f>
        <v>GUITER LAURENT</v>
      </c>
      <c r="AD813" s="38"/>
      <c r="AE813" s="39"/>
      <c r="AF813" s="40"/>
      <c r="AG813" s="41"/>
      <c r="AH813" s="32" t="s">
        <v>179</v>
      </c>
      <c r="AI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XEY813" s="27"/>
      <c r="XEZ813" s="27"/>
      <c r="XFA813" s="27"/>
      <c r="XFB813" s="27"/>
      <c r="XFC813" s="27"/>
      <c r="XFD813" s="27"/>
    </row>
    <row r="814" s="42" customFormat="true" ht="14.15" hidden="false" customHeight="true" outlineLevel="0" collapsed="false">
      <c r="A814" s="28" t="s">
        <v>5101</v>
      </c>
      <c r="B814" s="29" t="s">
        <v>1766</v>
      </c>
      <c r="C814" s="29" t="s">
        <v>5102</v>
      </c>
      <c r="D814" s="30" t="s">
        <v>50</v>
      </c>
      <c r="E814" s="31"/>
      <c r="F814" s="32" t="n">
        <v>67</v>
      </c>
      <c r="G814" s="31"/>
      <c r="H814" s="31" t="n">
        <v>1</v>
      </c>
      <c r="I814" s="31" t="s">
        <v>119</v>
      </c>
      <c r="J814" s="29"/>
      <c r="K814" s="29" t="s">
        <v>5103</v>
      </c>
      <c r="L814" s="32" t="n">
        <v>114</v>
      </c>
      <c r="M814" s="33" t="s">
        <v>852</v>
      </c>
      <c r="N814" s="34" t="n">
        <v>75007</v>
      </c>
      <c r="O814" s="35" t="s">
        <v>55</v>
      </c>
      <c r="P814" s="36" t="s">
        <v>5104</v>
      </c>
      <c r="Q814" s="36" t="n">
        <v>1</v>
      </c>
      <c r="R814" s="32" t="n">
        <v>473</v>
      </c>
      <c r="S814" s="32" t="n">
        <v>1</v>
      </c>
      <c r="T814" s="32"/>
      <c r="U814" s="32"/>
      <c r="V814" s="37"/>
      <c r="W814" s="32"/>
      <c r="X814" s="34"/>
      <c r="Y814" s="34"/>
      <c r="Z814" s="36"/>
      <c r="AA814" s="32" t="s">
        <v>5105</v>
      </c>
      <c r="AB814" s="32"/>
      <c r="AC814" s="38" t="str">
        <f aca="false">HYPERLINK("https://biocodex6--c.vf.force.com/0014L00000KFTLPQA5", "BESSON FRANCOIS")</f>
        <v>BESSON FRANCOIS</v>
      </c>
      <c r="AD814" s="38"/>
      <c r="AE814" s="39"/>
      <c r="AF814" s="40"/>
      <c r="AG814" s="41"/>
      <c r="AH814" s="32" t="s">
        <v>179</v>
      </c>
      <c r="AI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XEY814" s="27"/>
      <c r="XEZ814" s="27"/>
      <c r="XFA814" s="27"/>
      <c r="XFB814" s="27"/>
      <c r="XFC814" s="27"/>
      <c r="XFD814" s="27"/>
    </row>
    <row r="815" s="42" customFormat="true" ht="14.15" hidden="false" customHeight="true" outlineLevel="0" collapsed="false">
      <c r="A815" s="28" t="s">
        <v>5106</v>
      </c>
      <c r="B815" s="29" t="s">
        <v>5107</v>
      </c>
      <c r="C815" s="29" t="s">
        <v>5108</v>
      </c>
      <c r="D815" s="30" t="s">
        <v>50</v>
      </c>
      <c r="E815" s="31"/>
      <c r="F815" s="32" t="n">
        <v>75</v>
      </c>
      <c r="G815" s="31" t="s">
        <v>215</v>
      </c>
      <c r="H815" s="31" t="n">
        <v>1</v>
      </c>
      <c r="I815" s="31" t="s">
        <v>387</v>
      </c>
      <c r="J815" s="29"/>
      <c r="K815" s="29" t="s">
        <v>5109</v>
      </c>
      <c r="L815" s="32" t="n">
        <v>96</v>
      </c>
      <c r="M815" s="33" t="s">
        <v>389</v>
      </c>
      <c r="N815" s="34" t="n">
        <v>75016</v>
      </c>
      <c r="O815" s="35" t="s">
        <v>55</v>
      </c>
      <c r="P815" s="36" t="s">
        <v>5110</v>
      </c>
      <c r="Q815" s="36" t="n">
        <v>1</v>
      </c>
      <c r="R815" s="32" t="n">
        <v>466</v>
      </c>
      <c r="S815" s="32" t="n">
        <v>1</v>
      </c>
      <c r="T815" s="32"/>
      <c r="U815" s="32"/>
      <c r="V815" s="37"/>
      <c r="W815" s="32"/>
      <c r="X815" s="34"/>
      <c r="Y815" s="34"/>
      <c r="Z815" s="36"/>
      <c r="AA815" s="32" t="s">
        <v>5111</v>
      </c>
      <c r="AB815" s="32" t="s">
        <v>5112</v>
      </c>
      <c r="AC815" s="38" t="str">
        <f aca="false">HYPERLINK("https://biocodex6--c.vf.force.com/0014L00000KG3hXQAT", "TRAVERS FREDERIC GEORGES")</f>
        <v>TRAVERS FREDERIC GEORGES</v>
      </c>
      <c r="AD815" s="38" t="str">
        <f aca="false">HYPERLINK("https://annuairesante.ameli.fr/professionnels-de-sante/recherche/fiche-detaillee-B7c1kTA3Mzqy.html", "TRAVERS FREDERIC GEORGES")</f>
        <v>TRAVERS FREDERIC GEORGES</v>
      </c>
      <c r="AE815" s="39"/>
      <c r="AF815" s="40"/>
      <c r="AG815" s="41"/>
      <c r="AH815" s="32" t="s">
        <v>179</v>
      </c>
      <c r="AI815" s="32"/>
      <c r="AL815" s="43" t="s">
        <v>5113</v>
      </c>
      <c r="AM815" s="32"/>
      <c r="AN815" s="43" t="s">
        <v>5113</v>
      </c>
      <c r="AO815" s="32"/>
      <c r="AP815" s="32"/>
      <c r="AQ815" s="32"/>
      <c r="AR815" s="43" t="s">
        <v>5113</v>
      </c>
      <c r="AS815" s="32"/>
      <c r="AT815" s="43" t="s">
        <v>5113</v>
      </c>
      <c r="AU815" s="32"/>
      <c r="XEY815" s="27"/>
      <c r="XEZ815" s="27"/>
      <c r="XFA815" s="27"/>
      <c r="XFB815" s="27"/>
      <c r="XFC815" s="27"/>
      <c r="XFD815" s="27"/>
    </row>
    <row r="816" s="42" customFormat="true" ht="14.15" hidden="false" customHeight="true" outlineLevel="0" collapsed="false">
      <c r="A816" s="28" t="s">
        <v>5114</v>
      </c>
      <c r="B816" s="29" t="s">
        <v>195</v>
      </c>
      <c r="C816" s="29" t="s">
        <v>5115</v>
      </c>
      <c r="D816" s="30" t="s">
        <v>50</v>
      </c>
      <c r="E816" s="31"/>
      <c r="F816" s="32" t="n">
        <v>68</v>
      </c>
      <c r="G816" s="31"/>
      <c r="H816" s="31" t="n">
        <v>1</v>
      </c>
      <c r="I816" s="31" t="s">
        <v>119</v>
      </c>
      <c r="J816" s="29"/>
      <c r="K816" s="29" t="s">
        <v>144</v>
      </c>
      <c r="L816" s="32" t="n">
        <v>19</v>
      </c>
      <c r="M816" s="33" t="s">
        <v>145</v>
      </c>
      <c r="N816" s="34" t="n">
        <v>75007</v>
      </c>
      <c r="O816" s="35" t="s">
        <v>55</v>
      </c>
      <c r="P816" s="36" t="s">
        <v>5116</v>
      </c>
      <c r="Q816" s="36" t="n">
        <v>3</v>
      </c>
      <c r="R816" s="32" t="n">
        <v>459</v>
      </c>
      <c r="S816" s="32" t="n">
        <v>1</v>
      </c>
      <c r="T816" s="32"/>
      <c r="U816" s="32" t="n">
        <v>3</v>
      </c>
      <c r="V816" s="37"/>
      <c r="W816" s="32" t="n">
        <v>3</v>
      </c>
      <c r="X816" s="34"/>
      <c r="Y816" s="34" t="n">
        <v>1</v>
      </c>
      <c r="Z816" s="32"/>
      <c r="AA816" s="32" t="s">
        <v>5117</v>
      </c>
      <c r="AB816" s="32"/>
      <c r="AC816" s="38" t="str">
        <f aca="false">HYPERLINK("https://biocodex6--c.vf.force.com/0014L00000KFSBeQAP", "BEAUNIER PHILIPPE")</f>
        <v>BEAUNIER PHILIPPE</v>
      </c>
      <c r="AD816" s="38"/>
      <c r="AE816" s="39" t="n">
        <v>45314.4583333333</v>
      </c>
      <c r="AF816" s="40"/>
      <c r="AG816" s="41" t="s">
        <v>69</v>
      </c>
      <c r="AH816" s="32" t="s">
        <v>70</v>
      </c>
      <c r="AI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XEY816" s="27"/>
      <c r="XEZ816" s="27"/>
      <c r="XFA816" s="27"/>
      <c r="XFB816" s="27"/>
      <c r="XFC816" s="27"/>
      <c r="XFD816" s="27"/>
    </row>
    <row r="817" s="42" customFormat="true" ht="14.15" hidden="false" customHeight="true" outlineLevel="0" collapsed="false">
      <c r="A817" s="28" t="s">
        <v>5118</v>
      </c>
      <c r="B817" s="29" t="s">
        <v>5119</v>
      </c>
      <c r="C817" s="29" t="s">
        <v>5120</v>
      </c>
      <c r="D817" s="30" t="s">
        <v>50</v>
      </c>
      <c r="E817" s="30" t="s">
        <v>831</v>
      </c>
      <c r="F817" s="32" t="n">
        <v>70</v>
      </c>
      <c r="G817" s="31" t="s">
        <v>215</v>
      </c>
      <c r="H817" s="31" t="n">
        <v>1</v>
      </c>
      <c r="I817" s="31" t="s">
        <v>119</v>
      </c>
      <c r="J817" s="29"/>
      <c r="K817" s="29" t="s">
        <v>5086</v>
      </c>
      <c r="L817" s="32" t="n">
        <v>50</v>
      </c>
      <c r="M817" s="33" t="s">
        <v>5087</v>
      </c>
      <c r="N817" s="34" t="n">
        <v>75007</v>
      </c>
      <c r="O817" s="35" t="s">
        <v>55</v>
      </c>
      <c r="P817" s="36" t="s">
        <v>5121</v>
      </c>
      <c r="Q817" s="36" t="n">
        <v>4</v>
      </c>
      <c r="R817" s="32" t="n">
        <v>458</v>
      </c>
      <c r="S817" s="32" t="n">
        <v>1</v>
      </c>
      <c r="T817" s="32"/>
      <c r="U817" s="32" t="n">
        <v>3</v>
      </c>
      <c r="V817" s="37"/>
      <c r="W817" s="32" t="n">
        <v>2</v>
      </c>
      <c r="X817" s="34" t="n">
        <v>1</v>
      </c>
      <c r="Y817" s="34" t="n">
        <v>2</v>
      </c>
      <c r="Z817" s="32"/>
      <c r="AA817" s="32" t="s">
        <v>5122</v>
      </c>
      <c r="AB817" s="44" t="s">
        <v>5123</v>
      </c>
      <c r="AC817" s="38" t="str">
        <f aca="false">HYPERLINK("https://biocodex6--c.vf.force.com/0014L00000KFhRjQAL", "GUETTA GILLES MICHAEL")</f>
        <v>GUETTA GILLES MICHAEL</v>
      </c>
      <c r="AD817" s="38" t="str">
        <f aca="false">HYPERLINK("https://annuairesante.ameli.fr/professionnels-de-sante/recherche/fiche-detaillee-B7c1ljI4OTa1.html", "GUETTA GILLES MICHAEL")</f>
        <v>GUETTA GILLES MICHAEL</v>
      </c>
      <c r="AE817" s="39" t="n">
        <v>45294.5625</v>
      </c>
      <c r="AF817" s="40" t="s">
        <v>5124</v>
      </c>
      <c r="AG817" s="41" t="s">
        <v>69</v>
      </c>
      <c r="AH817" s="32" t="s">
        <v>70</v>
      </c>
      <c r="AI817" s="32"/>
      <c r="AL817" s="43" t="s">
        <v>822</v>
      </c>
      <c r="AM817" s="43" t="s">
        <v>661</v>
      </c>
      <c r="AN817" s="43" t="s">
        <v>822</v>
      </c>
      <c r="AO817" s="43" t="s">
        <v>661</v>
      </c>
      <c r="AP817" s="43" t="s">
        <v>822</v>
      </c>
      <c r="AQ817" s="43" t="s">
        <v>661</v>
      </c>
      <c r="AR817" s="32"/>
      <c r="AS817" s="32"/>
      <c r="AT817" s="43" t="s">
        <v>822</v>
      </c>
      <c r="AU817" s="43" t="s">
        <v>661</v>
      </c>
      <c r="XEY817" s="27"/>
      <c r="XEZ817" s="27"/>
      <c r="XFA817" s="27"/>
      <c r="XFB817" s="27"/>
      <c r="XFC817" s="27"/>
      <c r="XFD817" s="27"/>
    </row>
    <row r="818" s="42" customFormat="true" ht="14.15" hidden="false" customHeight="true" outlineLevel="0" collapsed="false">
      <c r="A818" s="28" t="s">
        <v>5125</v>
      </c>
      <c r="B818" s="29" t="s">
        <v>1766</v>
      </c>
      <c r="C818" s="29" t="s">
        <v>5126</v>
      </c>
      <c r="D818" s="30" t="s">
        <v>50</v>
      </c>
      <c r="E818" s="31"/>
      <c r="F818" s="32" t="n">
        <v>60</v>
      </c>
      <c r="G818" s="31" t="s">
        <v>98</v>
      </c>
      <c r="H818" s="31" t="n">
        <v>2</v>
      </c>
      <c r="I818" s="31" t="s">
        <v>77</v>
      </c>
      <c r="J818" s="29"/>
      <c r="K818" s="29" t="s">
        <v>5127</v>
      </c>
      <c r="L818" s="32" t="n">
        <v>152</v>
      </c>
      <c r="M818" s="33" t="s">
        <v>379</v>
      </c>
      <c r="N818" s="34" t="n">
        <v>92200</v>
      </c>
      <c r="O818" s="35" t="s">
        <v>81</v>
      </c>
      <c r="P818" s="36" t="s">
        <v>5128</v>
      </c>
      <c r="Q818" s="36" t="n">
        <v>2</v>
      </c>
      <c r="R818" s="32" t="n">
        <v>455</v>
      </c>
      <c r="S818" s="32" t="n">
        <v>1</v>
      </c>
      <c r="T818" s="32"/>
      <c r="U818" s="32"/>
      <c r="V818" s="37"/>
      <c r="W818" s="32"/>
      <c r="X818" s="34"/>
      <c r="Y818" s="34"/>
      <c r="Z818" s="36"/>
      <c r="AA818" s="32" t="s">
        <v>5129</v>
      </c>
      <c r="AB818" s="32" t="s">
        <v>5130</v>
      </c>
      <c r="AC818" s="38" t="str">
        <f aca="false">HYPERLINK("https://biocodex6--c.vf.force.com/0014L00000KFXRTQA5", "DEROCHE FRANCOIS")</f>
        <v>DEROCHE FRANCOIS</v>
      </c>
      <c r="AD818" s="38" t="str">
        <f aca="false">HYPERLINK("https://annuairesante.ameli.fr/professionnels-de-sante/recherche/fiche-detaillee-CbA1lTIzMzOw.html", "DEROCHE FRANCOIS")</f>
        <v>DEROCHE FRANCOIS</v>
      </c>
      <c r="AE818" s="39"/>
      <c r="AF818" s="40"/>
      <c r="AG818" s="41"/>
      <c r="AH818" s="32" t="s">
        <v>179</v>
      </c>
      <c r="AI818" s="32"/>
      <c r="AL818" s="32"/>
      <c r="AM818" s="43" t="s">
        <v>443</v>
      </c>
      <c r="AN818" s="43" t="s">
        <v>5131</v>
      </c>
      <c r="AO818" s="43" t="s">
        <v>443</v>
      </c>
      <c r="AP818" s="43" t="s">
        <v>5131</v>
      </c>
      <c r="AQ818" s="43" t="s">
        <v>443</v>
      </c>
      <c r="AR818" s="43" t="s">
        <v>5131</v>
      </c>
      <c r="AS818" s="32"/>
      <c r="AT818" s="43" t="s">
        <v>5131</v>
      </c>
      <c r="AU818" s="43" t="s">
        <v>443</v>
      </c>
      <c r="XEY818" s="27"/>
      <c r="XEZ818" s="27"/>
      <c r="XFA818" s="27"/>
      <c r="XFB818" s="27"/>
      <c r="XFC818" s="27"/>
      <c r="XFD818" s="27"/>
    </row>
    <row r="819" s="42" customFormat="true" ht="14.15" hidden="false" customHeight="true" outlineLevel="0" collapsed="false">
      <c r="A819" s="28" t="s">
        <v>5132</v>
      </c>
      <c r="B819" s="29" t="s">
        <v>195</v>
      </c>
      <c r="C819" s="29" t="s">
        <v>5133</v>
      </c>
      <c r="D819" s="30" t="s">
        <v>50</v>
      </c>
      <c r="E819" s="30" t="s">
        <v>255</v>
      </c>
      <c r="F819" s="32" t="n">
        <v>68</v>
      </c>
      <c r="G819" s="31" t="s">
        <v>98</v>
      </c>
      <c r="H819" s="31" t="n">
        <v>1</v>
      </c>
      <c r="I819" s="31" t="s">
        <v>77</v>
      </c>
      <c r="J819" s="29"/>
      <c r="K819" s="29" t="s">
        <v>5134</v>
      </c>
      <c r="L819" s="32" t="n">
        <v>15</v>
      </c>
      <c r="M819" s="33" t="s">
        <v>786</v>
      </c>
      <c r="N819" s="34" t="n">
        <v>92200</v>
      </c>
      <c r="O819" s="35" t="s">
        <v>81</v>
      </c>
      <c r="P819" s="36" t="s">
        <v>5135</v>
      </c>
      <c r="Q819" s="36" t="n">
        <v>1</v>
      </c>
      <c r="R819" s="32" t="n">
        <v>445</v>
      </c>
      <c r="S819" s="32" t="n">
        <v>1</v>
      </c>
      <c r="T819" s="32"/>
      <c r="U819" s="32"/>
      <c r="V819" s="37"/>
      <c r="W819" s="32"/>
      <c r="X819" s="34"/>
      <c r="Y819" s="34"/>
      <c r="Z819" s="36"/>
      <c r="AA819" s="32" t="s">
        <v>5136</v>
      </c>
      <c r="AB819" s="32" t="s">
        <v>5137</v>
      </c>
      <c r="AC819" s="38" t="str">
        <f aca="false">HYPERLINK("https://biocodex6--c.vf.force.com/0014L00000KG5wiQAD", "WINTREBERT PHILIPPE")</f>
        <v>WINTREBERT PHILIPPE</v>
      </c>
      <c r="AD819" s="38" t="str">
        <f aca="false">HYPERLINK("https://annuairesante.ameli.fr/professionnels-de-sante/recherche/fiche-detaillee-CbA1kjs5NTG7.html", "WINTREBERT PHILIPPE")</f>
        <v>WINTREBERT PHILIPPE</v>
      </c>
      <c r="AE819" s="39"/>
      <c r="AF819" s="40"/>
      <c r="AG819" s="41"/>
      <c r="AH819" s="32" t="s">
        <v>179</v>
      </c>
      <c r="AI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XEY819" s="27"/>
      <c r="XEZ819" s="27"/>
      <c r="XFA819" s="27"/>
      <c r="XFB819" s="27"/>
      <c r="XFC819" s="27"/>
      <c r="XFD819" s="27"/>
    </row>
    <row r="820" s="42" customFormat="true" ht="14.15" hidden="false" customHeight="true" outlineLevel="0" collapsed="false">
      <c r="A820" s="28" t="s">
        <v>3984</v>
      </c>
      <c r="B820" s="29" t="s">
        <v>376</v>
      </c>
      <c r="C820" s="29" t="s">
        <v>5138</v>
      </c>
      <c r="D820" s="30" t="s">
        <v>50</v>
      </c>
      <c r="E820" s="31"/>
      <c r="F820" s="32" t="n">
        <v>35</v>
      </c>
      <c r="G820" s="31" t="s">
        <v>98</v>
      </c>
      <c r="H820" s="31" t="n">
        <v>1</v>
      </c>
      <c r="I820" s="31" t="s">
        <v>77</v>
      </c>
      <c r="J820" s="29"/>
      <c r="K820" s="29" t="s">
        <v>2219</v>
      </c>
      <c r="L820" s="32" t="n">
        <v>21</v>
      </c>
      <c r="M820" s="33" t="s">
        <v>2220</v>
      </c>
      <c r="N820" s="34" t="n">
        <v>92200</v>
      </c>
      <c r="O820" s="35" t="s">
        <v>81</v>
      </c>
      <c r="P820" s="36" t="s">
        <v>5139</v>
      </c>
      <c r="Q820" s="36" t="n">
        <v>2</v>
      </c>
      <c r="R820" s="32" t="n">
        <v>444</v>
      </c>
      <c r="S820" s="32" t="n">
        <v>1</v>
      </c>
      <c r="T820" s="32"/>
      <c r="U820" s="32"/>
      <c r="V820" s="37"/>
      <c r="W820" s="32"/>
      <c r="X820" s="34"/>
      <c r="Y820" s="34"/>
      <c r="Z820" s="36"/>
      <c r="AA820" s="32" t="s">
        <v>5140</v>
      </c>
      <c r="AB820" s="32" t="s">
        <v>5141</v>
      </c>
      <c r="AC820" s="38" t="str">
        <f aca="false">HYPERLINK("https://biocodex6--c.vf.force.com/0014L00000KGEFPQA5", "LEVY ALEXANDRE")</f>
        <v>LEVY ALEXANDRE</v>
      </c>
      <c r="AD820" s="38" t="str">
        <f aca="false">HYPERLINK("https://annuairesante.ameli.fr/professionnels-de-sante/recherche/fiche-detaillee-CbA1lTM1MjG2.html", "LEVY ALEXANDRE")</f>
        <v>LEVY ALEXANDRE</v>
      </c>
      <c r="AE820" s="39"/>
      <c r="AF820" s="40"/>
      <c r="AG820" s="41"/>
      <c r="AH820" s="32" t="s">
        <v>179</v>
      </c>
      <c r="AI820" s="32"/>
      <c r="AL820" s="43" t="s">
        <v>1301</v>
      </c>
      <c r="AM820" s="43" t="s">
        <v>262</v>
      </c>
      <c r="AN820" s="43" t="s">
        <v>1301</v>
      </c>
      <c r="AO820" s="43" t="s">
        <v>262</v>
      </c>
      <c r="AP820" s="43" t="s">
        <v>1301</v>
      </c>
      <c r="AQ820" s="43" t="s">
        <v>262</v>
      </c>
      <c r="AR820" s="43" t="s">
        <v>1301</v>
      </c>
      <c r="AS820" s="43" t="s">
        <v>262</v>
      </c>
      <c r="AT820" s="43" t="s">
        <v>1301</v>
      </c>
      <c r="AU820" s="43" t="s">
        <v>262</v>
      </c>
      <c r="XEY820" s="27"/>
      <c r="XEZ820" s="27"/>
      <c r="XFA820" s="27"/>
      <c r="XFB820" s="27"/>
      <c r="XFC820" s="27"/>
      <c r="XFD820" s="27"/>
    </row>
    <row r="821" s="42" customFormat="true" ht="14.15" hidden="false" customHeight="true" outlineLevel="0" collapsed="false">
      <c r="A821" s="28" t="s">
        <v>5142</v>
      </c>
      <c r="B821" s="29" t="s">
        <v>861</v>
      </c>
      <c r="C821" s="29" t="s">
        <v>5143</v>
      </c>
      <c r="D821" s="30" t="s">
        <v>50</v>
      </c>
      <c r="E821" s="31"/>
      <c r="F821" s="32" t="n">
        <v>60</v>
      </c>
      <c r="G821" s="31" t="s">
        <v>345</v>
      </c>
      <c r="H821" s="31" t="n">
        <v>1</v>
      </c>
      <c r="I821" s="31" t="s">
        <v>77</v>
      </c>
      <c r="J821" s="29"/>
      <c r="K821" s="29" t="s">
        <v>5144</v>
      </c>
      <c r="L821" s="32" t="n">
        <v>5</v>
      </c>
      <c r="M821" s="33" t="s">
        <v>458</v>
      </c>
      <c r="N821" s="34" t="n">
        <v>92200</v>
      </c>
      <c r="O821" s="35" t="s">
        <v>81</v>
      </c>
      <c r="P821" s="36" t="s">
        <v>5145</v>
      </c>
      <c r="Q821" s="36" t="n">
        <v>1</v>
      </c>
      <c r="R821" s="32" t="n">
        <v>443</v>
      </c>
      <c r="S821" s="32" t="n">
        <v>1</v>
      </c>
      <c r="T821" s="32"/>
      <c r="U821" s="32"/>
      <c r="V821" s="37"/>
      <c r="W821" s="32"/>
      <c r="X821" s="34"/>
      <c r="Y821" s="34"/>
      <c r="Z821" s="36"/>
      <c r="AA821" s="32" t="s">
        <v>5146</v>
      </c>
      <c r="AB821" s="32" t="s">
        <v>5147</v>
      </c>
      <c r="AC821" s="38" t="str">
        <f aca="false">HYPERLINK("https://biocodex6--c.vf.force.com/0014L00000KFwgXQAT", "PORTEFAIX CHRISTOPHE")</f>
        <v>PORTEFAIX CHRISTOPHE</v>
      </c>
      <c r="AD821" s="38" t="str">
        <f aca="false">HYPERLINK("https://annuairesante.ameli.fr/professionnels-de-sante/recherche/fiche-detaillee-CbA1kzE0ODG0.html", "PORTEFAIX CHRISTOPHE")</f>
        <v>PORTEFAIX CHRISTOPHE</v>
      </c>
      <c r="AE821" s="39"/>
      <c r="AF821" s="40"/>
      <c r="AG821" s="41"/>
      <c r="AH821" s="32" t="s">
        <v>179</v>
      </c>
      <c r="AI821" s="32"/>
      <c r="AL821" s="43" t="s">
        <v>2307</v>
      </c>
      <c r="AM821" s="43" t="s">
        <v>1066</v>
      </c>
      <c r="AN821" s="43" t="s">
        <v>2307</v>
      </c>
      <c r="AO821" s="43" t="s">
        <v>1066</v>
      </c>
      <c r="AP821" s="43" t="s">
        <v>2307</v>
      </c>
      <c r="AQ821" s="43" t="s">
        <v>1066</v>
      </c>
      <c r="AR821" s="43" t="s">
        <v>2307</v>
      </c>
      <c r="AS821" s="43" t="s">
        <v>1066</v>
      </c>
      <c r="AT821" s="43" t="s">
        <v>2307</v>
      </c>
      <c r="AU821" s="43" t="s">
        <v>1066</v>
      </c>
      <c r="XEY821" s="27"/>
      <c r="XEZ821" s="27"/>
      <c r="XFA821" s="27"/>
      <c r="XFB821" s="27"/>
      <c r="XFC821" s="27"/>
      <c r="XFD821" s="27"/>
    </row>
    <row r="822" s="42" customFormat="true" ht="14.15" hidden="false" customHeight="true" outlineLevel="0" collapsed="false">
      <c r="A822" s="28" t="s">
        <v>5148</v>
      </c>
      <c r="B822" s="29" t="s">
        <v>936</v>
      </c>
      <c r="C822" s="29" t="s">
        <v>5149</v>
      </c>
      <c r="D822" s="30" t="s">
        <v>75</v>
      </c>
      <c r="E822" s="30" t="s">
        <v>113</v>
      </c>
      <c r="F822" s="32" t="n">
        <v>54</v>
      </c>
      <c r="G822" s="31" t="s">
        <v>215</v>
      </c>
      <c r="H822" s="31" t="n">
        <v>3</v>
      </c>
      <c r="I822" s="31" t="s">
        <v>119</v>
      </c>
      <c r="J822" s="29" t="s">
        <v>3087</v>
      </c>
      <c r="K822" s="29" t="s">
        <v>3088</v>
      </c>
      <c r="L822" s="32" t="n">
        <v>166</v>
      </c>
      <c r="M822" s="33" t="s">
        <v>2977</v>
      </c>
      <c r="N822" s="34" t="n">
        <v>75007</v>
      </c>
      <c r="O822" s="35" t="s">
        <v>55</v>
      </c>
      <c r="P822" s="36" t="s">
        <v>3089</v>
      </c>
      <c r="Q822" s="36" t="n">
        <v>3</v>
      </c>
      <c r="R822" s="32" t="n">
        <v>439</v>
      </c>
      <c r="S822" s="32" t="n">
        <v>1</v>
      </c>
      <c r="T822" s="32"/>
      <c r="U822" s="32"/>
      <c r="V822" s="37"/>
      <c r="W822" s="32"/>
      <c r="X822" s="34"/>
      <c r="Y822" s="34"/>
      <c r="Z822" s="36"/>
      <c r="AA822" s="32" t="s">
        <v>5150</v>
      </c>
      <c r="AB822" s="32" t="s">
        <v>5151</v>
      </c>
      <c r="AC822" s="38" t="str">
        <f aca="false">HYPERLINK("https://biocodex6--c.vf.force.com/0014L00000KFTajQAH", "BEN SOUSSAN EMMANUEL")</f>
        <v>BEN SOUSSAN EMMANUEL</v>
      </c>
      <c r="AD822" s="38" t="str">
        <f aca="false">HYPERLINK("https://annuairesante.ameli.fr/professionnels-de-sante/recherche/fiche-detaillee-B7c1lTA0Nju6.html", "BEN SOUSSAN EMMANUEL")</f>
        <v>BEN SOUSSAN EMMANUEL</v>
      </c>
      <c r="AE822" s="39"/>
      <c r="AF822" s="40"/>
      <c r="AG822" s="41"/>
      <c r="AH822" s="32" t="s">
        <v>179</v>
      </c>
      <c r="AI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XEY822" s="27"/>
      <c r="XEZ822" s="27"/>
      <c r="XFA822" s="27"/>
      <c r="XFB822" s="27"/>
      <c r="XFC822" s="27"/>
      <c r="XFD822" s="27"/>
    </row>
    <row r="823" s="42" customFormat="true" ht="14.15" hidden="false" customHeight="true" outlineLevel="0" collapsed="false">
      <c r="A823" s="28" t="s">
        <v>5152</v>
      </c>
      <c r="B823" s="29" t="s">
        <v>5153</v>
      </c>
      <c r="C823" s="29" t="s">
        <v>5154</v>
      </c>
      <c r="D823" s="30" t="s">
        <v>50</v>
      </c>
      <c r="E823" s="31"/>
      <c r="F823" s="32" t="n">
        <v>34</v>
      </c>
      <c r="G823" s="31"/>
      <c r="H823" s="31" t="n">
        <v>1</v>
      </c>
      <c r="I823" s="31" t="s">
        <v>197</v>
      </c>
      <c r="J823" s="29" t="s">
        <v>4801</v>
      </c>
      <c r="K823" s="29" t="s">
        <v>4802</v>
      </c>
      <c r="L823" s="32" t="n">
        <v>206</v>
      </c>
      <c r="M823" s="33" t="s">
        <v>4230</v>
      </c>
      <c r="N823" s="34" t="n">
        <v>75017</v>
      </c>
      <c r="O823" s="35" t="s">
        <v>55</v>
      </c>
      <c r="P823" s="36" t="s">
        <v>4803</v>
      </c>
      <c r="Q823" s="36" t="n">
        <v>11</v>
      </c>
      <c r="R823" s="32" t="n">
        <v>433</v>
      </c>
      <c r="S823" s="32" t="n">
        <v>1</v>
      </c>
      <c r="T823" s="32"/>
      <c r="U823" s="32"/>
      <c r="V823" s="37"/>
      <c r="W823" s="32"/>
      <c r="X823" s="34"/>
      <c r="Y823" s="34"/>
      <c r="Z823" s="36"/>
      <c r="AA823" s="32" t="s">
        <v>5155</v>
      </c>
      <c r="AB823" s="32"/>
      <c r="AC823" s="38" t="str">
        <f aca="false">HYPERLINK("https://biocodex6--c.vf.force.com/0014L00000KGEUrQAP", "PANAIT CRISTIAN")</f>
        <v>PANAIT CRISTIAN</v>
      </c>
      <c r="AD823" s="38"/>
      <c r="AE823" s="39"/>
      <c r="AF823" s="40"/>
      <c r="AG823" s="41"/>
      <c r="AH823" s="32" t="s">
        <v>179</v>
      </c>
      <c r="AI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XEY823" s="27"/>
      <c r="XEZ823" s="27"/>
      <c r="XFA823" s="27"/>
      <c r="XFB823" s="27"/>
      <c r="XFC823" s="27"/>
      <c r="XFD823" s="27"/>
    </row>
    <row r="824" s="42" customFormat="true" ht="14.15" hidden="false" customHeight="true" outlineLevel="0" collapsed="false">
      <c r="A824" s="28" t="s">
        <v>5156</v>
      </c>
      <c r="B824" s="29" t="s">
        <v>5157</v>
      </c>
      <c r="C824" s="29" t="s">
        <v>5158</v>
      </c>
      <c r="D824" s="30" t="s">
        <v>50</v>
      </c>
      <c r="E824" s="31"/>
      <c r="F824" s="32" t="n">
        <v>83</v>
      </c>
      <c r="G824" s="31" t="s">
        <v>61</v>
      </c>
      <c r="H824" s="31" t="n">
        <v>1</v>
      </c>
      <c r="I824" s="31" t="s">
        <v>119</v>
      </c>
      <c r="J824" s="29"/>
      <c r="K824" s="29" t="s">
        <v>5159</v>
      </c>
      <c r="L824" s="32" t="n">
        <v>20</v>
      </c>
      <c r="M824" s="33" t="s">
        <v>5160</v>
      </c>
      <c r="N824" s="34" t="n">
        <v>75007</v>
      </c>
      <c r="O824" s="35" t="s">
        <v>55</v>
      </c>
      <c r="P824" s="36" t="s">
        <v>5161</v>
      </c>
      <c r="Q824" s="36" t="n">
        <v>1</v>
      </c>
      <c r="R824" s="32" t="n">
        <v>430</v>
      </c>
      <c r="S824" s="32" t="n">
        <v>1</v>
      </c>
      <c r="T824" s="32"/>
      <c r="U824" s="32"/>
      <c r="V824" s="37"/>
      <c r="W824" s="32"/>
      <c r="X824" s="34"/>
      <c r="Y824" s="34"/>
      <c r="Z824" s="36"/>
      <c r="AA824" s="32" t="s">
        <v>5162</v>
      </c>
      <c r="AB824" s="32" t="s">
        <v>5163</v>
      </c>
      <c r="AC824" s="38" t="str">
        <f aca="false">HYPERLINK("https://biocodex6--c.vf.force.com/0014L00000KFez9QAD", "GAMON HUBERT")</f>
        <v>GAMON HUBERT</v>
      </c>
      <c r="AD824" s="38" t="str">
        <f aca="false">HYPERLINK("https://annuairesante.ameli.fr/professionnels-de-sante/recherche/fiche-detaillee-B7c1kTY3NTKx.html", "GAMON HUBERT")</f>
        <v>GAMON HUBERT</v>
      </c>
      <c r="AE824" s="39"/>
      <c r="AF824" s="40"/>
      <c r="AG824" s="41"/>
      <c r="AH824" s="32" t="s">
        <v>179</v>
      </c>
      <c r="AI824" s="32"/>
      <c r="AL824" s="32"/>
      <c r="AM824" s="43" t="s">
        <v>126</v>
      </c>
      <c r="AN824" s="32"/>
      <c r="AO824" s="43" t="s">
        <v>126</v>
      </c>
      <c r="AP824" s="32"/>
      <c r="AQ824" s="43" t="s">
        <v>126</v>
      </c>
      <c r="AR824" s="32"/>
      <c r="AS824" s="43" t="s">
        <v>126</v>
      </c>
      <c r="AT824" s="32"/>
      <c r="AU824" s="32"/>
      <c r="XEY824" s="27"/>
      <c r="XEZ824" s="27"/>
      <c r="XFA824" s="27"/>
      <c r="XFB824" s="27"/>
      <c r="XFC824" s="27"/>
      <c r="XFD824" s="27"/>
    </row>
    <row r="825" s="42" customFormat="true" ht="14.15" hidden="false" customHeight="true" outlineLevel="0" collapsed="false">
      <c r="A825" s="28" t="s">
        <v>5164</v>
      </c>
      <c r="B825" s="29" t="s">
        <v>195</v>
      </c>
      <c r="C825" s="29" t="s">
        <v>5165</v>
      </c>
      <c r="D825" s="30" t="s">
        <v>50</v>
      </c>
      <c r="E825" s="30" t="s">
        <v>172</v>
      </c>
      <c r="F825" s="32" t="n">
        <v>71</v>
      </c>
      <c r="G825" s="31"/>
      <c r="H825" s="31" t="n">
        <v>1</v>
      </c>
      <c r="I825" s="31" t="s">
        <v>77</v>
      </c>
      <c r="J825" s="29" t="s">
        <v>580</v>
      </c>
      <c r="K825" s="29" t="s">
        <v>581</v>
      </c>
      <c r="L825" s="32" t="n">
        <v>63</v>
      </c>
      <c r="M825" s="33" t="s">
        <v>80</v>
      </c>
      <c r="N825" s="34" t="n">
        <v>92200</v>
      </c>
      <c r="O825" s="35" t="s">
        <v>81</v>
      </c>
      <c r="P825" s="36" t="s">
        <v>5166</v>
      </c>
      <c r="Q825" s="36" t="n">
        <v>39</v>
      </c>
      <c r="R825" s="32" t="n">
        <v>430</v>
      </c>
      <c r="S825" s="32" t="n">
        <v>1</v>
      </c>
      <c r="T825" s="32"/>
      <c r="U825" s="32"/>
      <c r="V825" s="37"/>
      <c r="W825" s="32"/>
      <c r="X825" s="34"/>
      <c r="Y825" s="34"/>
      <c r="Z825" s="32"/>
      <c r="AA825" s="32" t="s">
        <v>5167</v>
      </c>
      <c r="AB825" s="32"/>
      <c r="AC825" s="38" t="str">
        <f aca="false">HYPERLINK("https://biocodex6--c.vf.force.com/0014L00000KG1gaQAD", "SIOU PHILIPPE")</f>
        <v>SIOU PHILIPPE</v>
      </c>
      <c r="AD825" s="38"/>
      <c r="AE825" s="39"/>
      <c r="AF825" s="40"/>
      <c r="AG825" s="41"/>
      <c r="AH825" s="32"/>
      <c r="AI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XEY825" s="27"/>
      <c r="XEZ825" s="27"/>
      <c r="XFA825" s="27"/>
      <c r="XFB825" s="27"/>
      <c r="XFC825" s="27"/>
      <c r="XFD825" s="27"/>
    </row>
    <row r="826" s="42" customFormat="true" ht="14.15" hidden="false" customHeight="true" outlineLevel="0" collapsed="false">
      <c r="A826" s="28" t="s">
        <v>5168</v>
      </c>
      <c r="B826" s="29" t="s">
        <v>3447</v>
      </c>
      <c r="C826" s="29" t="s">
        <v>5169</v>
      </c>
      <c r="D826" s="30" t="s">
        <v>50</v>
      </c>
      <c r="E826" s="31"/>
      <c r="F826" s="32" t="n">
        <v>77</v>
      </c>
      <c r="G826" s="31" t="s">
        <v>215</v>
      </c>
      <c r="H826" s="31" t="n">
        <v>1</v>
      </c>
      <c r="I826" s="31" t="s">
        <v>77</v>
      </c>
      <c r="J826" s="29"/>
      <c r="K826" s="29" t="s">
        <v>5170</v>
      </c>
      <c r="L826" s="32" t="n">
        <v>60</v>
      </c>
      <c r="M826" s="33" t="s">
        <v>5171</v>
      </c>
      <c r="N826" s="34" t="n">
        <v>92200</v>
      </c>
      <c r="O826" s="35" t="s">
        <v>81</v>
      </c>
      <c r="P826" s="36" t="s">
        <v>5172</v>
      </c>
      <c r="Q826" s="36" t="n">
        <v>1</v>
      </c>
      <c r="R826" s="32" t="n">
        <v>421</v>
      </c>
      <c r="S826" s="32" t="n">
        <v>1</v>
      </c>
      <c r="T826" s="32"/>
      <c r="U826" s="32"/>
      <c r="V826" s="37"/>
      <c r="W826" s="32"/>
      <c r="X826" s="34"/>
      <c r="Y826" s="34"/>
      <c r="Z826" s="36"/>
      <c r="AA826" s="32" t="s">
        <v>5173</v>
      </c>
      <c r="AB826" s="32" t="s">
        <v>5174</v>
      </c>
      <c r="AC826" s="38" t="str">
        <f aca="false">HYPERLINK("https://biocodex6--c.vf.force.com/0014L00000KG2aaQAD", "TARAVEL GUY")</f>
        <v>TARAVEL GUY</v>
      </c>
      <c r="AD826" s="38" t="str">
        <f aca="false">HYPERLINK("https://annuairesante.ameli.fr/professionnels-de-sante/recherche/fiche-detaillee-CbA1kjE3MTGx.html", "TARAVEL GUY")</f>
        <v>TARAVEL GUY</v>
      </c>
      <c r="AE826" s="39"/>
      <c r="AF826" s="40"/>
      <c r="AG826" s="41"/>
      <c r="AH826" s="32" t="s">
        <v>179</v>
      </c>
      <c r="AI826" s="32"/>
      <c r="AL826" s="43" t="s">
        <v>657</v>
      </c>
      <c r="AM826" s="43" t="s">
        <v>126</v>
      </c>
      <c r="AN826" s="43" t="s">
        <v>657</v>
      </c>
      <c r="AO826" s="43" t="s">
        <v>126</v>
      </c>
      <c r="AP826" s="43" t="s">
        <v>657</v>
      </c>
      <c r="AQ826" s="43" t="s">
        <v>126</v>
      </c>
      <c r="AR826" s="43" t="s">
        <v>657</v>
      </c>
      <c r="AS826" s="43" t="s">
        <v>126</v>
      </c>
      <c r="AT826" s="43" t="s">
        <v>657</v>
      </c>
      <c r="AU826" s="43" t="s">
        <v>126</v>
      </c>
      <c r="XEY826" s="27"/>
      <c r="XEZ826" s="27"/>
      <c r="XFA826" s="27"/>
      <c r="XFB826" s="27"/>
      <c r="XFC826" s="27"/>
      <c r="XFD826" s="27"/>
    </row>
    <row r="827" s="42" customFormat="true" ht="14.15" hidden="false" customHeight="true" outlineLevel="0" collapsed="false">
      <c r="A827" s="28" t="s">
        <v>5175</v>
      </c>
      <c r="B827" s="29" t="s">
        <v>1534</v>
      </c>
      <c r="C827" s="29" t="s">
        <v>5176</v>
      </c>
      <c r="D827" s="30" t="s">
        <v>50</v>
      </c>
      <c r="E827" s="31"/>
      <c r="F827" s="32" t="n">
        <v>75</v>
      </c>
      <c r="G827" s="31" t="s">
        <v>215</v>
      </c>
      <c r="H827" s="31" t="n">
        <v>1</v>
      </c>
      <c r="I827" s="31" t="s">
        <v>119</v>
      </c>
      <c r="J827" s="29"/>
      <c r="K827" s="29" t="s">
        <v>5177</v>
      </c>
      <c r="L827" s="32" t="n">
        <v>9</v>
      </c>
      <c r="M827" s="33" t="s">
        <v>5178</v>
      </c>
      <c r="N827" s="34" t="n">
        <v>75007</v>
      </c>
      <c r="O827" s="35" t="s">
        <v>55</v>
      </c>
      <c r="P827" s="36" t="s">
        <v>5179</v>
      </c>
      <c r="Q827" s="36" t="n">
        <v>1</v>
      </c>
      <c r="R827" s="32" t="n">
        <v>417</v>
      </c>
      <c r="S827" s="32" t="n">
        <v>1</v>
      </c>
      <c r="T827" s="32"/>
      <c r="U827" s="32"/>
      <c r="V827" s="37"/>
      <c r="W827" s="32"/>
      <c r="X827" s="34"/>
      <c r="Y827" s="34"/>
      <c r="Z827" s="36"/>
      <c r="AA827" s="32" t="s">
        <v>5180</v>
      </c>
      <c r="AB827" s="32" t="s">
        <v>5181</v>
      </c>
      <c r="AC827" s="38" t="str">
        <f aca="false">HYPERLINK("https://biocodex6--c.vf.force.com/0014L00000KFh1nQAD", "GRILLET GERARD")</f>
        <v>GRILLET GERARD</v>
      </c>
      <c r="AD827" s="38" t="str">
        <f aca="false">HYPERLINK("https://annuairesante.ameli.fr/professionnels-de-sante/recherche/fiche-detaillee-B7c1kTc2Mzez.html", "GRILLET GERARD")</f>
        <v>GRILLET GERARD</v>
      </c>
      <c r="AE827" s="39"/>
      <c r="AF827" s="40"/>
      <c r="AG827" s="41"/>
      <c r="AH827" s="32" t="s">
        <v>179</v>
      </c>
      <c r="AI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XEY827" s="27"/>
      <c r="XEZ827" s="27"/>
      <c r="XFA827" s="27"/>
      <c r="XFB827" s="27"/>
      <c r="XFC827" s="27"/>
      <c r="XFD827" s="27"/>
    </row>
    <row r="828" s="42" customFormat="true" ht="14.15" hidden="false" customHeight="true" outlineLevel="0" collapsed="false">
      <c r="A828" s="28" t="s">
        <v>5182</v>
      </c>
      <c r="B828" s="29" t="s">
        <v>2987</v>
      </c>
      <c r="C828" s="29" t="s">
        <v>5183</v>
      </c>
      <c r="D828" s="30" t="s">
        <v>50</v>
      </c>
      <c r="E828" s="31"/>
      <c r="F828" s="32" t="n">
        <v>68</v>
      </c>
      <c r="G828" s="31" t="s">
        <v>215</v>
      </c>
      <c r="H828" s="31" t="n">
        <v>1</v>
      </c>
      <c r="I828" s="31" t="s">
        <v>77</v>
      </c>
      <c r="J828" s="29"/>
      <c r="K828" s="29" t="s">
        <v>3584</v>
      </c>
      <c r="L828" s="32" t="n">
        <v>11</v>
      </c>
      <c r="M828" s="33" t="s">
        <v>3585</v>
      </c>
      <c r="N828" s="34" t="n">
        <v>92200</v>
      </c>
      <c r="O828" s="35" t="s">
        <v>81</v>
      </c>
      <c r="P828" s="36" t="s">
        <v>5184</v>
      </c>
      <c r="Q828" s="36" t="n">
        <v>3</v>
      </c>
      <c r="R828" s="32" t="n">
        <v>411</v>
      </c>
      <c r="S828" s="32" t="n">
        <v>1</v>
      </c>
      <c r="T828" s="32"/>
      <c r="U828" s="32"/>
      <c r="V828" s="37"/>
      <c r="W828" s="32"/>
      <c r="X828" s="34"/>
      <c r="Y828" s="34"/>
      <c r="Z828" s="36"/>
      <c r="AA828" s="32" t="s">
        <v>5185</v>
      </c>
      <c r="AB828" s="32" t="s">
        <v>5186</v>
      </c>
      <c r="AC828" s="38" t="str">
        <f aca="false">HYPERLINK("https://biocodex6--c.vf.force.com/0014L00000KFaRnQAL", "DESGRANGES THIERRY")</f>
        <v>DESGRANGES THIERRY</v>
      </c>
      <c r="AD828" s="38" t="str">
        <f aca="false">HYPERLINK("https://annuairesante.ameli.fr/professionnels-de-sante/recherche/fiche-detaillee-CbA1kzUzNjWw.html", "DESGRANGES THIERRY")</f>
        <v>DESGRANGES THIERRY</v>
      </c>
      <c r="AE828" s="39" t="n">
        <v>45322.6041666667</v>
      </c>
      <c r="AF828" s="40"/>
      <c r="AG828" s="41"/>
      <c r="AH828" s="32" t="s">
        <v>179</v>
      </c>
      <c r="AI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XEY828" s="27"/>
      <c r="XEZ828" s="27"/>
      <c r="XFA828" s="27"/>
      <c r="XFB828" s="27"/>
      <c r="XFC828" s="27"/>
      <c r="XFD828" s="27"/>
    </row>
    <row r="829" s="42" customFormat="true" ht="14.15" hidden="false" customHeight="true" outlineLevel="0" collapsed="false">
      <c r="A829" s="28" t="s">
        <v>5187</v>
      </c>
      <c r="B829" s="29" t="s">
        <v>5188</v>
      </c>
      <c r="C829" s="29" t="s">
        <v>5189</v>
      </c>
      <c r="D829" s="30" t="s">
        <v>50</v>
      </c>
      <c r="E829" s="30" t="s">
        <v>2401</v>
      </c>
      <c r="F829" s="32" t="n">
        <v>63</v>
      </c>
      <c r="G829" s="31" t="s">
        <v>215</v>
      </c>
      <c r="H829" s="31" t="n">
        <v>1</v>
      </c>
      <c r="I829" s="31" t="s">
        <v>119</v>
      </c>
      <c r="J829" s="29"/>
      <c r="K829" s="29" t="s">
        <v>5190</v>
      </c>
      <c r="L829" s="32" t="n">
        <v>11</v>
      </c>
      <c r="M829" s="33" t="s">
        <v>5191</v>
      </c>
      <c r="N829" s="34" t="n">
        <v>75007</v>
      </c>
      <c r="O829" s="35" t="s">
        <v>55</v>
      </c>
      <c r="P829" s="36" t="s">
        <v>5192</v>
      </c>
      <c r="Q829" s="36" t="n">
        <v>1</v>
      </c>
      <c r="R829" s="32" t="n">
        <v>411</v>
      </c>
      <c r="S829" s="32" t="n">
        <v>1</v>
      </c>
      <c r="T829" s="32"/>
      <c r="U829" s="32"/>
      <c r="V829" s="37"/>
      <c r="W829" s="32"/>
      <c r="X829" s="34"/>
      <c r="Y829" s="34"/>
      <c r="Z829" s="36"/>
      <c r="AA829" s="32" t="s">
        <v>5193</v>
      </c>
      <c r="AB829" s="32" t="s">
        <v>5194</v>
      </c>
      <c r="AC829" s="38" t="str">
        <f aca="false">HYPERLINK("https://biocodex6--c.vf.force.com/0014L00000KG3NRQA1", "LOAP SUVADDHANA")</f>
        <v>LOAP SUVADDHANA</v>
      </c>
      <c r="AD829" s="38" t="str">
        <f aca="false">HYPERLINK("https://annuairesante.ameli.fr/professionnels-de-sante/recherche/fiche-detaillee-B7c1lDQ4ODu0.html", "LOAP SUVADDHANA")</f>
        <v>LOAP SUVADDHANA</v>
      </c>
      <c r="AE829" s="39"/>
      <c r="AF829" s="40"/>
      <c r="AG829" s="41"/>
      <c r="AH829" s="32" t="s">
        <v>179</v>
      </c>
      <c r="AI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XEY829" s="27"/>
      <c r="XEZ829" s="27"/>
      <c r="XFA829" s="27"/>
      <c r="XFB829" s="27"/>
      <c r="XFC829" s="27"/>
      <c r="XFD829" s="27"/>
    </row>
    <row r="830" s="42" customFormat="true" ht="14.15" hidden="false" customHeight="true" outlineLevel="0" collapsed="false">
      <c r="A830" s="28" t="s">
        <v>5195</v>
      </c>
      <c r="B830" s="29" t="s">
        <v>839</v>
      </c>
      <c r="C830" s="29" t="s">
        <v>5196</v>
      </c>
      <c r="D830" s="30" t="s">
        <v>50</v>
      </c>
      <c r="E830" s="31"/>
      <c r="F830" s="32" t="n">
        <v>65</v>
      </c>
      <c r="G830" s="31"/>
      <c r="H830" s="31" t="n">
        <v>2</v>
      </c>
      <c r="I830" s="31" t="s">
        <v>77</v>
      </c>
      <c r="J830" s="29"/>
      <c r="K830" s="29" t="s">
        <v>5197</v>
      </c>
      <c r="L830" s="32" t="n">
        <v>89</v>
      </c>
      <c r="M830" s="33" t="s">
        <v>806</v>
      </c>
      <c r="N830" s="34" t="n">
        <v>92200</v>
      </c>
      <c r="O830" s="35" t="s">
        <v>81</v>
      </c>
      <c r="P830" s="36" t="s">
        <v>5198</v>
      </c>
      <c r="Q830" s="36" t="n">
        <v>1</v>
      </c>
      <c r="R830" s="32" t="n">
        <v>409</v>
      </c>
      <c r="S830" s="32" t="n">
        <v>1</v>
      </c>
      <c r="T830" s="32"/>
      <c r="U830" s="32"/>
      <c r="V830" s="37"/>
      <c r="W830" s="32"/>
      <c r="X830" s="34"/>
      <c r="Y830" s="34"/>
      <c r="Z830" s="36"/>
      <c r="AA830" s="32" t="s">
        <v>5199</v>
      </c>
      <c r="AB830" s="32"/>
      <c r="AC830" s="38" t="str">
        <f aca="false">HYPERLINK("https://biocodex6--c.vf.force.com/0014L00000KFReNQAX", "BARNICHON GILLES")</f>
        <v>BARNICHON GILLES</v>
      </c>
      <c r="AD830" s="38"/>
      <c r="AE830" s="39"/>
      <c r="AF830" s="40"/>
      <c r="AG830" s="41"/>
      <c r="AH830" s="32" t="s">
        <v>179</v>
      </c>
      <c r="AI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XEY830" s="27"/>
      <c r="XEZ830" s="27"/>
      <c r="XFA830" s="27"/>
      <c r="XFB830" s="27"/>
      <c r="XFC830" s="27"/>
      <c r="XFD830" s="27"/>
    </row>
    <row r="831" s="42" customFormat="true" ht="14.15" hidden="false" customHeight="true" outlineLevel="0" collapsed="false">
      <c r="A831" s="28" t="s">
        <v>5200</v>
      </c>
      <c r="B831" s="29" t="s">
        <v>195</v>
      </c>
      <c r="C831" s="29" t="s">
        <v>5201</v>
      </c>
      <c r="D831" s="30" t="s">
        <v>50</v>
      </c>
      <c r="E831" s="31"/>
      <c r="F831" s="32"/>
      <c r="G831" s="31"/>
      <c r="H831" s="31" t="n">
        <v>1</v>
      </c>
      <c r="I831" s="31" t="s">
        <v>77</v>
      </c>
      <c r="J831" s="29"/>
      <c r="K831" s="29" t="s">
        <v>5202</v>
      </c>
      <c r="L831" s="32" t="n">
        <v>2</v>
      </c>
      <c r="M831" s="33" t="s">
        <v>786</v>
      </c>
      <c r="N831" s="34" t="n">
        <v>92200</v>
      </c>
      <c r="O831" s="35" t="s">
        <v>81</v>
      </c>
      <c r="P831" s="36" t="s">
        <v>5203</v>
      </c>
      <c r="Q831" s="36" t="n">
        <v>1</v>
      </c>
      <c r="R831" s="32" t="n">
        <v>406</v>
      </c>
      <c r="S831" s="32" t="n">
        <v>1</v>
      </c>
      <c r="T831" s="32"/>
      <c r="U831" s="32"/>
      <c r="V831" s="37"/>
      <c r="W831" s="32"/>
      <c r="X831" s="34"/>
      <c r="Y831" s="34"/>
      <c r="Z831" s="36"/>
      <c r="AA831" s="32"/>
      <c r="AB831" s="32"/>
      <c r="AC831" s="38"/>
      <c r="AD831" s="38"/>
      <c r="AE831" s="39"/>
      <c r="AF831" s="40"/>
      <c r="AG831" s="45"/>
      <c r="AH831" s="32" t="s">
        <v>179</v>
      </c>
      <c r="AI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XEY831" s="27"/>
      <c r="XEZ831" s="27"/>
      <c r="XFA831" s="27"/>
      <c r="XFB831" s="27"/>
      <c r="XFC831" s="27"/>
      <c r="XFD831" s="27"/>
    </row>
    <row r="832" s="42" customFormat="true" ht="14.15" hidden="false" customHeight="true" outlineLevel="0" collapsed="false">
      <c r="A832" s="28" t="s">
        <v>5204</v>
      </c>
      <c r="B832" s="29" t="s">
        <v>883</v>
      </c>
      <c r="C832" s="29" t="s">
        <v>5205</v>
      </c>
      <c r="D832" s="30" t="s">
        <v>50</v>
      </c>
      <c r="E832" s="31"/>
      <c r="F832" s="32" t="n">
        <v>64</v>
      </c>
      <c r="G832" s="31"/>
      <c r="H832" s="31" t="n">
        <v>1</v>
      </c>
      <c r="I832" s="31" t="s">
        <v>77</v>
      </c>
      <c r="J832" s="29"/>
      <c r="K832" s="29" t="s">
        <v>2507</v>
      </c>
      <c r="L832" s="32" t="n">
        <v>80</v>
      </c>
      <c r="M832" s="33" t="s">
        <v>379</v>
      </c>
      <c r="N832" s="34" t="n">
        <v>92200</v>
      </c>
      <c r="O832" s="35" t="s">
        <v>81</v>
      </c>
      <c r="P832" s="36" t="s">
        <v>5206</v>
      </c>
      <c r="Q832" s="36" t="n">
        <v>2</v>
      </c>
      <c r="R832" s="32" t="n">
        <v>404</v>
      </c>
      <c r="S832" s="32" t="n">
        <v>1</v>
      </c>
      <c r="T832" s="32"/>
      <c r="U832" s="32"/>
      <c r="V832" s="37"/>
      <c r="W832" s="32"/>
      <c r="X832" s="34"/>
      <c r="Y832" s="34"/>
      <c r="Z832" s="32"/>
      <c r="AA832" s="32" t="s">
        <v>5207</v>
      </c>
      <c r="AB832" s="32"/>
      <c r="AC832" s="38" t="str">
        <f aca="false">HYPERLINK("https://biocodex6--c.vf.force.com/0014L00000KG1RaQAL", "SIBEUD JACQUES")</f>
        <v>SIBEUD JACQUES</v>
      </c>
      <c r="AD832" s="38"/>
      <c r="AE832" s="39"/>
      <c r="AF832" s="40"/>
      <c r="AG832" s="41"/>
      <c r="AH832" s="32"/>
      <c r="AI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XEY832" s="27"/>
      <c r="XEZ832" s="27"/>
      <c r="XFA832" s="27"/>
      <c r="XFB832" s="27"/>
      <c r="XFC832" s="27"/>
      <c r="XFD832" s="27"/>
    </row>
    <row r="833" s="42" customFormat="true" ht="14.15" hidden="false" customHeight="true" outlineLevel="0" collapsed="false">
      <c r="A833" s="28" t="s">
        <v>5208</v>
      </c>
      <c r="B833" s="29" t="s">
        <v>2880</v>
      </c>
      <c r="C833" s="29" t="s">
        <v>5209</v>
      </c>
      <c r="D833" s="30" t="s">
        <v>50</v>
      </c>
      <c r="E833" s="30" t="s">
        <v>112</v>
      </c>
      <c r="F833" s="32" t="n">
        <v>67</v>
      </c>
      <c r="G833" s="31" t="s">
        <v>98</v>
      </c>
      <c r="H833" s="31" t="n">
        <v>1</v>
      </c>
      <c r="I833" s="31" t="s">
        <v>435</v>
      </c>
      <c r="J833" s="29"/>
      <c r="K833" s="29" t="s">
        <v>2336</v>
      </c>
      <c r="L833" s="32" t="n">
        <v>41</v>
      </c>
      <c r="M833" s="33" t="s">
        <v>2337</v>
      </c>
      <c r="N833" s="34" t="n">
        <v>75016</v>
      </c>
      <c r="O833" s="35" t="s">
        <v>55</v>
      </c>
      <c r="P833" s="50" t="s">
        <v>5210</v>
      </c>
      <c r="Q833" s="36" t="n">
        <v>2</v>
      </c>
      <c r="R833" s="32" t="n">
        <v>403</v>
      </c>
      <c r="S833" s="32" t="n">
        <v>1</v>
      </c>
      <c r="T833" s="32"/>
      <c r="U833" s="32" t="n">
        <v>3</v>
      </c>
      <c r="V833" s="37" t="n">
        <v>3</v>
      </c>
      <c r="W833" s="32" t="n">
        <v>3</v>
      </c>
      <c r="X833" s="34" t="n">
        <v>1</v>
      </c>
      <c r="Y833" s="34" t="n">
        <v>2</v>
      </c>
      <c r="Z833" s="32"/>
      <c r="AA833" s="32" t="s">
        <v>5211</v>
      </c>
      <c r="AB833" s="32" t="s">
        <v>5212</v>
      </c>
      <c r="AC833" s="38" t="str">
        <f aca="false">HYPERLINK("https://biocodex6--c.vf.force.com/0014L00000KFRvjQAH", "BATON BRUNO")</f>
        <v>BATON BRUNO</v>
      </c>
      <c r="AD833" s="38" t="str">
        <f aca="false">HYPERLINK("https://annuairesante.ameli.fr/professionnels-de-sante/recherche/fiche-detaillee-B7c1lzEyMDG3.html", "BATON BRUNO")</f>
        <v>BATON BRUNO</v>
      </c>
      <c r="AE833" s="39" t="n">
        <v>45433.5625</v>
      </c>
      <c r="AF833" s="40" t="s">
        <v>5213</v>
      </c>
      <c r="AG833" s="41" t="s">
        <v>69</v>
      </c>
      <c r="AH833" s="32" t="s">
        <v>70</v>
      </c>
      <c r="AI833" s="32"/>
      <c r="AL833" s="32"/>
      <c r="AM833" s="43" t="s">
        <v>661</v>
      </c>
      <c r="AN833" s="32"/>
      <c r="AO833" s="43" t="s">
        <v>661</v>
      </c>
      <c r="AP833" s="32"/>
      <c r="AQ833" s="43" t="s">
        <v>661</v>
      </c>
      <c r="AR833" s="32"/>
      <c r="AS833" s="43" t="s">
        <v>661</v>
      </c>
      <c r="AT833" s="32"/>
      <c r="AU833" s="43" t="s">
        <v>661</v>
      </c>
      <c r="XEY833" s="27"/>
      <c r="XEZ833" s="27"/>
      <c r="XFA833" s="27"/>
      <c r="XFB833" s="27"/>
      <c r="XFC833" s="27"/>
      <c r="XFD833" s="27"/>
    </row>
    <row r="834" s="42" customFormat="true" ht="14.15" hidden="false" customHeight="true" outlineLevel="0" collapsed="false">
      <c r="A834" s="28" t="s">
        <v>5214</v>
      </c>
      <c r="B834" s="29" t="s">
        <v>1928</v>
      </c>
      <c r="C834" s="29" t="s">
        <v>5215</v>
      </c>
      <c r="D834" s="30" t="s">
        <v>50</v>
      </c>
      <c r="E834" s="31"/>
      <c r="F834" s="32" t="n">
        <v>0</v>
      </c>
      <c r="G834" s="31"/>
      <c r="H834" s="31" t="n">
        <v>1</v>
      </c>
      <c r="I834" s="31" t="s">
        <v>51</v>
      </c>
      <c r="J834" s="29" t="s">
        <v>850</v>
      </c>
      <c r="K834" s="29" t="s">
        <v>851</v>
      </c>
      <c r="L834" s="32" t="n">
        <v>178</v>
      </c>
      <c r="M834" s="33" t="s">
        <v>852</v>
      </c>
      <c r="N834" s="34" t="n">
        <v>75015</v>
      </c>
      <c r="O834" s="35" t="s">
        <v>55</v>
      </c>
      <c r="P834" s="36" t="s">
        <v>853</v>
      </c>
      <c r="Q834" s="36" t="n">
        <v>24</v>
      </c>
      <c r="R834" s="32" t="n">
        <v>400</v>
      </c>
      <c r="S834" s="32" t="n">
        <v>1</v>
      </c>
      <c r="T834" s="32"/>
      <c r="U834" s="32"/>
      <c r="V834" s="37"/>
      <c r="W834" s="32"/>
      <c r="X834" s="34"/>
      <c r="Y834" s="34"/>
      <c r="Z834" s="32"/>
      <c r="AA834" s="32" t="s">
        <v>5216</v>
      </c>
      <c r="AB834" s="32"/>
      <c r="AC834" s="38" t="str">
        <f aca="false">HYPERLINK("https://biocodex6--c.vf.force.com/0014L00000KGP0aQAH", "RENAULT MATHILDE")</f>
        <v>RENAULT MATHILDE</v>
      </c>
      <c r="AD834" s="38"/>
      <c r="AE834" s="39" t="n">
        <v>45240.6458333333</v>
      </c>
      <c r="AF834" s="40"/>
      <c r="AG834" s="41"/>
      <c r="AH834" s="32"/>
      <c r="AI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XEY834" s="27"/>
      <c r="XEZ834" s="27"/>
      <c r="XFA834" s="27"/>
      <c r="XFB834" s="27"/>
      <c r="XFC834" s="27"/>
      <c r="XFD834" s="27"/>
    </row>
    <row r="835" s="42" customFormat="true" ht="14.15" hidden="false" customHeight="true" outlineLevel="0" collapsed="false">
      <c r="A835" s="28" t="s">
        <v>5217</v>
      </c>
      <c r="B835" s="29" t="s">
        <v>160</v>
      </c>
      <c r="C835" s="29" t="s">
        <v>5218</v>
      </c>
      <c r="D835" s="30" t="s">
        <v>50</v>
      </c>
      <c r="E835" s="31"/>
      <c r="F835" s="32" t="n">
        <v>0</v>
      </c>
      <c r="G835" s="31" t="s">
        <v>98</v>
      </c>
      <c r="H835" s="31" t="n">
        <v>1</v>
      </c>
      <c r="I835" s="31" t="s">
        <v>387</v>
      </c>
      <c r="J835" s="29"/>
      <c r="K835" s="29" t="s">
        <v>1017</v>
      </c>
      <c r="L835" s="32" t="n">
        <v>21</v>
      </c>
      <c r="M835" s="33" t="s">
        <v>1018</v>
      </c>
      <c r="N835" s="34" t="n">
        <v>75016</v>
      </c>
      <c r="O835" s="35" t="s">
        <v>55</v>
      </c>
      <c r="P835" s="36" t="s">
        <v>1019</v>
      </c>
      <c r="Q835" s="36" t="n">
        <v>3</v>
      </c>
      <c r="R835" s="32" t="n">
        <v>400</v>
      </c>
      <c r="S835" s="32" t="n">
        <v>1</v>
      </c>
      <c r="T835" s="32"/>
      <c r="U835" s="32"/>
      <c r="V835" s="37"/>
      <c r="W835" s="32"/>
      <c r="X835" s="34"/>
      <c r="Y835" s="34"/>
      <c r="Z835" s="36"/>
      <c r="AA835" s="32" t="s">
        <v>5219</v>
      </c>
      <c r="AB835" s="32" t="s">
        <v>5220</v>
      </c>
      <c r="AC835" s="38" t="str">
        <f aca="false">HYPERLINK("https://biocodex6--c.vf.force.com/0014L00000bPPatQAG", "PIOCH CHAGUE CAMILLE")</f>
        <v>PIOCH CHAGUE CAMILLE</v>
      </c>
      <c r="AD835" s="38" t="str">
        <f aca="false">HYPERLINK("https://annuairesante.ameli.fr/professionnels-de-sante/recherche/fiche-detaillee-B7c1lTE5NjKy.html", "PIOCH CHAGUE CAMILLE")</f>
        <v>PIOCH CHAGUE CAMILLE</v>
      </c>
      <c r="AE835" s="39"/>
      <c r="AF835" s="40"/>
      <c r="AG835" s="41"/>
      <c r="AH835" s="32" t="s">
        <v>179</v>
      </c>
      <c r="AI835" s="32"/>
      <c r="AL835" s="43" t="s">
        <v>85</v>
      </c>
      <c r="AM835" s="43" t="s">
        <v>534</v>
      </c>
      <c r="AN835" s="43" t="s">
        <v>263</v>
      </c>
      <c r="AO835" s="43" t="s">
        <v>262</v>
      </c>
      <c r="AP835" s="43" t="s">
        <v>85</v>
      </c>
      <c r="AQ835" s="43" t="s">
        <v>534</v>
      </c>
      <c r="AR835" s="43" t="s">
        <v>263</v>
      </c>
      <c r="AS835" s="43" t="s">
        <v>262</v>
      </c>
      <c r="AT835" s="32"/>
      <c r="AU835" s="32"/>
      <c r="XEY835" s="27"/>
      <c r="XEZ835" s="27"/>
      <c r="XFA835" s="27"/>
      <c r="XFB835" s="27"/>
      <c r="XFC835" s="27"/>
      <c r="XFD835" s="27"/>
    </row>
    <row r="836" s="42" customFormat="true" ht="14.15" hidden="false" customHeight="true" outlineLevel="0" collapsed="false">
      <c r="A836" s="28" t="s">
        <v>5221</v>
      </c>
      <c r="B836" s="29" t="s">
        <v>1438</v>
      </c>
      <c r="C836" s="29" t="s">
        <v>5222</v>
      </c>
      <c r="D836" s="30" t="s">
        <v>50</v>
      </c>
      <c r="E836" s="31"/>
      <c r="F836" s="32" t="n">
        <v>0</v>
      </c>
      <c r="G836" s="31"/>
      <c r="H836" s="31" t="n">
        <v>1</v>
      </c>
      <c r="I836" s="31" t="s">
        <v>387</v>
      </c>
      <c r="J836" s="29"/>
      <c r="K836" s="29" t="s">
        <v>5223</v>
      </c>
      <c r="L836" s="32" t="n">
        <v>3</v>
      </c>
      <c r="M836" s="33" t="s">
        <v>5224</v>
      </c>
      <c r="N836" s="34" t="n">
        <v>75016</v>
      </c>
      <c r="O836" s="35" t="s">
        <v>55</v>
      </c>
      <c r="P836" s="36"/>
      <c r="Q836" s="36" t="n">
        <v>1</v>
      </c>
      <c r="R836" s="32" t="n">
        <v>400</v>
      </c>
      <c r="S836" s="32" t="n">
        <v>1</v>
      </c>
      <c r="T836" s="32"/>
      <c r="U836" s="32"/>
      <c r="V836" s="37"/>
      <c r="W836" s="32"/>
      <c r="X836" s="34"/>
      <c r="Y836" s="34"/>
      <c r="Z836" s="36"/>
      <c r="AA836" s="32" t="s">
        <v>5225</v>
      </c>
      <c r="AB836" s="32"/>
      <c r="AC836" s="38" t="str">
        <f aca="false">HYPERLINK("https://biocodex6--c.vf.force.com/0014L00000KGOfYQAX", "PICAUD JULIE")</f>
        <v>PICAUD JULIE</v>
      </c>
      <c r="AD836" s="38"/>
      <c r="AE836" s="39"/>
      <c r="AF836" s="40"/>
      <c r="AG836" s="41"/>
      <c r="AH836" s="32" t="s">
        <v>179</v>
      </c>
      <c r="AI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XEY836" s="27"/>
      <c r="XEZ836" s="27"/>
      <c r="XFA836" s="27"/>
      <c r="XFB836" s="27"/>
      <c r="XFC836" s="27"/>
      <c r="XFD836" s="27"/>
    </row>
    <row r="837" s="42" customFormat="true" ht="14.15" hidden="false" customHeight="true" outlineLevel="0" collapsed="false">
      <c r="A837" s="28" t="s">
        <v>5226</v>
      </c>
      <c r="B837" s="29" t="s">
        <v>5227</v>
      </c>
      <c r="C837" s="29" t="s">
        <v>5228</v>
      </c>
      <c r="D837" s="30" t="s">
        <v>50</v>
      </c>
      <c r="E837" s="31"/>
      <c r="F837" s="32" t="n">
        <v>0</v>
      </c>
      <c r="G837" s="31"/>
      <c r="H837" s="31" t="n">
        <v>1</v>
      </c>
      <c r="I837" s="31" t="s">
        <v>572</v>
      </c>
      <c r="J837" s="29" t="s">
        <v>678</v>
      </c>
      <c r="K837" s="29" t="s">
        <v>679</v>
      </c>
      <c r="L837" s="32" t="n">
        <v>6</v>
      </c>
      <c r="M837" s="33" t="s">
        <v>680</v>
      </c>
      <c r="N837" s="34" t="n">
        <v>75008</v>
      </c>
      <c r="O837" s="35" t="s">
        <v>55</v>
      </c>
      <c r="P837" s="36" t="s">
        <v>870</v>
      </c>
      <c r="Q837" s="36" t="n">
        <v>43</v>
      </c>
      <c r="R837" s="32" t="n">
        <v>400</v>
      </c>
      <c r="S837" s="32" t="n">
        <v>1</v>
      </c>
      <c r="T837" s="32"/>
      <c r="U837" s="32"/>
      <c r="V837" s="37"/>
      <c r="W837" s="32"/>
      <c r="X837" s="34"/>
      <c r="Y837" s="34"/>
      <c r="Z837" s="32"/>
      <c r="AA837" s="32" t="s">
        <v>5229</v>
      </c>
      <c r="AB837" s="32"/>
      <c r="AC837" s="38" t="str">
        <f aca="false">HYPERLINK("https://biocodex6--c.vf.force.com/001Py000001dSGwIAM", "AFFO LOUIS")</f>
        <v>AFFO LOUIS</v>
      </c>
      <c r="AD837" s="38"/>
      <c r="AE837" s="39" t="n">
        <v>45461.7083333333</v>
      </c>
      <c r="AF837" s="40"/>
      <c r="AG837" s="41"/>
      <c r="AH837" s="32"/>
      <c r="AI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XEY837" s="27"/>
      <c r="XEZ837" s="27"/>
      <c r="XFA837" s="27"/>
      <c r="XFB837" s="27"/>
      <c r="XFC837" s="27"/>
      <c r="XFD837" s="27"/>
    </row>
    <row r="838" s="42" customFormat="true" ht="14.15" hidden="false" customHeight="true" outlineLevel="0" collapsed="false">
      <c r="A838" s="28" t="s">
        <v>5230</v>
      </c>
      <c r="B838" s="29" t="s">
        <v>5231</v>
      </c>
      <c r="C838" s="29" t="s">
        <v>5232</v>
      </c>
      <c r="D838" s="30" t="s">
        <v>50</v>
      </c>
      <c r="E838" s="31"/>
      <c r="F838" s="32" t="n">
        <v>0</v>
      </c>
      <c r="G838" s="31"/>
      <c r="H838" s="31" t="n">
        <v>1</v>
      </c>
      <c r="I838" s="31" t="s">
        <v>99</v>
      </c>
      <c r="J838" s="29"/>
      <c r="K838" s="29" t="s">
        <v>5233</v>
      </c>
      <c r="L838" s="32" t="n">
        <v>29</v>
      </c>
      <c r="M838" s="33" t="s">
        <v>2143</v>
      </c>
      <c r="N838" s="34" t="n">
        <v>75015</v>
      </c>
      <c r="O838" s="35" t="s">
        <v>55</v>
      </c>
      <c r="P838" s="36" t="s">
        <v>5234</v>
      </c>
      <c r="Q838" s="36" t="n">
        <v>1</v>
      </c>
      <c r="R838" s="32" t="n">
        <v>400</v>
      </c>
      <c r="S838" s="32" t="n">
        <v>1</v>
      </c>
      <c r="T838" s="32"/>
      <c r="U838" s="32"/>
      <c r="V838" s="37"/>
      <c r="W838" s="32"/>
      <c r="X838" s="34"/>
      <c r="Y838" s="34"/>
      <c r="Z838" s="36"/>
      <c r="AA838" s="32" t="s">
        <v>5235</v>
      </c>
      <c r="AB838" s="32"/>
      <c r="AC838" s="38" t="str">
        <f aca="false">HYPERLINK("https://biocodex6--c.vf.force.com/0014L00000KGPF0QAP", "RAHARISONINA TIANA")</f>
        <v>RAHARISONINA TIANA</v>
      </c>
      <c r="AD838" s="38"/>
      <c r="AE838" s="39"/>
      <c r="AF838" s="40"/>
      <c r="AG838" s="41"/>
      <c r="AH838" s="32" t="s">
        <v>179</v>
      </c>
      <c r="AI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XEY838" s="27"/>
      <c r="XEZ838" s="27"/>
      <c r="XFA838" s="27"/>
      <c r="XFB838" s="27"/>
      <c r="XFC838" s="27"/>
      <c r="XFD838" s="27"/>
    </row>
    <row r="839" s="42" customFormat="true" ht="14.15" hidden="false" customHeight="true" outlineLevel="0" collapsed="false">
      <c r="A839" s="28" t="s">
        <v>5236</v>
      </c>
      <c r="B839" s="29" t="s">
        <v>2827</v>
      </c>
      <c r="C839" s="29" t="s">
        <v>5237</v>
      </c>
      <c r="D839" s="30" t="s">
        <v>75</v>
      </c>
      <c r="E839" s="31"/>
      <c r="F839" s="32" t="n">
        <v>0</v>
      </c>
      <c r="G839" s="31"/>
      <c r="H839" s="31" t="n">
        <v>1</v>
      </c>
      <c r="I839" s="31" t="s">
        <v>99</v>
      </c>
      <c r="J839" s="29" t="s">
        <v>595</v>
      </c>
      <c r="K839" s="29" t="s">
        <v>596</v>
      </c>
      <c r="L839" s="32" t="n">
        <v>20</v>
      </c>
      <c r="M839" s="33" t="s">
        <v>597</v>
      </c>
      <c r="N839" s="34" t="n">
        <v>75015</v>
      </c>
      <c r="O839" s="35" t="s">
        <v>55</v>
      </c>
      <c r="P839" s="36" t="s">
        <v>673</v>
      </c>
      <c r="Q839" s="36" t="n">
        <v>90</v>
      </c>
      <c r="R839" s="32" t="n">
        <v>400</v>
      </c>
      <c r="S839" s="32" t="n">
        <v>1</v>
      </c>
      <c r="T839" s="32"/>
      <c r="U839" s="32"/>
      <c r="V839" s="37"/>
      <c r="W839" s="32"/>
      <c r="X839" s="34"/>
      <c r="Y839" s="34"/>
      <c r="Z839" s="36"/>
      <c r="AA839" s="32" t="s">
        <v>5238</v>
      </c>
      <c r="AB839" s="32"/>
      <c r="AC839" s="38" t="str">
        <f aca="false">HYPERLINK("https://biocodex6--c.vf.force.com/0014L00000hu1KVQAY", "TENORIO GONZALEZ ELENA")</f>
        <v>TENORIO GONZALEZ ELENA</v>
      </c>
      <c r="AD839" s="38"/>
      <c r="AE839" s="39"/>
      <c r="AF839" s="40"/>
      <c r="AG839" s="41"/>
      <c r="AH839" s="32" t="s">
        <v>179</v>
      </c>
      <c r="AI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XEY839" s="27"/>
      <c r="XEZ839" s="27"/>
      <c r="XFA839" s="27"/>
      <c r="XFB839" s="27"/>
      <c r="XFC839" s="27"/>
      <c r="XFD839" s="27"/>
    </row>
    <row r="840" s="42" customFormat="true" ht="14.15" hidden="false" customHeight="true" outlineLevel="0" collapsed="false">
      <c r="A840" s="28" t="s">
        <v>5239</v>
      </c>
      <c r="B840" s="29" t="s">
        <v>221</v>
      </c>
      <c r="C840" s="29" t="s">
        <v>5240</v>
      </c>
      <c r="D840" s="30" t="s">
        <v>50</v>
      </c>
      <c r="E840" s="31"/>
      <c r="F840" s="32" t="n">
        <v>0</v>
      </c>
      <c r="G840" s="31"/>
      <c r="H840" s="31" t="n">
        <v>1</v>
      </c>
      <c r="I840" s="31" t="s">
        <v>119</v>
      </c>
      <c r="J840" s="29"/>
      <c r="K840" s="29" t="s">
        <v>3805</v>
      </c>
      <c r="L840" s="32" t="n">
        <v>14</v>
      </c>
      <c r="M840" s="33" t="s">
        <v>3806</v>
      </c>
      <c r="N840" s="34" t="n">
        <v>75007</v>
      </c>
      <c r="O840" s="35" t="s">
        <v>55</v>
      </c>
      <c r="P840" s="36" t="s">
        <v>3807</v>
      </c>
      <c r="Q840" s="36" t="n">
        <v>7</v>
      </c>
      <c r="R840" s="32" t="n">
        <v>400</v>
      </c>
      <c r="S840" s="32" t="n">
        <v>1</v>
      </c>
      <c r="T840" s="32"/>
      <c r="U840" s="32"/>
      <c r="V840" s="37"/>
      <c r="W840" s="32"/>
      <c r="X840" s="34"/>
      <c r="Y840" s="34"/>
      <c r="Z840" s="36"/>
      <c r="AA840" s="32" t="s">
        <v>5241</v>
      </c>
      <c r="AB840" s="32"/>
      <c r="AC840" s="38" t="str">
        <f aca="false">HYPERLINK("https://biocodex6--c.vf.force.com/0014L00000n12M0QAI", "BERTHAIL BENOIT")</f>
        <v>BERTHAIL BENOIT</v>
      </c>
      <c r="AD840" s="38"/>
      <c r="AE840" s="39"/>
      <c r="AF840" s="40"/>
      <c r="AG840" s="41"/>
      <c r="AH840" s="32" t="s">
        <v>179</v>
      </c>
      <c r="AI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XEY840" s="27"/>
      <c r="XEZ840" s="27"/>
      <c r="XFA840" s="27"/>
      <c r="XFB840" s="27"/>
      <c r="XFC840" s="27"/>
      <c r="XFD840" s="27"/>
    </row>
    <row r="841" s="42" customFormat="true" ht="14.15" hidden="false" customHeight="true" outlineLevel="0" collapsed="false">
      <c r="A841" s="28" t="s">
        <v>5242</v>
      </c>
      <c r="B841" s="29" t="s">
        <v>5243</v>
      </c>
      <c r="C841" s="29" t="s">
        <v>5244</v>
      </c>
      <c r="D841" s="30" t="s">
        <v>112</v>
      </c>
      <c r="E841" s="31"/>
      <c r="F841" s="32" t="n">
        <v>0</v>
      </c>
      <c r="G841" s="31"/>
      <c r="H841" s="31" t="n">
        <v>1</v>
      </c>
      <c r="I841" s="31" t="s">
        <v>51</v>
      </c>
      <c r="J841" s="29" t="s">
        <v>52</v>
      </c>
      <c r="K841" s="29" t="s">
        <v>53</v>
      </c>
      <c r="L841" s="32" t="n">
        <v>149</v>
      </c>
      <c r="M841" s="33" t="s">
        <v>54</v>
      </c>
      <c r="N841" s="34" t="n">
        <v>75015</v>
      </c>
      <c r="O841" s="35" t="s">
        <v>55</v>
      </c>
      <c r="P841" s="36" t="s">
        <v>1821</v>
      </c>
      <c r="Q841" s="36" t="n">
        <v>236</v>
      </c>
      <c r="R841" s="32" t="n">
        <v>400</v>
      </c>
      <c r="S841" s="32" t="n">
        <v>1</v>
      </c>
      <c r="T841" s="32"/>
      <c r="U841" s="32"/>
      <c r="V841" s="37"/>
      <c r="W841" s="32"/>
      <c r="X841" s="34"/>
      <c r="Y841" s="34"/>
      <c r="Z841" s="36"/>
      <c r="AA841" s="32" t="s">
        <v>5245</v>
      </c>
      <c r="AB841" s="32"/>
      <c r="AC841" s="38" t="str">
        <f aca="false">HYPERLINK("https://biocodex6--c.vf.force.com/0014L00000KGPnAQAX", "FOURIKI ATHINA")</f>
        <v>FOURIKI ATHINA</v>
      </c>
      <c r="AD841" s="38"/>
      <c r="AE841" s="39"/>
      <c r="AF841" s="40"/>
      <c r="AG841" s="41"/>
      <c r="AH841" s="32" t="s">
        <v>179</v>
      </c>
      <c r="AI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XEY841" s="27"/>
      <c r="XEZ841" s="27"/>
      <c r="XFA841" s="27"/>
      <c r="XFB841" s="27"/>
      <c r="XFC841" s="27"/>
      <c r="XFD841" s="27"/>
    </row>
    <row r="842" s="42" customFormat="true" ht="14.15" hidden="false" customHeight="true" outlineLevel="0" collapsed="false">
      <c r="A842" s="28" t="s">
        <v>5246</v>
      </c>
      <c r="B842" s="29" t="s">
        <v>5247</v>
      </c>
      <c r="C842" s="29" t="s">
        <v>5248</v>
      </c>
      <c r="D842" s="30" t="s">
        <v>112</v>
      </c>
      <c r="E842" s="31"/>
      <c r="F842" s="32" t="n">
        <v>0</v>
      </c>
      <c r="G842" s="31"/>
      <c r="H842" s="31" t="n">
        <v>1</v>
      </c>
      <c r="I842" s="31" t="s">
        <v>51</v>
      </c>
      <c r="J842" s="29" t="s">
        <v>52</v>
      </c>
      <c r="K842" s="29" t="s">
        <v>53</v>
      </c>
      <c r="L842" s="32" t="n">
        <v>149</v>
      </c>
      <c r="M842" s="33" t="s">
        <v>54</v>
      </c>
      <c r="N842" s="34" t="n">
        <v>75015</v>
      </c>
      <c r="O842" s="35" t="s">
        <v>55</v>
      </c>
      <c r="P842" s="36" t="s">
        <v>1821</v>
      </c>
      <c r="Q842" s="36" t="n">
        <v>236</v>
      </c>
      <c r="R842" s="32" t="n">
        <v>400</v>
      </c>
      <c r="S842" s="32" t="n">
        <v>1</v>
      </c>
      <c r="T842" s="32"/>
      <c r="U842" s="32"/>
      <c r="V842" s="37"/>
      <c r="W842" s="32"/>
      <c r="X842" s="34"/>
      <c r="Y842" s="34"/>
      <c r="Z842" s="36"/>
      <c r="AA842" s="32" t="s">
        <v>5249</v>
      </c>
      <c r="AB842" s="32"/>
      <c r="AC842" s="38" t="str">
        <f aca="false">HYPERLINK("https://biocodex6--c.vf.force.com/0014L00000VMl0kQAD", "JOURET MAURINE")</f>
        <v>JOURET MAURINE</v>
      </c>
      <c r="AD842" s="38"/>
      <c r="AE842" s="39"/>
      <c r="AF842" s="40"/>
      <c r="AG842" s="41"/>
      <c r="AH842" s="32" t="s">
        <v>179</v>
      </c>
      <c r="AI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XEY842" s="27"/>
      <c r="XEZ842" s="27"/>
      <c r="XFA842" s="27"/>
      <c r="XFB842" s="27"/>
      <c r="XFC842" s="27"/>
      <c r="XFD842" s="27"/>
    </row>
    <row r="843" s="42" customFormat="true" ht="14.15" hidden="false" customHeight="true" outlineLevel="0" collapsed="false">
      <c r="A843" s="28" t="s">
        <v>5250</v>
      </c>
      <c r="B843" s="29" t="s">
        <v>3248</v>
      </c>
      <c r="C843" s="29" t="s">
        <v>5251</v>
      </c>
      <c r="D843" s="30" t="s">
        <v>50</v>
      </c>
      <c r="E843" s="31"/>
      <c r="F843" s="32" t="n">
        <v>0</v>
      </c>
      <c r="G843" s="31"/>
      <c r="H843" s="31" t="n">
        <v>1</v>
      </c>
      <c r="I843" s="31" t="s">
        <v>435</v>
      </c>
      <c r="J843" s="29"/>
      <c r="K843" s="29" t="s">
        <v>5252</v>
      </c>
      <c r="L843" s="32" t="n">
        <v>49</v>
      </c>
      <c r="M843" s="33" t="s">
        <v>5253</v>
      </c>
      <c r="N843" s="34" t="n">
        <v>75016</v>
      </c>
      <c r="O843" s="35" t="s">
        <v>55</v>
      </c>
      <c r="P843" s="36" t="s">
        <v>5254</v>
      </c>
      <c r="Q843" s="36" t="n">
        <v>1</v>
      </c>
      <c r="R843" s="32" t="n">
        <v>400</v>
      </c>
      <c r="S843" s="32" t="n">
        <v>1</v>
      </c>
      <c r="T843" s="32"/>
      <c r="U843" s="32"/>
      <c r="V843" s="37"/>
      <c r="W843" s="32"/>
      <c r="X843" s="34"/>
      <c r="Y843" s="34"/>
      <c r="Z843" s="32"/>
      <c r="AA843" s="32" t="s">
        <v>5255</v>
      </c>
      <c r="AB843" s="32"/>
      <c r="AC843" s="38" t="str">
        <f aca="false">HYPERLINK("https://biocodex6--c.vf.force.com/0014L00000KGPRyQAP", "TIETART FROGE MARIE PIERRE")</f>
        <v>TIETART FROGE MARIE PIERRE</v>
      </c>
      <c r="AD843" s="38"/>
      <c r="AE843" s="39"/>
      <c r="AF843" s="40"/>
      <c r="AG843" s="41"/>
      <c r="AH843" s="32"/>
      <c r="AI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XEY843" s="27"/>
      <c r="XEZ843" s="27"/>
      <c r="XFA843" s="27"/>
      <c r="XFB843" s="27"/>
      <c r="XFC843" s="27"/>
      <c r="XFD843" s="27"/>
    </row>
    <row r="844" s="42" customFormat="true" ht="14.15" hidden="false" customHeight="true" outlineLevel="0" collapsed="false">
      <c r="A844" s="28" t="s">
        <v>5256</v>
      </c>
      <c r="B844" s="29" t="s">
        <v>160</v>
      </c>
      <c r="C844" s="29" t="s">
        <v>5257</v>
      </c>
      <c r="D844" s="30" t="s">
        <v>50</v>
      </c>
      <c r="E844" s="31"/>
      <c r="F844" s="32"/>
      <c r="G844" s="31"/>
      <c r="H844" s="31" t="n">
        <v>2</v>
      </c>
      <c r="I844" s="31" t="s">
        <v>197</v>
      </c>
      <c r="J844" s="29" t="s">
        <v>2561</v>
      </c>
      <c r="K844" s="29" t="s">
        <v>2562</v>
      </c>
      <c r="L844" s="32" t="n">
        <v>6</v>
      </c>
      <c r="M844" s="33" t="s">
        <v>2563</v>
      </c>
      <c r="N844" s="34" t="n">
        <v>75017</v>
      </c>
      <c r="O844" s="35" t="s">
        <v>55</v>
      </c>
      <c r="P844" s="36" t="s">
        <v>2564</v>
      </c>
      <c r="Q844" s="36" t="n">
        <v>6</v>
      </c>
      <c r="R844" s="32" t="n">
        <v>400</v>
      </c>
      <c r="S844" s="32" t="n">
        <v>1</v>
      </c>
      <c r="T844" s="32"/>
      <c r="U844" s="32"/>
      <c r="V844" s="37"/>
      <c r="W844" s="32"/>
      <c r="X844" s="34"/>
      <c r="Y844" s="34"/>
      <c r="Z844" s="32"/>
      <c r="AA844" s="32" t="s">
        <v>5258</v>
      </c>
      <c r="AB844" s="32"/>
      <c r="AC844" s="38" t="str">
        <f aca="false">HYPERLINK("https://biocodex6--c.vf.force.com/0014L00000n17OkQAI", "PERRIGNON LUSCAN CAMILLE")</f>
        <v>PERRIGNON LUSCAN CAMILLE</v>
      </c>
      <c r="AD844" s="38"/>
      <c r="AE844" s="39"/>
      <c r="AF844" s="40"/>
      <c r="AG844" s="41"/>
      <c r="AH844" s="32"/>
      <c r="AI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XEY844" s="27"/>
      <c r="XEZ844" s="27"/>
      <c r="XFA844" s="27"/>
      <c r="XFB844" s="27"/>
      <c r="XFC844" s="27"/>
      <c r="XFD844" s="27"/>
    </row>
    <row r="845" s="42" customFormat="true" ht="14.15" hidden="false" customHeight="true" outlineLevel="0" collapsed="false">
      <c r="A845" s="28" t="s">
        <v>5044</v>
      </c>
      <c r="B845" s="29" t="s">
        <v>690</v>
      </c>
      <c r="C845" s="29" t="s">
        <v>5259</v>
      </c>
      <c r="D845" s="30" t="s">
        <v>50</v>
      </c>
      <c r="E845" s="31"/>
      <c r="F845" s="32" t="n">
        <v>70</v>
      </c>
      <c r="G845" s="31" t="s">
        <v>215</v>
      </c>
      <c r="H845" s="31" t="n">
        <v>1</v>
      </c>
      <c r="I845" s="31" t="s">
        <v>119</v>
      </c>
      <c r="J845" s="29"/>
      <c r="K845" s="29" t="s">
        <v>5260</v>
      </c>
      <c r="L845" s="32" t="n">
        <v>1</v>
      </c>
      <c r="M845" s="33" t="s">
        <v>5261</v>
      </c>
      <c r="N845" s="34" t="n">
        <v>75007</v>
      </c>
      <c r="O845" s="35" t="s">
        <v>55</v>
      </c>
      <c r="P845" s="36" t="s">
        <v>5262</v>
      </c>
      <c r="Q845" s="36" t="n">
        <v>2</v>
      </c>
      <c r="R845" s="32" t="n">
        <v>398</v>
      </c>
      <c r="S845" s="32" t="n">
        <v>1</v>
      </c>
      <c r="T845" s="32"/>
      <c r="U845" s="32"/>
      <c r="V845" s="37"/>
      <c r="W845" s="32"/>
      <c r="X845" s="34"/>
      <c r="Y845" s="34"/>
      <c r="Z845" s="36"/>
      <c r="AA845" s="32" t="s">
        <v>5263</v>
      </c>
      <c r="AB845" s="32" t="s">
        <v>5264</v>
      </c>
      <c r="AC845" s="38" t="str">
        <f aca="false">HYPERLINK("https://biocodex6--c.vf.force.com/0014L00000KFg4UQAT", "GIRARD ERIC")</f>
        <v>GIRARD ERIC</v>
      </c>
      <c r="AD845" s="38" t="str">
        <f aca="false">HYPERLINK("https://annuairesante.ameli.fr/professionnels-de-sante/recherche/fiche-detaillee-B7c1ljQwNzWx.html", "GIRARD ERIC")</f>
        <v>GIRARD ERIC</v>
      </c>
      <c r="AE845" s="39"/>
      <c r="AF845" s="40"/>
      <c r="AG845" s="41"/>
      <c r="AH845" s="32" t="s">
        <v>179</v>
      </c>
      <c r="AI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XEY845" s="27"/>
      <c r="XEZ845" s="27"/>
      <c r="XFA845" s="27"/>
      <c r="XFB845" s="27"/>
      <c r="XFC845" s="27"/>
      <c r="XFD845" s="27"/>
    </row>
    <row r="846" s="42" customFormat="true" ht="14.15" hidden="false" customHeight="true" outlineLevel="0" collapsed="false">
      <c r="A846" s="28" t="s">
        <v>3754</v>
      </c>
      <c r="B846" s="29" t="s">
        <v>399</v>
      </c>
      <c r="C846" s="29" t="s">
        <v>5265</v>
      </c>
      <c r="D846" s="30" t="s">
        <v>50</v>
      </c>
      <c r="E846" s="31"/>
      <c r="F846" s="32" t="n">
        <v>74</v>
      </c>
      <c r="G846" s="31" t="s">
        <v>215</v>
      </c>
      <c r="H846" s="31" t="n">
        <v>1</v>
      </c>
      <c r="I846" s="31" t="s">
        <v>99</v>
      </c>
      <c r="J846" s="29"/>
      <c r="K846" s="29" t="s">
        <v>5266</v>
      </c>
      <c r="L846" s="32" t="n">
        <v>69</v>
      </c>
      <c r="M846" s="33" t="s">
        <v>5267</v>
      </c>
      <c r="N846" s="34" t="n">
        <v>75015</v>
      </c>
      <c r="O846" s="35" t="s">
        <v>55</v>
      </c>
      <c r="P846" s="36" t="s">
        <v>5268</v>
      </c>
      <c r="Q846" s="36" t="n">
        <v>1</v>
      </c>
      <c r="R846" s="32" t="n">
        <v>390</v>
      </c>
      <c r="S846" s="32" t="n">
        <v>1</v>
      </c>
      <c r="T846" s="32"/>
      <c r="U846" s="32"/>
      <c r="V846" s="37"/>
      <c r="W846" s="32"/>
      <c r="X846" s="34" t="n">
        <v>1</v>
      </c>
      <c r="Y846" s="34" t="n">
        <v>2</v>
      </c>
      <c r="Z846" s="32"/>
      <c r="AA846" s="32" t="s">
        <v>5269</v>
      </c>
      <c r="AB846" s="32" t="s">
        <v>5270</v>
      </c>
      <c r="AC846" s="38" t="str">
        <f aca="false">HYPERLINK("https://biocodex6--c.vf.force.com/0014L00000KFlEYQA1", "LABROSSE OLIVIER")</f>
        <v>LABROSSE OLIVIER</v>
      </c>
      <c r="AD846" s="38" t="str">
        <f aca="false">HYPERLINK("https://annuairesante.ameli.fr/professionnels-de-sante/recherche/fiche-detaillee-B7c1kTY1MDa3.html", "LABROSSE OLIVIER")</f>
        <v>LABROSSE OLIVIER</v>
      </c>
      <c r="AE846" s="39" t="n">
        <v>45118.5</v>
      </c>
      <c r="AF846" s="40"/>
      <c r="AG846" s="41"/>
      <c r="AH846" s="32"/>
      <c r="AI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XEY846" s="27"/>
      <c r="XEZ846" s="27"/>
      <c r="XFA846" s="27"/>
      <c r="XFB846" s="27"/>
      <c r="XFC846" s="27"/>
      <c r="XFD846" s="27"/>
    </row>
    <row r="847" s="42" customFormat="true" ht="14.15" hidden="false" customHeight="true" outlineLevel="0" collapsed="false">
      <c r="A847" s="28" t="s">
        <v>5271</v>
      </c>
      <c r="B847" s="29" t="s">
        <v>5272</v>
      </c>
      <c r="C847" s="29" t="s">
        <v>5273</v>
      </c>
      <c r="D847" s="30" t="s">
        <v>50</v>
      </c>
      <c r="E847" s="30" t="s">
        <v>818</v>
      </c>
      <c r="F847" s="32" t="n">
        <v>71</v>
      </c>
      <c r="G847" s="31" t="s">
        <v>98</v>
      </c>
      <c r="H847" s="31" t="n">
        <v>1</v>
      </c>
      <c r="I847" s="31" t="s">
        <v>99</v>
      </c>
      <c r="J847" s="29"/>
      <c r="K847" s="29" t="s">
        <v>5274</v>
      </c>
      <c r="L847" s="32" t="n">
        <v>51</v>
      </c>
      <c r="M847" s="33" t="s">
        <v>5267</v>
      </c>
      <c r="N847" s="34" t="n">
        <v>75015</v>
      </c>
      <c r="O847" s="35" t="s">
        <v>55</v>
      </c>
      <c r="P847" s="36" t="s">
        <v>5275</v>
      </c>
      <c r="Q847" s="36" t="n">
        <v>1</v>
      </c>
      <c r="R847" s="32" t="n">
        <v>389</v>
      </c>
      <c r="S847" s="32" t="n">
        <v>1</v>
      </c>
      <c r="T847" s="32"/>
      <c r="U847" s="32"/>
      <c r="V847" s="37"/>
      <c r="W847" s="32"/>
      <c r="X847" s="34"/>
      <c r="Y847" s="34"/>
      <c r="Z847" s="36"/>
      <c r="AA847" s="32" t="s">
        <v>5276</v>
      </c>
      <c r="AB847" s="32" t="s">
        <v>5277</v>
      </c>
      <c r="AC847" s="38" t="str">
        <f aca="false">HYPERLINK("https://biocodex6--c.vf.force.com/0014L00000KFhyjQAD", "HACHET JEAN CHARLES")</f>
        <v>HACHET JEAN CHARLES</v>
      </c>
      <c r="AD847" s="38" t="str">
        <f aca="false">HYPERLINK("https://annuairesante.ameli.fr/professionnels-de-sante/recherche/fiche-detaillee-B7c1kTY2MjK2.html", "HACHET JEAN CHARLES")</f>
        <v>HACHET JEAN CHARLES</v>
      </c>
      <c r="AE847" s="39"/>
      <c r="AF847" s="40"/>
      <c r="AG847" s="41"/>
      <c r="AH847" s="32" t="s">
        <v>179</v>
      </c>
      <c r="AI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XEY847" s="27"/>
      <c r="XEZ847" s="27"/>
      <c r="XFA847" s="27"/>
      <c r="XFB847" s="27"/>
      <c r="XFC847" s="27"/>
      <c r="XFD847" s="27"/>
    </row>
    <row r="848" s="42" customFormat="true" ht="14.15" hidden="false" customHeight="true" outlineLevel="0" collapsed="false">
      <c r="A848" s="28" t="s">
        <v>5278</v>
      </c>
      <c r="B848" s="29" t="s">
        <v>182</v>
      </c>
      <c r="C848" s="29" t="s">
        <v>5279</v>
      </c>
      <c r="D848" s="30" t="s">
        <v>50</v>
      </c>
      <c r="E848" s="30" t="s">
        <v>2659</v>
      </c>
      <c r="F848" s="32" t="n">
        <v>63</v>
      </c>
      <c r="G848" s="31" t="s">
        <v>98</v>
      </c>
      <c r="H848" s="31" t="n">
        <v>1</v>
      </c>
      <c r="I848" s="31" t="s">
        <v>99</v>
      </c>
      <c r="J848" s="29"/>
      <c r="K848" s="29" t="s">
        <v>5280</v>
      </c>
      <c r="L848" s="32" t="n">
        <v>72</v>
      </c>
      <c r="M848" s="33" t="s">
        <v>5281</v>
      </c>
      <c r="N848" s="34" t="n">
        <v>75015</v>
      </c>
      <c r="O848" s="35" t="s">
        <v>55</v>
      </c>
      <c r="P848" s="36" t="s">
        <v>5282</v>
      </c>
      <c r="Q848" s="36" t="n">
        <v>1</v>
      </c>
      <c r="R848" s="32" t="n">
        <v>387</v>
      </c>
      <c r="S848" s="32" t="n">
        <v>1</v>
      </c>
      <c r="T848" s="32"/>
      <c r="U848" s="32"/>
      <c r="V848" s="37"/>
      <c r="W848" s="32"/>
      <c r="X848" s="34"/>
      <c r="Y848" s="34"/>
      <c r="Z848" s="36"/>
      <c r="AA848" s="32" t="s">
        <v>5283</v>
      </c>
      <c r="AB848" s="32" t="s">
        <v>5284</v>
      </c>
      <c r="AC848" s="38" t="str">
        <f aca="false">HYPERLINK("https://biocodex6--c.vf.force.com/0014L00000KFQc3QAH", "ARDITTI LAURENT")</f>
        <v>ARDITTI LAURENT</v>
      </c>
      <c r="AD848" s="38" t="str">
        <f aca="false">HYPERLINK("https://annuairesante.ameli.fr/professionnels-de-sante/recherche/fiche-detaillee-B7c1lDc4NTC3.html", "ARDITTI LAURENT")</f>
        <v>ARDITTI LAURENT</v>
      </c>
      <c r="AE848" s="39"/>
      <c r="AF848" s="40"/>
      <c r="AG848" s="41"/>
      <c r="AH848" s="32" t="s">
        <v>179</v>
      </c>
      <c r="AI848" s="32"/>
      <c r="AL848" s="43" t="s">
        <v>657</v>
      </c>
      <c r="AM848" s="43" t="s">
        <v>126</v>
      </c>
      <c r="AN848" s="43" t="s">
        <v>657</v>
      </c>
      <c r="AO848" s="43" t="s">
        <v>126</v>
      </c>
      <c r="AP848" s="43" t="s">
        <v>657</v>
      </c>
      <c r="AQ848" s="43" t="s">
        <v>126</v>
      </c>
      <c r="AR848" s="43" t="s">
        <v>657</v>
      </c>
      <c r="AS848" s="43" t="s">
        <v>126</v>
      </c>
      <c r="AT848" s="43" t="s">
        <v>657</v>
      </c>
      <c r="AU848" s="43" t="s">
        <v>126</v>
      </c>
      <c r="XEY848" s="27"/>
      <c r="XEZ848" s="27"/>
      <c r="XFA848" s="27"/>
      <c r="XFB848" s="27"/>
      <c r="XFC848" s="27"/>
      <c r="XFD848" s="27"/>
    </row>
    <row r="849" s="42" customFormat="true" ht="14.15" hidden="false" customHeight="true" outlineLevel="0" collapsed="false">
      <c r="A849" s="28" t="s">
        <v>5285</v>
      </c>
      <c r="B849" s="29" t="s">
        <v>5286</v>
      </c>
      <c r="C849" s="29" t="s">
        <v>5287</v>
      </c>
      <c r="D849" s="30" t="s">
        <v>50</v>
      </c>
      <c r="E849" s="30" t="s">
        <v>245</v>
      </c>
      <c r="F849" s="32" t="n">
        <v>71</v>
      </c>
      <c r="G849" s="31"/>
      <c r="H849" s="31" t="n">
        <v>1</v>
      </c>
      <c r="I849" s="31" t="s">
        <v>197</v>
      </c>
      <c r="J849" s="29" t="s">
        <v>4801</v>
      </c>
      <c r="K849" s="29" t="s">
        <v>4802</v>
      </c>
      <c r="L849" s="32" t="n">
        <v>206</v>
      </c>
      <c r="M849" s="33" t="s">
        <v>4230</v>
      </c>
      <c r="N849" s="34" t="n">
        <v>75017</v>
      </c>
      <c r="O849" s="35" t="s">
        <v>55</v>
      </c>
      <c r="P849" s="36" t="s">
        <v>4803</v>
      </c>
      <c r="Q849" s="36" t="n">
        <v>11</v>
      </c>
      <c r="R849" s="32" t="n">
        <v>386</v>
      </c>
      <c r="S849" s="32" t="n">
        <v>1</v>
      </c>
      <c r="T849" s="32"/>
      <c r="U849" s="32"/>
      <c r="V849" s="37"/>
      <c r="W849" s="32"/>
      <c r="X849" s="34"/>
      <c r="Y849" s="34"/>
      <c r="Z849" s="36"/>
      <c r="AA849" s="32" t="s">
        <v>5288</v>
      </c>
      <c r="AB849" s="32"/>
      <c r="AC849" s="38" t="str">
        <f aca="false">HYPERLINK("https://biocodex6--c.vf.force.com/0014L00000KFZLsQAP", "DE PERETTI DELLA ROCCA MARC ANTOINE")</f>
        <v>DE PERETTI DELLA ROCCA MARC ANTOINE</v>
      </c>
      <c r="AD849" s="38"/>
      <c r="AE849" s="39"/>
      <c r="AF849" s="40"/>
      <c r="AG849" s="41"/>
      <c r="AH849" s="32" t="s">
        <v>179</v>
      </c>
      <c r="AI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XEY849" s="27"/>
      <c r="XEZ849" s="27"/>
      <c r="XFA849" s="27"/>
      <c r="XFB849" s="27"/>
      <c r="XFC849" s="27"/>
      <c r="XFD849" s="27"/>
    </row>
    <row r="850" s="42" customFormat="true" ht="14.15" hidden="false" customHeight="true" outlineLevel="0" collapsed="false">
      <c r="A850" s="28" t="s">
        <v>5289</v>
      </c>
      <c r="B850" s="29" t="s">
        <v>3439</v>
      </c>
      <c r="C850" s="29" t="s">
        <v>5290</v>
      </c>
      <c r="D850" s="30" t="s">
        <v>50</v>
      </c>
      <c r="E850" s="30" t="s">
        <v>172</v>
      </c>
      <c r="F850" s="32" t="n">
        <v>62</v>
      </c>
      <c r="G850" s="31" t="s">
        <v>98</v>
      </c>
      <c r="H850" s="31" t="n">
        <v>1</v>
      </c>
      <c r="I850" s="31" t="s">
        <v>119</v>
      </c>
      <c r="J850" s="29"/>
      <c r="K850" s="29" t="s">
        <v>5291</v>
      </c>
      <c r="L850" s="32" t="n">
        <v>2</v>
      </c>
      <c r="M850" s="33" t="s">
        <v>5292</v>
      </c>
      <c r="N850" s="34" t="n">
        <v>75007</v>
      </c>
      <c r="O850" s="35" t="s">
        <v>55</v>
      </c>
      <c r="P850" s="36" t="s">
        <v>5293</v>
      </c>
      <c r="Q850" s="36" t="n">
        <v>1</v>
      </c>
      <c r="R850" s="32" t="n">
        <v>385</v>
      </c>
      <c r="S850" s="32" t="n">
        <v>1</v>
      </c>
      <c r="T850" s="32"/>
      <c r="U850" s="32"/>
      <c r="V850" s="37"/>
      <c r="W850" s="32"/>
      <c r="X850" s="34"/>
      <c r="Y850" s="34"/>
      <c r="Z850" s="36"/>
      <c r="AA850" s="32" t="s">
        <v>5294</v>
      </c>
      <c r="AB850" s="32" t="s">
        <v>5295</v>
      </c>
      <c r="AC850" s="38" t="str">
        <f aca="false">HYPERLINK("https://biocodex6--c.vf.force.com/0014L00000KFrwYQAT", "MANODRITTA PASCALE")</f>
        <v>MANODRITTA PASCALE</v>
      </c>
      <c r="AD850" s="38" t="str">
        <f aca="false">HYPERLINK("https://annuairesante.ameli.fr/professionnels-de-sante/recherche/fiche-detaillee-B7c1lzY2NzOw.html", "MANODRITTA PASCALE")</f>
        <v>MANODRITTA PASCALE</v>
      </c>
      <c r="AE850" s="39"/>
      <c r="AF850" s="40"/>
      <c r="AG850" s="41"/>
      <c r="AH850" s="32" t="s">
        <v>179</v>
      </c>
      <c r="AI850" s="32"/>
      <c r="AL850" s="43" t="s">
        <v>657</v>
      </c>
      <c r="AM850" s="43" t="s">
        <v>137</v>
      </c>
      <c r="AN850" s="43" t="s">
        <v>657</v>
      </c>
      <c r="AO850" s="43" t="s">
        <v>137</v>
      </c>
      <c r="AP850" s="43" t="s">
        <v>657</v>
      </c>
      <c r="AQ850" s="43" t="s">
        <v>792</v>
      </c>
      <c r="AR850" s="43" t="s">
        <v>657</v>
      </c>
      <c r="AS850" s="43" t="s">
        <v>137</v>
      </c>
      <c r="AT850" s="43" t="s">
        <v>657</v>
      </c>
      <c r="AU850" s="43" t="s">
        <v>137</v>
      </c>
      <c r="XEY850" s="27"/>
      <c r="XEZ850" s="27"/>
      <c r="XFA850" s="27"/>
      <c r="XFB850" s="27"/>
      <c r="XFC850" s="27"/>
      <c r="XFD850" s="27"/>
    </row>
    <row r="851" s="42" customFormat="true" ht="14.15" hidden="false" customHeight="true" outlineLevel="0" collapsed="false">
      <c r="A851" s="28" t="s">
        <v>5296</v>
      </c>
      <c r="B851" s="29" t="s">
        <v>710</v>
      </c>
      <c r="C851" s="29" t="s">
        <v>5297</v>
      </c>
      <c r="D851" s="30" t="s">
        <v>50</v>
      </c>
      <c r="E851" s="30" t="s">
        <v>255</v>
      </c>
      <c r="F851" s="32" t="n">
        <v>54</v>
      </c>
      <c r="G851" s="31"/>
      <c r="H851" s="31" t="n">
        <v>2</v>
      </c>
      <c r="I851" s="31" t="s">
        <v>295</v>
      </c>
      <c r="J851" s="29"/>
      <c r="K851" s="29" t="s">
        <v>5298</v>
      </c>
      <c r="L851" s="32" t="n">
        <v>3</v>
      </c>
      <c r="M851" s="33" t="s">
        <v>806</v>
      </c>
      <c r="N851" s="34" t="n">
        <v>92300</v>
      </c>
      <c r="O851" s="35" t="s">
        <v>298</v>
      </c>
      <c r="P851" s="36" t="s">
        <v>5299</v>
      </c>
      <c r="Q851" s="36" t="n">
        <v>1</v>
      </c>
      <c r="R851" s="32" t="n">
        <v>381</v>
      </c>
      <c r="S851" s="32" t="n">
        <v>1</v>
      </c>
      <c r="T851" s="32"/>
      <c r="U851" s="32"/>
      <c r="V851" s="37"/>
      <c r="W851" s="32"/>
      <c r="X851" s="34"/>
      <c r="Y851" s="34"/>
      <c r="Z851" s="32"/>
      <c r="AA851" s="32" t="s">
        <v>5300</v>
      </c>
      <c r="AB851" s="32"/>
      <c r="AC851" s="38" t="str">
        <f aca="false">HYPERLINK("https://biocodex6--c.vf.force.com/0014L00000KFsTWQA1", "MOHEBI ALEXIS")</f>
        <v>MOHEBI ALEXIS</v>
      </c>
      <c r="AD851" s="38"/>
      <c r="AE851" s="39"/>
      <c r="AF851" s="40"/>
      <c r="AG851" s="41"/>
      <c r="AH851" s="32"/>
      <c r="AI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XEY851" s="27"/>
      <c r="XEZ851" s="27"/>
      <c r="XFA851" s="27"/>
      <c r="XFB851" s="27"/>
      <c r="XFC851" s="27"/>
      <c r="XFD851" s="27"/>
    </row>
    <row r="852" s="42" customFormat="true" ht="14.15" hidden="false" customHeight="true" outlineLevel="0" collapsed="false">
      <c r="A852" s="28" t="s">
        <v>5301</v>
      </c>
      <c r="B852" s="29" t="s">
        <v>5302</v>
      </c>
      <c r="C852" s="29" t="s">
        <v>5303</v>
      </c>
      <c r="D852" s="30" t="s">
        <v>50</v>
      </c>
      <c r="E852" s="30" t="s">
        <v>1277</v>
      </c>
      <c r="F852" s="32" t="n">
        <v>67</v>
      </c>
      <c r="G852" s="31" t="s">
        <v>98</v>
      </c>
      <c r="H852" s="31" t="n">
        <v>1</v>
      </c>
      <c r="I852" s="31" t="s">
        <v>99</v>
      </c>
      <c r="J852" s="29"/>
      <c r="K852" s="29" t="s">
        <v>5304</v>
      </c>
      <c r="L852" s="32" t="n">
        <v>181</v>
      </c>
      <c r="M852" s="33" t="s">
        <v>1146</v>
      </c>
      <c r="N852" s="34" t="n">
        <v>75015</v>
      </c>
      <c r="O852" s="35" t="s">
        <v>55</v>
      </c>
      <c r="P852" s="36" t="s">
        <v>5305</v>
      </c>
      <c r="Q852" s="36" t="n">
        <v>1</v>
      </c>
      <c r="R852" s="32" t="n">
        <v>380</v>
      </c>
      <c r="S852" s="32" t="n">
        <v>1</v>
      </c>
      <c r="T852" s="32"/>
      <c r="U852" s="32"/>
      <c r="V852" s="37"/>
      <c r="W852" s="32"/>
      <c r="X852" s="34"/>
      <c r="Y852" s="34"/>
      <c r="Z852" s="36"/>
      <c r="AA852" s="32" t="s">
        <v>5306</v>
      </c>
      <c r="AB852" s="32" t="s">
        <v>5307</v>
      </c>
      <c r="AC852" s="38" t="str">
        <f aca="false">HYPERLINK("https://biocodex6--c.vf.force.com/0014L00000KFmFTQA1", "LASNIER PIERRE GUILLAUME")</f>
        <v>LASNIER PIERRE GUILLAUME</v>
      </c>
      <c r="AD852" s="38" t="str">
        <f aca="false">HYPERLINK("https://annuairesante.ameli.fr/professionnels-de-sante/recherche/fiche-detaillee-B7c1lzA3MjC7.html", "LASNIER PIERRE GUILLAUME")</f>
        <v>LASNIER PIERRE GUILLAUME</v>
      </c>
      <c r="AE852" s="39"/>
      <c r="AF852" s="40"/>
      <c r="AG852" s="41"/>
      <c r="AH852" s="32" t="s">
        <v>179</v>
      </c>
      <c r="AI852" s="32"/>
      <c r="AL852" s="32"/>
      <c r="AM852" s="43" t="s">
        <v>262</v>
      </c>
      <c r="AN852" s="32"/>
      <c r="AO852" s="43" t="s">
        <v>262</v>
      </c>
      <c r="AP852" s="32"/>
      <c r="AQ852" s="43" t="s">
        <v>262</v>
      </c>
      <c r="AR852" s="32"/>
      <c r="AS852" s="43" t="s">
        <v>262</v>
      </c>
      <c r="AT852" s="32"/>
      <c r="AU852" s="43" t="s">
        <v>262</v>
      </c>
      <c r="XEY852" s="27"/>
      <c r="XEZ852" s="27"/>
      <c r="XFA852" s="27"/>
      <c r="XFB852" s="27"/>
      <c r="XFC852" s="27"/>
      <c r="XFD852" s="27"/>
    </row>
    <row r="853" s="42" customFormat="true" ht="14.15" hidden="false" customHeight="true" outlineLevel="0" collapsed="false">
      <c r="A853" s="28" t="s">
        <v>5308</v>
      </c>
      <c r="B853" s="29" t="s">
        <v>5309</v>
      </c>
      <c r="C853" s="29" t="s">
        <v>5310</v>
      </c>
      <c r="D853" s="30" t="s">
        <v>50</v>
      </c>
      <c r="E853" s="30" t="s">
        <v>245</v>
      </c>
      <c r="F853" s="32" t="n">
        <v>48</v>
      </c>
      <c r="G853" s="31"/>
      <c r="H853" s="31" t="n">
        <v>1</v>
      </c>
      <c r="I853" s="31" t="s">
        <v>197</v>
      </c>
      <c r="J853" s="29" t="s">
        <v>4801</v>
      </c>
      <c r="K853" s="29" t="s">
        <v>4802</v>
      </c>
      <c r="L853" s="32" t="n">
        <v>206</v>
      </c>
      <c r="M853" s="33" t="s">
        <v>4230</v>
      </c>
      <c r="N853" s="34" t="n">
        <v>75017</v>
      </c>
      <c r="O853" s="35" t="s">
        <v>55</v>
      </c>
      <c r="P853" s="36" t="s">
        <v>4803</v>
      </c>
      <c r="Q853" s="36" t="n">
        <v>11</v>
      </c>
      <c r="R853" s="32" t="n">
        <v>376</v>
      </c>
      <c r="S853" s="32" t="n">
        <v>1</v>
      </c>
      <c r="T853" s="32"/>
      <c r="U853" s="32"/>
      <c r="V853" s="37"/>
      <c r="W853" s="32"/>
      <c r="X853" s="34"/>
      <c r="Y853" s="34"/>
      <c r="Z853" s="36"/>
      <c r="AA853" s="32" t="s">
        <v>5311</v>
      </c>
      <c r="AB853" s="32"/>
      <c r="AC853" s="38" t="str">
        <f aca="false">HYPERLINK("https://biocodex6--c.vf.force.com/0014L00000htPinQAE", "LE BIDEAU VIEILLEFOSSE ANNE SOLENNE")</f>
        <v>LE BIDEAU VIEILLEFOSSE ANNE SOLENNE</v>
      </c>
      <c r="AD853" s="38"/>
      <c r="AE853" s="39"/>
      <c r="AF853" s="40"/>
      <c r="AG853" s="41"/>
      <c r="AH853" s="32" t="s">
        <v>179</v>
      </c>
      <c r="AI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XEY853" s="27"/>
      <c r="XEZ853" s="27"/>
      <c r="XFA853" s="27"/>
      <c r="XFB853" s="27"/>
      <c r="XFC853" s="27"/>
      <c r="XFD853" s="27"/>
    </row>
    <row r="854" s="42" customFormat="true" ht="14.15" hidden="false" customHeight="true" outlineLevel="0" collapsed="false">
      <c r="A854" s="28" t="s">
        <v>5312</v>
      </c>
      <c r="B854" s="29" t="s">
        <v>2827</v>
      </c>
      <c r="C854" s="29" t="s">
        <v>5313</v>
      </c>
      <c r="D854" s="30" t="s">
        <v>50</v>
      </c>
      <c r="E854" s="31"/>
      <c r="F854" s="32" t="n">
        <v>51</v>
      </c>
      <c r="G854" s="31" t="s">
        <v>98</v>
      </c>
      <c r="H854" s="31" t="n">
        <v>1</v>
      </c>
      <c r="I854" s="31" t="s">
        <v>119</v>
      </c>
      <c r="J854" s="29"/>
      <c r="K854" s="29" t="s">
        <v>5314</v>
      </c>
      <c r="L854" s="32" t="n">
        <v>81</v>
      </c>
      <c r="M854" s="33" t="s">
        <v>3806</v>
      </c>
      <c r="N854" s="34" t="n">
        <v>75007</v>
      </c>
      <c r="O854" s="35" t="s">
        <v>55</v>
      </c>
      <c r="P854" s="36" t="s">
        <v>5315</v>
      </c>
      <c r="Q854" s="36" t="n">
        <v>1</v>
      </c>
      <c r="R854" s="32" t="n">
        <v>375</v>
      </c>
      <c r="S854" s="32" t="n">
        <v>1</v>
      </c>
      <c r="T854" s="32"/>
      <c r="U854" s="32"/>
      <c r="V854" s="37"/>
      <c r="W854" s="32"/>
      <c r="X854" s="34"/>
      <c r="Y854" s="34"/>
      <c r="Z854" s="36"/>
      <c r="AA854" s="32" t="s">
        <v>5316</v>
      </c>
      <c r="AB854" s="32" t="s">
        <v>5317</v>
      </c>
      <c r="AC854" s="38" t="str">
        <f aca="false">HYPERLINK("https://biocodex6--c.vf.force.com/0014L00000KFxVSQA1", "PRIA ELENA")</f>
        <v>PRIA ELENA</v>
      </c>
      <c r="AD854" s="38" t="str">
        <f aca="false">HYPERLINK("https://annuairesante.ameli.fr/professionnels-de-sante/recherche/fiche-detaillee-B7c1lDEyODO7.html", "PRIA ELENA")</f>
        <v>PRIA ELENA</v>
      </c>
      <c r="AE854" s="39"/>
      <c r="AF854" s="40"/>
      <c r="AG854" s="41"/>
      <c r="AH854" s="32" t="s">
        <v>179</v>
      </c>
      <c r="AI854" s="32"/>
      <c r="AL854" s="43" t="s">
        <v>657</v>
      </c>
      <c r="AM854" s="43" t="s">
        <v>137</v>
      </c>
      <c r="AN854" s="43" t="s">
        <v>657</v>
      </c>
      <c r="AO854" s="43" t="s">
        <v>137</v>
      </c>
      <c r="AP854" s="43" t="s">
        <v>657</v>
      </c>
      <c r="AQ854" s="43" t="s">
        <v>137</v>
      </c>
      <c r="AR854" s="43" t="s">
        <v>657</v>
      </c>
      <c r="AS854" s="43" t="s">
        <v>137</v>
      </c>
      <c r="AT854" s="43" t="s">
        <v>657</v>
      </c>
      <c r="AU854" s="43" t="s">
        <v>137</v>
      </c>
      <c r="XEY854" s="27"/>
      <c r="XEZ854" s="27"/>
      <c r="XFA854" s="27"/>
      <c r="XFB854" s="27"/>
      <c r="XFC854" s="27"/>
      <c r="XFD854" s="27"/>
    </row>
    <row r="855" s="42" customFormat="true" ht="14.15" hidden="false" customHeight="true" outlineLevel="0" collapsed="false">
      <c r="A855" s="28" t="s">
        <v>5318</v>
      </c>
      <c r="B855" s="29" t="s">
        <v>2254</v>
      </c>
      <c r="C855" s="29" t="s">
        <v>5319</v>
      </c>
      <c r="D855" s="30" t="s">
        <v>50</v>
      </c>
      <c r="E855" s="31"/>
      <c r="F855" s="32" t="n">
        <v>69</v>
      </c>
      <c r="G855" s="31" t="s">
        <v>215</v>
      </c>
      <c r="H855" s="31" t="n">
        <v>1</v>
      </c>
      <c r="I855" s="31" t="s">
        <v>77</v>
      </c>
      <c r="J855" s="29"/>
      <c r="K855" s="29" t="s">
        <v>5320</v>
      </c>
      <c r="L855" s="32" t="n">
        <v>4</v>
      </c>
      <c r="M855" s="33" t="s">
        <v>5321</v>
      </c>
      <c r="N855" s="34" t="n">
        <v>92200</v>
      </c>
      <c r="O855" s="35" t="s">
        <v>81</v>
      </c>
      <c r="P855" s="36" t="s">
        <v>5322</v>
      </c>
      <c r="Q855" s="36" t="n">
        <v>1</v>
      </c>
      <c r="R855" s="32" t="n">
        <v>374</v>
      </c>
      <c r="S855" s="32" t="n">
        <v>1</v>
      </c>
      <c r="T855" s="32"/>
      <c r="U855" s="32"/>
      <c r="V855" s="37"/>
      <c r="W855" s="32"/>
      <c r="X855" s="34"/>
      <c r="Y855" s="34"/>
      <c r="Z855" s="36"/>
      <c r="AA855" s="32" t="s">
        <v>5323</v>
      </c>
      <c r="AB855" s="32" t="s">
        <v>5324</v>
      </c>
      <c r="AC855" s="38" t="str">
        <f aca="false">HYPERLINK("https://biocodex6--c.vf.force.com/0014L00000KG5O0QAL", "VISINET BERTRAND")</f>
        <v>VISINET BERTRAND</v>
      </c>
      <c r="AD855" s="38" t="str">
        <f aca="false">HYPERLINK("https://annuairesante.ameli.fr/professionnels-de-sante/recherche/fiche-detaillee-CbA1kjo2Mze7.html", "VISINET BERTRAND")</f>
        <v>VISINET BERTRAND</v>
      </c>
      <c r="AE855" s="39"/>
      <c r="AF855" s="40"/>
      <c r="AG855" s="41"/>
      <c r="AH855" s="32" t="s">
        <v>179</v>
      </c>
      <c r="AI855" s="32"/>
      <c r="AL855" s="43" t="s">
        <v>3890</v>
      </c>
      <c r="AM855" s="43" t="s">
        <v>661</v>
      </c>
      <c r="AN855" s="43" t="s">
        <v>3890</v>
      </c>
      <c r="AO855" s="43" t="s">
        <v>661</v>
      </c>
      <c r="AP855" s="43" t="s">
        <v>3890</v>
      </c>
      <c r="AQ855" s="43" t="s">
        <v>661</v>
      </c>
      <c r="AR855" s="43" t="s">
        <v>3890</v>
      </c>
      <c r="AS855" s="43" t="s">
        <v>661</v>
      </c>
      <c r="AT855" s="43" t="s">
        <v>3890</v>
      </c>
      <c r="AU855" s="43" t="s">
        <v>661</v>
      </c>
      <c r="XEY855" s="27"/>
      <c r="XEZ855" s="27"/>
      <c r="XFA855" s="27"/>
      <c r="XFB855" s="27"/>
      <c r="XFC855" s="27"/>
      <c r="XFD855" s="27"/>
    </row>
    <row r="856" s="42" customFormat="true" ht="14.15" hidden="false" customHeight="true" outlineLevel="0" collapsed="false">
      <c r="A856" s="28" t="s">
        <v>5325</v>
      </c>
      <c r="B856" s="29" t="s">
        <v>96</v>
      </c>
      <c r="C856" s="29" t="s">
        <v>5326</v>
      </c>
      <c r="D856" s="30" t="s">
        <v>50</v>
      </c>
      <c r="E856" s="31"/>
      <c r="F856" s="32" t="n">
        <v>71</v>
      </c>
      <c r="G856" s="31" t="s">
        <v>61</v>
      </c>
      <c r="H856" s="31" t="n">
        <v>2</v>
      </c>
      <c r="I856" s="31" t="s">
        <v>435</v>
      </c>
      <c r="J856" s="29"/>
      <c r="K856" s="29" t="s">
        <v>3081</v>
      </c>
      <c r="L856" s="32" t="n">
        <v>77</v>
      </c>
      <c r="M856" s="33" t="s">
        <v>2100</v>
      </c>
      <c r="N856" s="34" t="n">
        <v>75016</v>
      </c>
      <c r="O856" s="35" t="s">
        <v>55</v>
      </c>
      <c r="P856" s="50" t="s">
        <v>5327</v>
      </c>
      <c r="Q856" s="36" t="n">
        <v>4</v>
      </c>
      <c r="R856" s="32" t="n">
        <v>370</v>
      </c>
      <c r="S856" s="32" t="n">
        <v>1</v>
      </c>
      <c r="T856" s="32"/>
      <c r="U856" s="32"/>
      <c r="V856" s="37"/>
      <c r="W856" s="32"/>
      <c r="X856" s="34"/>
      <c r="Y856" s="34"/>
      <c r="Z856" s="32"/>
      <c r="AA856" s="32" t="s">
        <v>5328</v>
      </c>
      <c r="AB856" s="32" t="s">
        <v>5329</v>
      </c>
      <c r="AC856" s="38" t="str">
        <f aca="false">HYPERLINK("https://biocodex6--c.vf.force.com/0014L00000KFj63QAD", "HOUTA BENJAMIN")</f>
        <v>HOUTA BENJAMIN</v>
      </c>
      <c r="AD856" s="38" t="str">
        <f aca="false">HYPERLINK("https://annuairesante.ameli.fr/professionnels-de-sante/recherche/fiche-detaillee-B7c1kTs5ODG3.html", "HOUTA BENJAMIN")</f>
        <v>HOUTA BENJAMIN</v>
      </c>
      <c r="AE856" s="39"/>
      <c r="AF856" s="40"/>
      <c r="AG856" s="41"/>
      <c r="AH856" s="32"/>
      <c r="AI856" s="32"/>
      <c r="AL856" s="32"/>
      <c r="AM856" s="43" t="s">
        <v>4518</v>
      </c>
      <c r="AN856" s="43" t="s">
        <v>394</v>
      </c>
      <c r="AO856" s="43" t="s">
        <v>5330</v>
      </c>
      <c r="AP856" s="43" t="s">
        <v>394</v>
      </c>
      <c r="AQ856" s="32"/>
      <c r="AR856" s="32"/>
      <c r="AS856" s="43" t="s">
        <v>5330</v>
      </c>
      <c r="AT856" s="43" t="s">
        <v>394</v>
      </c>
      <c r="AU856" s="43" t="s">
        <v>5330</v>
      </c>
      <c r="XEY856" s="27"/>
      <c r="XEZ856" s="27"/>
      <c r="XFA856" s="27"/>
      <c r="XFB856" s="27"/>
      <c r="XFC856" s="27"/>
      <c r="XFD856" s="27"/>
    </row>
    <row r="857" s="42" customFormat="true" ht="14.15" hidden="false" customHeight="true" outlineLevel="0" collapsed="false">
      <c r="A857" s="28" t="s">
        <v>5331</v>
      </c>
      <c r="B857" s="29" t="s">
        <v>128</v>
      </c>
      <c r="C857" s="29" t="s">
        <v>5332</v>
      </c>
      <c r="D857" s="30" t="s">
        <v>50</v>
      </c>
      <c r="E857" s="31"/>
      <c r="F857" s="32" t="n">
        <v>60</v>
      </c>
      <c r="G857" s="31"/>
      <c r="H857" s="31" t="n">
        <v>1</v>
      </c>
      <c r="I857" s="31" t="s">
        <v>119</v>
      </c>
      <c r="J857" s="29"/>
      <c r="K857" s="29" t="s">
        <v>5333</v>
      </c>
      <c r="L857" s="32" t="n">
        <v>3</v>
      </c>
      <c r="M857" s="33" t="s">
        <v>5334</v>
      </c>
      <c r="N857" s="34" t="n">
        <v>75007</v>
      </c>
      <c r="O857" s="35" t="s">
        <v>55</v>
      </c>
      <c r="P857" s="36" t="s">
        <v>5335</v>
      </c>
      <c r="Q857" s="36" t="n">
        <v>1</v>
      </c>
      <c r="R857" s="32" t="n">
        <v>368</v>
      </c>
      <c r="S857" s="32" t="n">
        <v>1</v>
      </c>
      <c r="T857" s="32"/>
      <c r="U857" s="32"/>
      <c r="V857" s="37"/>
      <c r="W857" s="32"/>
      <c r="X857" s="34"/>
      <c r="Y857" s="34"/>
      <c r="Z857" s="36"/>
      <c r="AA857" s="32" t="s">
        <v>5336</v>
      </c>
      <c r="AB857" s="32"/>
      <c r="AC857" s="38" t="str">
        <f aca="false">HYPERLINK("https://biocodex6--c.vf.force.com/0014L00000KFfeyQAD", "GEORGE FRANCOISE")</f>
        <v>GEORGE FRANCOISE</v>
      </c>
      <c r="AD857" s="38"/>
      <c r="AE857" s="39"/>
      <c r="AF857" s="40"/>
      <c r="AG857" s="41"/>
      <c r="AH857" s="32" t="s">
        <v>179</v>
      </c>
      <c r="AI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XEY857" s="27"/>
      <c r="XEZ857" s="27"/>
      <c r="XFA857" s="27"/>
      <c r="XFB857" s="27"/>
      <c r="XFC857" s="27"/>
      <c r="XFD857" s="27"/>
    </row>
    <row r="858" s="42" customFormat="true" ht="14.15" hidden="false" customHeight="true" outlineLevel="0" collapsed="false">
      <c r="A858" s="28" t="s">
        <v>5337</v>
      </c>
      <c r="B858" s="29" t="s">
        <v>2987</v>
      </c>
      <c r="C858" s="29" t="s">
        <v>5338</v>
      </c>
      <c r="D858" s="30" t="s">
        <v>50</v>
      </c>
      <c r="E858" s="30" t="s">
        <v>344</v>
      </c>
      <c r="F858" s="32" t="n">
        <v>54</v>
      </c>
      <c r="G858" s="31" t="s">
        <v>345</v>
      </c>
      <c r="H858" s="31" t="n">
        <v>1</v>
      </c>
      <c r="I858" s="31" t="s">
        <v>572</v>
      </c>
      <c r="J858" s="29"/>
      <c r="K858" s="29" t="s">
        <v>5339</v>
      </c>
      <c r="L858" s="32" t="n">
        <v>9</v>
      </c>
      <c r="M858" s="33" t="s">
        <v>5340</v>
      </c>
      <c r="N858" s="34" t="n">
        <v>75008</v>
      </c>
      <c r="O858" s="35" t="s">
        <v>55</v>
      </c>
      <c r="P858" s="36" t="s">
        <v>5341</v>
      </c>
      <c r="Q858" s="36" t="n">
        <v>1</v>
      </c>
      <c r="R858" s="32" t="n">
        <v>362</v>
      </c>
      <c r="S858" s="32" t="n">
        <v>1</v>
      </c>
      <c r="T858" s="32"/>
      <c r="U858" s="32"/>
      <c r="V858" s="37"/>
      <c r="W858" s="32"/>
      <c r="X858" s="34"/>
      <c r="Y858" s="34"/>
      <c r="Z858" s="36"/>
      <c r="AA858" s="32" t="s">
        <v>5342</v>
      </c>
      <c r="AB858" s="32" t="s">
        <v>5343</v>
      </c>
      <c r="AC858" s="38" t="str">
        <f aca="false">HYPERLINK("https://biocodex6--c.vf.force.com/0014L00000KFo06QAD", "LAFITTE THIERRY")</f>
        <v>LAFITTE THIERRY</v>
      </c>
      <c r="AD858" s="38" t="str">
        <f aca="false">HYPERLINK("https://annuairesante.ameli.fr/professionnels-de-sante/recherche/fiche-detaillee-B7c1mzE4Njq1.html", "LAFITTE THIERRY")</f>
        <v>LAFITTE THIERRY</v>
      </c>
      <c r="AE858" s="39"/>
      <c r="AF858" s="40"/>
      <c r="AG858" s="41"/>
      <c r="AH858" s="32" t="s">
        <v>179</v>
      </c>
      <c r="AI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XEY858" s="27"/>
      <c r="XEZ858" s="27"/>
      <c r="XFA858" s="27"/>
      <c r="XFB858" s="27"/>
      <c r="XFC858" s="27"/>
      <c r="XFD858" s="27"/>
    </row>
    <row r="859" s="42" customFormat="true" ht="14.15" hidden="false" customHeight="true" outlineLevel="0" collapsed="false">
      <c r="A859" s="28" t="s">
        <v>5344</v>
      </c>
      <c r="B859" s="29" t="s">
        <v>5345</v>
      </c>
      <c r="C859" s="29" t="s">
        <v>5346</v>
      </c>
      <c r="D859" s="30" t="s">
        <v>50</v>
      </c>
      <c r="E859" s="31"/>
      <c r="F859" s="32" t="n">
        <v>59</v>
      </c>
      <c r="G859" s="31"/>
      <c r="H859" s="31" t="n">
        <v>1</v>
      </c>
      <c r="I859" s="31" t="s">
        <v>119</v>
      </c>
      <c r="J859" s="29"/>
      <c r="K859" s="29" t="s">
        <v>4029</v>
      </c>
      <c r="L859" s="32" t="n">
        <v>1</v>
      </c>
      <c r="M859" s="33" t="s">
        <v>4030</v>
      </c>
      <c r="N859" s="34" t="n">
        <v>75007</v>
      </c>
      <c r="O859" s="35" t="s">
        <v>55</v>
      </c>
      <c r="P859" s="36"/>
      <c r="Q859" s="36" t="n">
        <v>4</v>
      </c>
      <c r="R859" s="32" t="n">
        <v>362</v>
      </c>
      <c r="S859" s="32" t="n">
        <v>1</v>
      </c>
      <c r="T859" s="32"/>
      <c r="U859" s="32"/>
      <c r="V859" s="37"/>
      <c r="W859" s="32"/>
      <c r="X859" s="34"/>
      <c r="Y859" s="34"/>
      <c r="Z859" s="36"/>
      <c r="AA859" s="32" t="s">
        <v>5347</v>
      </c>
      <c r="AB859" s="32"/>
      <c r="AC859" s="38" t="str">
        <f aca="false">HYPERLINK("https://biocodex6--c.vf.force.com/0014L00000KG1ZFQA1", "SALDUCCI DECOCK VANINA")</f>
        <v>SALDUCCI DECOCK VANINA</v>
      </c>
      <c r="AD859" s="38"/>
      <c r="AE859" s="39"/>
      <c r="AF859" s="40"/>
      <c r="AG859" s="41"/>
      <c r="AH859" s="32" t="s">
        <v>179</v>
      </c>
      <c r="AI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XEY859" s="27"/>
      <c r="XEZ859" s="27"/>
      <c r="XFA859" s="27"/>
      <c r="XFB859" s="27"/>
      <c r="XFC859" s="27"/>
      <c r="XFD859" s="27"/>
    </row>
    <row r="860" s="42" customFormat="true" ht="14.15" hidden="false" customHeight="true" outlineLevel="0" collapsed="false">
      <c r="A860" s="28" t="s">
        <v>1741</v>
      </c>
      <c r="B860" s="29" t="s">
        <v>883</v>
      </c>
      <c r="C860" s="29" t="s">
        <v>5348</v>
      </c>
      <c r="D860" s="30" t="s">
        <v>50</v>
      </c>
      <c r="E860" s="31"/>
      <c r="F860" s="32" t="n">
        <v>69</v>
      </c>
      <c r="G860" s="31" t="s">
        <v>61</v>
      </c>
      <c r="H860" s="31" t="n">
        <v>1</v>
      </c>
      <c r="I860" s="31" t="s">
        <v>77</v>
      </c>
      <c r="J860" s="29"/>
      <c r="K860" s="29" t="s">
        <v>5349</v>
      </c>
      <c r="L860" s="32" t="n">
        <v>41</v>
      </c>
      <c r="M860" s="33" t="s">
        <v>5350</v>
      </c>
      <c r="N860" s="34" t="n">
        <v>92200</v>
      </c>
      <c r="O860" s="35" t="s">
        <v>81</v>
      </c>
      <c r="P860" s="36" t="s">
        <v>5351</v>
      </c>
      <c r="Q860" s="36" t="n">
        <v>1</v>
      </c>
      <c r="R860" s="32" t="n">
        <v>362</v>
      </c>
      <c r="S860" s="32" t="n">
        <v>1</v>
      </c>
      <c r="T860" s="32"/>
      <c r="U860" s="32"/>
      <c r="V860" s="37"/>
      <c r="W860" s="32"/>
      <c r="X860" s="34"/>
      <c r="Y860" s="34"/>
      <c r="Z860" s="36"/>
      <c r="AA860" s="32" t="s">
        <v>5352</v>
      </c>
      <c r="AB860" s="32" t="s">
        <v>5353</v>
      </c>
      <c r="AC860" s="38" t="str">
        <f aca="false">HYPERLINK("https://biocodex6--c.vf.force.com/0014L00000KFyFcQAL", "REY JACQUES")</f>
        <v>REY JACQUES</v>
      </c>
      <c r="AD860" s="38" t="str">
        <f aca="false">HYPERLINK("https://annuairesante.ameli.fr/professionnels-de-sante/recherche/fiche-detaillee-CbA1kjsyMzu7.html", "REY JACQUES")</f>
        <v>REY JACQUES</v>
      </c>
      <c r="AE860" s="39"/>
      <c r="AF860" s="40"/>
      <c r="AG860" s="41"/>
      <c r="AH860" s="32" t="s">
        <v>179</v>
      </c>
      <c r="AI860" s="32"/>
      <c r="AL860" s="43" t="s">
        <v>5354</v>
      </c>
      <c r="AM860" s="43" t="s">
        <v>5355</v>
      </c>
      <c r="AN860" s="43" t="s">
        <v>5354</v>
      </c>
      <c r="AO860" s="43" t="s">
        <v>5355</v>
      </c>
      <c r="AP860" s="43" t="s">
        <v>5356</v>
      </c>
      <c r="AQ860" s="43" t="s">
        <v>5355</v>
      </c>
      <c r="AR860" s="43" t="s">
        <v>5354</v>
      </c>
      <c r="AS860" s="43" t="s">
        <v>5355</v>
      </c>
      <c r="AT860" s="43" t="s">
        <v>5354</v>
      </c>
      <c r="AU860" s="43" t="s">
        <v>5355</v>
      </c>
      <c r="XEY860" s="27"/>
      <c r="XEZ860" s="27"/>
      <c r="XFA860" s="27"/>
      <c r="XFB860" s="27"/>
      <c r="XFC860" s="27"/>
      <c r="XFD860" s="27"/>
    </row>
    <row r="861" s="42" customFormat="true" ht="14.15" hidden="false" customHeight="true" outlineLevel="0" collapsed="false">
      <c r="A861" s="28" t="s">
        <v>5357</v>
      </c>
      <c r="B861" s="29" t="s">
        <v>3270</v>
      </c>
      <c r="C861" s="29" t="s">
        <v>5358</v>
      </c>
      <c r="D861" s="30" t="s">
        <v>50</v>
      </c>
      <c r="E861" s="31"/>
      <c r="F861" s="32" t="n">
        <v>64</v>
      </c>
      <c r="G861" s="31"/>
      <c r="H861" s="31" t="n">
        <v>2</v>
      </c>
      <c r="I861" s="31" t="s">
        <v>99</v>
      </c>
      <c r="J861" s="29" t="s">
        <v>5359</v>
      </c>
      <c r="K861" s="29" t="s">
        <v>5360</v>
      </c>
      <c r="L861" s="32" t="n">
        <v>106</v>
      </c>
      <c r="M861" s="33" t="s">
        <v>4367</v>
      </c>
      <c r="N861" s="34" t="n">
        <v>75015</v>
      </c>
      <c r="O861" s="35" t="s">
        <v>55</v>
      </c>
      <c r="P861" s="36" t="s">
        <v>5361</v>
      </c>
      <c r="Q861" s="36" t="n">
        <v>5</v>
      </c>
      <c r="R861" s="32" t="n">
        <v>361</v>
      </c>
      <c r="S861" s="32" t="n">
        <v>1</v>
      </c>
      <c r="T861" s="32"/>
      <c r="U861" s="32"/>
      <c r="V861" s="37"/>
      <c r="W861" s="32"/>
      <c r="X861" s="34" t="n">
        <v>1</v>
      </c>
      <c r="Y861" s="34"/>
      <c r="Z861" s="36"/>
      <c r="AA861" s="32" t="s">
        <v>5362</v>
      </c>
      <c r="AB861" s="32"/>
      <c r="AC861" s="38" t="str">
        <f aca="false">HYPERLINK("https://biocodex6--c.vf.force.com/0014L00000KFhPlQAL", "JONOT ANDRE")</f>
        <v>JONOT ANDRE</v>
      </c>
      <c r="AD861" s="38"/>
      <c r="AE861" s="39" t="n">
        <v>45181.5833333333</v>
      </c>
      <c r="AF861" s="40"/>
      <c r="AG861" s="41"/>
      <c r="AH861" s="32" t="s">
        <v>179</v>
      </c>
      <c r="AI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XEY861" s="27"/>
      <c r="XEZ861" s="27"/>
      <c r="XFA861" s="27"/>
      <c r="XFB861" s="27"/>
      <c r="XFC861" s="27"/>
      <c r="XFD861" s="27"/>
    </row>
    <row r="862" s="42" customFormat="true" ht="14.15" hidden="false" customHeight="true" outlineLevel="0" collapsed="false">
      <c r="A862" s="28" t="s">
        <v>59</v>
      </c>
      <c r="B862" s="29" t="s">
        <v>2640</v>
      </c>
      <c r="C862" s="29" t="s">
        <v>5363</v>
      </c>
      <c r="D862" s="30" t="s">
        <v>50</v>
      </c>
      <c r="E862" s="31"/>
      <c r="F862" s="32" t="n">
        <v>67</v>
      </c>
      <c r="G862" s="31"/>
      <c r="H862" s="31" t="n">
        <v>1</v>
      </c>
      <c r="I862" s="31" t="s">
        <v>99</v>
      </c>
      <c r="J862" s="29" t="s">
        <v>5359</v>
      </c>
      <c r="K862" s="29" t="s">
        <v>5360</v>
      </c>
      <c r="L862" s="32" t="n">
        <v>106</v>
      </c>
      <c r="M862" s="33" t="s">
        <v>4367</v>
      </c>
      <c r="N862" s="34" t="n">
        <v>75015</v>
      </c>
      <c r="O862" s="35" t="s">
        <v>55</v>
      </c>
      <c r="P862" s="36" t="s">
        <v>5364</v>
      </c>
      <c r="Q862" s="36" t="n">
        <v>5</v>
      </c>
      <c r="R862" s="32" t="n">
        <v>360</v>
      </c>
      <c r="S862" s="32" t="n">
        <v>1</v>
      </c>
      <c r="T862" s="32"/>
      <c r="U862" s="32"/>
      <c r="V862" s="37"/>
      <c r="W862" s="32"/>
      <c r="X862" s="34" t="n">
        <v>1</v>
      </c>
      <c r="Y862" s="34"/>
      <c r="Z862" s="36"/>
      <c r="AA862" s="32" t="s">
        <v>5365</v>
      </c>
      <c r="AB862" s="32"/>
      <c r="AC862" s="38" t="str">
        <f aca="false">HYPERLINK("https://biocodex6--c.vf.force.com/0014L00000KFybkQAD", "RICHARD JEAN FRANCOIS")</f>
        <v>RICHARD JEAN FRANCOIS</v>
      </c>
      <c r="AD862" s="38"/>
      <c r="AE862" s="39" t="n">
        <v>45181.6666666667</v>
      </c>
      <c r="AF862" s="40"/>
      <c r="AG862" s="41"/>
      <c r="AH862" s="32" t="s">
        <v>179</v>
      </c>
      <c r="AI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XEY862" s="27"/>
      <c r="XEZ862" s="27"/>
      <c r="XFA862" s="27"/>
      <c r="XFB862" s="27"/>
      <c r="XFC862" s="27"/>
      <c r="XFD862" s="27"/>
    </row>
    <row r="863" s="42" customFormat="true" ht="14.15" hidden="false" customHeight="true" outlineLevel="0" collapsed="false">
      <c r="A863" s="28" t="s">
        <v>5366</v>
      </c>
      <c r="B863" s="29" t="s">
        <v>1409</v>
      </c>
      <c r="C863" s="29" t="s">
        <v>5367</v>
      </c>
      <c r="D863" s="30" t="s">
        <v>244</v>
      </c>
      <c r="E863" s="30" t="s">
        <v>245</v>
      </c>
      <c r="F863" s="32" t="n">
        <v>64</v>
      </c>
      <c r="G863" s="31" t="s">
        <v>98</v>
      </c>
      <c r="H863" s="31" t="n">
        <v>2</v>
      </c>
      <c r="I863" s="46" t="s">
        <v>173</v>
      </c>
      <c r="J863" s="29"/>
      <c r="K863" s="29" t="s">
        <v>5368</v>
      </c>
      <c r="L863" s="32" t="n">
        <v>15</v>
      </c>
      <c r="M863" s="33" t="s">
        <v>1988</v>
      </c>
      <c r="N863" s="34" t="n">
        <v>75016</v>
      </c>
      <c r="O863" s="35" t="s">
        <v>55</v>
      </c>
      <c r="P863" s="36" t="s">
        <v>5369</v>
      </c>
      <c r="Q863" s="36" t="n">
        <v>1</v>
      </c>
      <c r="R863" s="32" t="n">
        <v>360</v>
      </c>
      <c r="S863" s="32" t="n">
        <v>1</v>
      </c>
      <c r="T863" s="32"/>
      <c r="U863" s="32" t="n">
        <v>3</v>
      </c>
      <c r="V863" s="37"/>
      <c r="W863" s="32" t="n">
        <v>3</v>
      </c>
      <c r="X863" s="34"/>
      <c r="Y863" s="34" t="n">
        <v>3</v>
      </c>
      <c r="Z863" s="32" t="s">
        <v>5370</v>
      </c>
      <c r="AA863" s="32" t="s">
        <v>5371</v>
      </c>
      <c r="AB863" s="44" t="s">
        <v>5372</v>
      </c>
      <c r="AC863" s="38" t="str">
        <f aca="false">HYPERLINK("https://biocodex6--c.vf.force.com/0014L00000KFQIJQA5", "ALVAREZ SILVIA")</f>
        <v>ALVAREZ SILVIA</v>
      </c>
      <c r="AD863" s="38" t="str">
        <f aca="false">HYPERLINK("https://annuairesante.ameli.fr/professionnels-de-sante/recherche/fiche-detaillee-B7c1lTA0MzC0.html", "ALVAREZ SILVIA")</f>
        <v>ALVAREZ SILVIA</v>
      </c>
      <c r="AE863" s="39" t="n">
        <v>45441.6041666667</v>
      </c>
      <c r="AF863" s="40"/>
      <c r="AG863" s="41" t="n">
        <v>45363.625</v>
      </c>
      <c r="AH863" s="32" t="s">
        <v>70</v>
      </c>
      <c r="AI863" s="32" t="s">
        <v>106</v>
      </c>
      <c r="AJ863" s="32"/>
      <c r="AK863" s="32"/>
      <c r="AL863" s="32"/>
      <c r="AM863" s="32"/>
      <c r="AN863" s="32"/>
      <c r="AO863" s="43" t="s">
        <v>5373</v>
      </c>
      <c r="AP863" s="32"/>
      <c r="AQ863" s="32"/>
      <c r="AR863" s="32"/>
      <c r="AS863" s="43" t="s">
        <v>5373</v>
      </c>
      <c r="AT863" s="32"/>
      <c r="AU863" s="32"/>
      <c r="XEY863" s="27"/>
      <c r="XEZ863" s="27"/>
      <c r="XFA863" s="27"/>
      <c r="XFB863" s="27"/>
      <c r="XFC863" s="27"/>
      <c r="XFD863" s="27"/>
    </row>
    <row r="864" s="42" customFormat="true" ht="14.15" hidden="false" customHeight="true" outlineLevel="0" collapsed="false">
      <c r="A864" s="28" t="s">
        <v>5374</v>
      </c>
      <c r="B864" s="29" t="s">
        <v>399</v>
      </c>
      <c r="C864" s="29" t="s">
        <v>5375</v>
      </c>
      <c r="D864" s="30" t="s">
        <v>50</v>
      </c>
      <c r="E864" s="31"/>
      <c r="F864" s="32" t="n">
        <v>61</v>
      </c>
      <c r="G864" s="31" t="s">
        <v>98</v>
      </c>
      <c r="H864" s="31" t="n">
        <v>1</v>
      </c>
      <c r="I864" s="31" t="s">
        <v>233</v>
      </c>
      <c r="J864" s="29"/>
      <c r="K864" s="29" t="s">
        <v>3635</v>
      </c>
      <c r="L864" s="32" t="n">
        <v>56</v>
      </c>
      <c r="M864" s="33" t="s">
        <v>2742</v>
      </c>
      <c r="N864" s="34" t="n">
        <v>75015</v>
      </c>
      <c r="O864" s="35" t="s">
        <v>55</v>
      </c>
      <c r="P864" s="36" t="s">
        <v>5376</v>
      </c>
      <c r="Q864" s="36" t="n">
        <v>3</v>
      </c>
      <c r="R864" s="32" t="n">
        <v>359</v>
      </c>
      <c r="S864" s="32" t="n">
        <v>1</v>
      </c>
      <c r="T864" s="32"/>
      <c r="U864" s="32"/>
      <c r="V864" s="37"/>
      <c r="W864" s="32"/>
      <c r="X864" s="34"/>
      <c r="Y864" s="34"/>
      <c r="Z864" s="36"/>
      <c r="AA864" s="32" t="s">
        <v>5377</v>
      </c>
      <c r="AB864" s="32" t="s">
        <v>5378</v>
      </c>
      <c r="AC864" s="38" t="str">
        <f aca="false">HYPERLINK("https://biocodex6--c.vf.force.com/0014L00000KFo2lQAD", "LEPRISE OLIVIER")</f>
        <v>LEPRISE OLIVIER</v>
      </c>
      <c r="AD864" s="38" t="str">
        <f aca="false">HYPERLINK("https://annuairesante.ameli.fr/professionnels-de-sante/recherche/fiche-detaillee-B7c1lzU2NDSz.html", "LEPRISE OLIVIER")</f>
        <v>LEPRISE OLIVIER</v>
      </c>
      <c r="AE864" s="39"/>
      <c r="AF864" s="40"/>
      <c r="AG864" s="41"/>
      <c r="AH864" s="32" t="s">
        <v>179</v>
      </c>
      <c r="AI864" s="32"/>
      <c r="AL864" s="43" t="s">
        <v>5379</v>
      </c>
      <c r="AM864" s="43" t="s">
        <v>137</v>
      </c>
      <c r="AN864" s="43" t="s">
        <v>5379</v>
      </c>
      <c r="AO864" s="43" t="s">
        <v>137</v>
      </c>
      <c r="AP864" s="43" t="s">
        <v>5379</v>
      </c>
      <c r="AQ864" s="43" t="s">
        <v>137</v>
      </c>
      <c r="AR864" s="32"/>
      <c r="AS864" s="32"/>
      <c r="AT864" s="43" t="s">
        <v>5379</v>
      </c>
      <c r="AU864" s="43" t="s">
        <v>137</v>
      </c>
      <c r="XEY864" s="27"/>
      <c r="XEZ864" s="27"/>
      <c r="XFA864" s="27"/>
      <c r="XFB864" s="27"/>
      <c r="XFC864" s="27"/>
      <c r="XFD864" s="27"/>
    </row>
    <row r="865" s="42" customFormat="true" ht="14.15" hidden="false" customHeight="true" outlineLevel="0" collapsed="false">
      <c r="A865" s="28" t="s">
        <v>5380</v>
      </c>
      <c r="B865" s="29" t="s">
        <v>117</v>
      </c>
      <c r="C865" s="29" t="s">
        <v>5381</v>
      </c>
      <c r="D865" s="30" t="s">
        <v>50</v>
      </c>
      <c r="E865" s="30" t="s">
        <v>776</v>
      </c>
      <c r="F865" s="32" t="n">
        <v>71</v>
      </c>
      <c r="G865" s="31" t="s">
        <v>98</v>
      </c>
      <c r="H865" s="31" t="n">
        <v>1</v>
      </c>
      <c r="I865" s="31" t="s">
        <v>295</v>
      </c>
      <c r="J865" s="29"/>
      <c r="K865" s="29" t="s">
        <v>5382</v>
      </c>
      <c r="L865" s="32" t="n">
        <v>40</v>
      </c>
      <c r="M865" s="33" t="s">
        <v>1050</v>
      </c>
      <c r="N865" s="34" t="n">
        <v>92300</v>
      </c>
      <c r="O865" s="35" t="s">
        <v>298</v>
      </c>
      <c r="P865" s="36" t="s">
        <v>5383</v>
      </c>
      <c r="Q865" s="36" t="n">
        <v>3</v>
      </c>
      <c r="R865" s="32" t="n">
        <v>359</v>
      </c>
      <c r="S865" s="32" t="n">
        <v>1</v>
      </c>
      <c r="T865" s="32"/>
      <c r="U865" s="32"/>
      <c r="V865" s="37"/>
      <c r="W865" s="32"/>
      <c r="X865" s="34"/>
      <c r="Y865" s="34"/>
      <c r="Z865" s="36"/>
      <c r="AA865" s="32" t="s">
        <v>5384</v>
      </c>
      <c r="AB865" s="32" t="s">
        <v>5385</v>
      </c>
      <c r="AC865" s="38" t="str">
        <f aca="false">HYPERLINK("https://biocodex6--c.vf.force.com/0014L00000KFm7fQAD", "LARGET DOMINIQUE")</f>
        <v>LARGET DOMINIQUE</v>
      </c>
      <c r="AD865" s="38" t="str">
        <f aca="false">HYPERLINK("https://annuairesante.ameli.fr/professionnels-de-sante/recherche/fiche-detaillee-CbA1kjU2MDSz.html", "LARGET DOMINIQUE")</f>
        <v>LARGET DOMINIQUE</v>
      </c>
      <c r="AE865" s="39"/>
      <c r="AF865" s="40"/>
      <c r="AG865" s="41"/>
      <c r="AH865" s="32" t="s">
        <v>179</v>
      </c>
      <c r="AI865" s="32"/>
      <c r="AL865" s="43" t="s">
        <v>5386</v>
      </c>
      <c r="AM865" s="43" t="s">
        <v>5387</v>
      </c>
      <c r="AN865" s="43" t="s">
        <v>5386</v>
      </c>
      <c r="AO865" s="43" t="s">
        <v>5387</v>
      </c>
      <c r="AP865" s="43" t="s">
        <v>5386</v>
      </c>
      <c r="AQ865" s="43" t="s">
        <v>5387</v>
      </c>
      <c r="AR865" s="43" t="s">
        <v>5386</v>
      </c>
      <c r="AS865" s="43" t="s">
        <v>5387</v>
      </c>
      <c r="AT865" s="43" t="s">
        <v>5386</v>
      </c>
      <c r="AU865" s="43" t="s">
        <v>5387</v>
      </c>
      <c r="XEY865" s="27"/>
      <c r="XEZ865" s="27"/>
      <c r="XFA865" s="27"/>
      <c r="XFB865" s="27"/>
      <c r="XFC865" s="27"/>
      <c r="XFD865" s="27"/>
    </row>
    <row r="866" s="42" customFormat="true" ht="14.15" hidden="false" customHeight="true" outlineLevel="0" collapsed="false">
      <c r="A866" s="28" t="s">
        <v>5388</v>
      </c>
      <c r="B866" s="29" t="s">
        <v>5389</v>
      </c>
      <c r="C866" s="29" t="s">
        <v>5390</v>
      </c>
      <c r="D866" s="30" t="s">
        <v>50</v>
      </c>
      <c r="E866" s="31"/>
      <c r="F866" s="32" t="n">
        <v>48</v>
      </c>
      <c r="G866" s="31"/>
      <c r="H866" s="31" t="n">
        <v>2</v>
      </c>
      <c r="I866" s="31" t="s">
        <v>197</v>
      </c>
      <c r="J866" s="29"/>
      <c r="K866" s="29" t="s">
        <v>5391</v>
      </c>
      <c r="L866" s="32" t="n">
        <v>235</v>
      </c>
      <c r="M866" s="33" t="s">
        <v>414</v>
      </c>
      <c r="N866" s="34" t="n">
        <v>75017</v>
      </c>
      <c r="O866" s="35" t="s">
        <v>55</v>
      </c>
      <c r="P866" s="36" t="s">
        <v>5392</v>
      </c>
      <c r="Q866" s="36" t="n">
        <v>1</v>
      </c>
      <c r="R866" s="32" t="n">
        <v>357</v>
      </c>
      <c r="S866" s="32" t="n">
        <v>1</v>
      </c>
      <c r="T866" s="32"/>
      <c r="U866" s="32"/>
      <c r="V866" s="37"/>
      <c r="W866" s="32"/>
      <c r="X866" s="34"/>
      <c r="Y866" s="34"/>
      <c r="Z866" s="36"/>
      <c r="AA866" s="32" t="s">
        <v>5393</v>
      </c>
      <c r="AB866" s="32"/>
      <c r="AC866" s="38" t="str">
        <f aca="false">HYPERLINK("https://biocodex6--c.vf.force.com/0014L00000KG3FXQA1", "TEXIER PRAT SANDRA")</f>
        <v>TEXIER PRAT SANDRA</v>
      </c>
      <c r="AD866" s="38"/>
      <c r="AE866" s="39"/>
      <c r="AF866" s="40"/>
      <c r="AG866" s="41"/>
      <c r="AH866" s="32" t="s">
        <v>179</v>
      </c>
      <c r="AI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XEY866" s="27"/>
      <c r="XEZ866" s="27"/>
      <c r="XFA866" s="27"/>
      <c r="XFB866" s="27"/>
      <c r="XFC866" s="27"/>
      <c r="XFD866" s="27"/>
    </row>
    <row r="867" s="42" customFormat="true" ht="14.15" hidden="false" customHeight="true" outlineLevel="0" collapsed="false">
      <c r="A867" s="28" t="s">
        <v>5394</v>
      </c>
      <c r="B867" s="29" t="s">
        <v>2901</v>
      </c>
      <c r="C867" s="29" t="s">
        <v>5395</v>
      </c>
      <c r="D867" s="30" t="s">
        <v>50</v>
      </c>
      <c r="E867" s="31"/>
      <c r="F867" s="32" t="n">
        <v>59</v>
      </c>
      <c r="G867" s="31" t="s">
        <v>98</v>
      </c>
      <c r="H867" s="31" t="n">
        <v>3</v>
      </c>
      <c r="I867" s="31" t="s">
        <v>295</v>
      </c>
      <c r="J867" s="29"/>
      <c r="K867" s="29" t="s">
        <v>5396</v>
      </c>
      <c r="L867" s="32" t="n">
        <v>54</v>
      </c>
      <c r="M867" s="33" t="s">
        <v>3510</v>
      </c>
      <c r="N867" s="34" t="n">
        <v>92300</v>
      </c>
      <c r="O867" s="35" t="s">
        <v>298</v>
      </c>
      <c r="P867" s="36" t="s">
        <v>5397</v>
      </c>
      <c r="Q867" s="36" t="n">
        <v>1</v>
      </c>
      <c r="R867" s="32" t="n">
        <v>356</v>
      </c>
      <c r="S867" s="32" t="n">
        <v>1</v>
      </c>
      <c r="T867" s="32"/>
      <c r="U867" s="32"/>
      <c r="V867" s="37"/>
      <c r="W867" s="32"/>
      <c r="X867" s="34"/>
      <c r="Y867" s="34"/>
      <c r="Z867" s="36"/>
      <c r="AA867" s="32" t="s">
        <v>5398</v>
      </c>
      <c r="AB867" s="32" t="s">
        <v>5399</v>
      </c>
      <c r="AC867" s="38" t="str">
        <f aca="false">HYPERLINK("https://biocodex6--c.vf.force.com/0014L00000KG1reQAD", "SASPORTAS RAPHAEL")</f>
        <v>SASPORTAS RAPHAEL</v>
      </c>
      <c r="AD867" s="38" t="str">
        <f aca="false">HYPERLINK("https://annuairesante.ameli.fr/professionnels-de-sante/recherche/fiche-detaillee-CbA1kzQwNjuz.html", "SASPORTAS RAPHAEL")</f>
        <v>SASPORTAS RAPHAEL</v>
      </c>
      <c r="AE867" s="39" t="n">
        <v>45225.4583333333</v>
      </c>
      <c r="AF867" s="40"/>
      <c r="AG867" s="41"/>
      <c r="AH867" s="32" t="s">
        <v>179</v>
      </c>
      <c r="AI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XEY867" s="27"/>
      <c r="XEZ867" s="27"/>
      <c r="XFA867" s="27"/>
      <c r="XFB867" s="27"/>
      <c r="XFC867" s="27"/>
      <c r="XFD867" s="27"/>
    </row>
    <row r="868" s="42" customFormat="true" ht="14.15" hidden="false" customHeight="true" outlineLevel="0" collapsed="false">
      <c r="A868" s="28" t="s">
        <v>5400</v>
      </c>
      <c r="B868" s="29" t="s">
        <v>1114</v>
      </c>
      <c r="C868" s="29" t="s">
        <v>5401</v>
      </c>
      <c r="D868" s="30" t="s">
        <v>50</v>
      </c>
      <c r="E868" s="31"/>
      <c r="F868" s="32" t="n">
        <v>42</v>
      </c>
      <c r="G868" s="31"/>
      <c r="H868" s="31" t="n">
        <v>2</v>
      </c>
      <c r="I868" s="31" t="s">
        <v>233</v>
      </c>
      <c r="J868" s="29"/>
      <c r="K868" s="29" t="s">
        <v>973</v>
      </c>
      <c r="L868" s="32" t="n">
        <v>64</v>
      </c>
      <c r="M868" s="33" t="s">
        <v>974</v>
      </c>
      <c r="N868" s="34" t="n">
        <v>75015</v>
      </c>
      <c r="O868" s="35" t="s">
        <v>55</v>
      </c>
      <c r="P868" s="36"/>
      <c r="Q868" s="36" t="n">
        <v>4</v>
      </c>
      <c r="R868" s="32" t="n">
        <v>356</v>
      </c>
      <c r="S868" s="32" t="n">
        <v>1</v>
      </c>
      <c r="T868" s="32"/>
      <c r="U868" s="32"/>
      <c r="V868" s="37"/>
      <c r="W868" s="32"/>
      <c r="X868" s="34"/>
      <c r="Y868" s="34"/>
      <c r="Z868" s="36"/>
      <c r="AA868" s="32" t="s">
        <v>5402</v>
      </c>
      <c r="AB868" s="32"/>
      <c r="AC868" s="38" t="str">
        <f aca="false">HYPERLINK("https://biocodex6--c.vf.force.com/0014L00000KFu6TQAT", "NGWEM ELSA")</f>
        <v>NGWEM ELSA</v>
      </c>
      <c r="AD868" s="38"/>
      <c r="AE868" s="39"/>
      <c r="AF868" s="40"/>
      <c r="AG868" s="41"/>
      <c r="AH868" s="32" t="s">
        <v>179</v>
      </c>
      <c r="AI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XEY868" s="27"/>
      <c r="XEZ868" s="27"/>
      <c r="XFA868" s="27"/>
      <c r="XFB868" s="27"/>
      <c r="XFC868" s="27"/>
      <c r="XFD868" s="27"/>
    </row>
    <row r="869" s="42" customFormat="true" ht="14.15" hidden="false" customHeight="true" outlineLevel="0" collapsed="false">
      <c r="A869" s="28" t="s">
        <v>5403</v>
      </c>
      <c r="B869" s="29" t="s">
        <v>204</v>
      </c>
      <c r="C869" s="29" t="s">
        <v>5404</v>
      </c>
      <c r="D869" s="30" t="s">
        <v>50</v>
      </c>
      <c r="E869" s="31"/>
      <c r="F869" s="32" t="n">
        <v>0</v>
      </c>
      <c r="G869" s="31" t="s">
        <v>1466</v>
      </c>
      <c r="H869" s="31" t="n">
        <v>1</v>
      </c>
      <c r="I869" s="31" t="s">
        <v>119</v>
      </c>
      <c r="J869" s="29"/>
      <c r="K869" s="29" t="s">
        <v>1935</v>
      </c>
      <c r="L869" s="32" t="n">
        <v>10</v>
      </c>
      <c r="M869" s="33" t="s">
        <v>1474</v>
      </c>
      <c r="N869" s="34" t="n">
        <v>75007</v>
      </c>
      <c r="O869" s="35" t="s">
        <v>55</v>
      </c>
      <c r="P869" s="36" t="s">
        <v>5405</v>
      </c>
      <c r="Q869" s="36" t="n">
        <v>1</v>
      </c>
      <c r="R869" s="32" t="n">
        <v>352</v>
      </c>
      <c r="S869" s="32" t="n">
        <v>1</v>
      </c>
      <c r="T869" s="32"/>
      <c r="U869" s="32"/>
      <c r="V869" s="37"/>
      <c r="W869" s="32"/>
      <c r="X869" s="34"/>
      <c r="Y869" s="34"/>
      <c r="Z869" s="36"/>
      <c r="AA869" s="32" t="s">
        <v>5406</v>
      </c>
      <c r="AB869" s="32" t="s">
        <v>5407</v>
      </c>
      <c r="AC869" s="38" t="str">
        <f aca="false">HYPERLINK("https://biocodex6--c.vf.force.com/0014L00000KG8zLQAT", "LIGEN NATHALIE")</f>
        <v>LIGEN NATHALIE</v>
      </c>
      <c r="AD869" s="38" t="str">
        <f aca="false">HYPERLINK("https://annuairesante.ameli.fr/professionnels-de-sante/recherche/fiche-detaillee-B7c1kjM0MzSx.html", "LIGEN NATHALIE")</f>
        <v>LIGEN NATHALIE</v>
      </c>
      <c r="AE869" s="39"/>
      <c r="AF869" s="40"/>
      <c r="AG869" s="41"/>
      <c r="AH869" s="32" t="s">
        <v>179</v>
      </c>
      <c r="AI869" s="32"/>
      <c r="AJ869" s="42" t="s">
        <v>1128</v>
      </c>
      <c r="AL869" s="32"/>
      <c r="AM869" s="32"/>
      <c r="AN869" s="43" t="s">
        <v>639</v>
      </c>
      <c r="AO869" s="43" t="s">
        <v>137</v>
      </c>
      <c r="AP869" s="43" t="s">
        <v>639</v>
      </c>
      <c r="AQ869" s="43" t="s">
        <v>137</v>
      </c>
      <c r="AR869" s="43" t="s">
        <v>639</v>
      </c>
      <c r="AS869" s="43" t="s">
        <v>137</v>
      </c>
      <c r="AT869" s="43" t="s">
        <v>639</v>
      </c>
      <c r="AU869" s="43" t="s">
        <v>137</v>
      </c>
      <c r="XEY869" s="27"/>
      <c r="XEZ869" s="27"/>
      <c r="XFA869" s="27"/>
      <c r="XFB869" s="27"/>
      <c r="XFC869" s="27"/>
      <c r="XFD869" s="27"/>
    </row>
    <row r="870" s="42" customFormat="true" ht="14.15" hidden="false" customHeight="true" outlineLevel="0" collapsed="false">
      <c r="A870" s="28" t="s">
        <v>5408</v>
      </c>
      <c r="B870" s="29" t="s">
        <v>5409</v>
      </c>
      <c r="C870" s="29" t="s">
        <v>5410</v>
      </c>
      <c r="D870" s="30" t="s">
        <v>50</v>
      </c>
      <c r="E870" s="30" t="s">
        <v>776</v>
      </c>
      <c r="F870" s="32" t="n">
        <v>61</v>
      </c>
      <c r="G870" s="31" t="s">
        <v>98</v>
      </c>
      <c r="H870" s="31" t="n">
        <v>1</v>
      </c>
      <c r="I870" s="31" t="s">
        <v>295</v>
      </c>
      <c r="J870" s="29"/>
      <c r="K870" s="29" t="s">
        <v>4014</v>
      </c>
      <c r="L870" s="32" t="n">
        <v>72</v>
      </c>
      <c r="M870" s="33" t="s">
        <v>2864</v>
      </c>
      <c r="N870" s="34" t="n">
        <v>92300</v>
      </c>
      <c r="O870" s="35" t="s">
        <v>298</v>
      </c>
      <c r="P870" s="36" t="s">
        <v>4015</v>
      </c>
      <c r="Q870" s="36" t="n">
        <v>4</v>
      </c>
      <c r="R870" s="32" t="n">
        <v>351</v>
      </c>
      <c r="S870" s="32" t="n">
        <v>1</v>
      </c>
      <c r="T870" s="32"/>
      <c r="U870" s="32"/>
      <c r="V870" s="37"/>
      <c r="W870" s="32"/>
      <c r="X870" s="34"/>
      <c r="Y870" s="34"/>
      <c r="Z870" s="36"/>
      <c r="AA870" s="32" t="s">
        <v>5411</v>
      </c>
      <c r="AB870" s="32" t="s">
        <v>5412</v>
      </c>
      <c r="AC870" s="38" t="str">
        <f aca="false">HYPERLINK("https://biocodex6--c.vf.force.com/0014L00000KG2YzQAL", "TAOUSS FREDERIK")</f>
        <v>TAOUSS FREDERIK</v>
      </c>
      <c r="AD870" s="38" t="str">
        <f aca="false">HYPERLINK("https://annuairesante.ameli.fr/professionnels-de-sante/recherche/fiche-detaillee-CbA1lTI3ODG2.html", "TAOUSS FREDERIK")</f>
        <v>TAOUSS FREDERIK</v>
      </c>
      <c r="AE870" s="39"/>
      <c r="AF870" s="40"/>
      <c r="AG870" s="41"/>
      <c r="AH870" s="32" t="s">
        <v>179</v>
      </c>
      <c r="AI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XEY870" s="27"/>
      <c r="XEZ870" s="27"/>
      <c r="XFA870" s="27"/>
      <c r="XFB870" s="27"/>
      <c r="XFC870" s="27"/>
      <c r="XFD870" s="27"/>
    </row>
    <row r="871" s="42" customFormat="true" ht="14.15" hidden="false" customHeight="true" outlineLevel="0" collapsed="false">
      <c r="A871" s="28" t="s">
        <v>5413</v>
      </c>
      <c r="B871" s="29" t="s">
        <v>4847</v>
      </c>
      <c r="C871" s="29" t="s">
        <v>5414</v>
      </c>
      <c r="D871" s="30" t="s">
        <v>50</v>
      </c>
      <c r="E871" s="30" t="s">
        <v>245</v>
      </c>
      <c r="F871" s="32" t="n">
        <v>49</v>
      </c>
      <c r="G871" s="31" t="s">
        <v>98</v>
      </c>
      <c r="H871" s="31" t="n">
        <v>1</v>
      </c>
      <c r="I871" s="31" t="s">
        <v>77</v>
      </c>
      <c r="J871" s="29"/>
      <c r="K871" s="29" t="s">
        <v>3187</v>
      </c>
      <c r="L871" s="32" t="n">
        <v>11</v>
      </c>
      <c r="M871" s="33" t="s">
        <v>3188</v>
      </c>
      <c r="N871" s="34" t="n">
        <v>92200</v>
      </c>
      <c r="O871" s="35" t="s">
        <v>81</v>
      </c>
      <c r="P871" s="36" t="s">
        <v>3189</v>
      </c>
      <c r="Q871" s="36" t="n">
        <v>2</v>
      </c>
      <c r="R871" s="32" t="n">
        <v>351</v>
      </c>
      <c r="S871" s="32" t="n">
        <v>1</v>
      </c>
      <c r="T871" s="32"/>
      <c r="U871" s="32"/>
      <c r="V871" s="37"/>
      <c r="W871" s="32"/>
      <c r="X871" s="34"/>
      <c r="Y871" s="34"/>
      <c r="Z871" s="36"/>
      <c r="AA871" s="32" t="s">
        <v>5415</v>
      </c>
      <c r="AB871" s="32" t="s">
        <v>5416</v>
      </c>
      <c r="AC871" s="38" t="str">
        <f aca="false">HYPERLINK("https://biocodex6--c.vf.force.com/0014L00000KFlwsQAD", "LE DUC SOLUS MARINE")</f>
        <v>LE DUC SOLUS MARINE</v>
      </c>
      <c r="AD871" s="38" t="str">
        <f aca="false">HYPERLINK("https://annuairesante.ameli.fr/professionnels-de-sante/recherche/fiche-detaillee-CbA1kzozMzaz.html", "LE DUC SOLUS MARINE")</f>
        <v>LE DUC SOLUS MARINE</v>
      </c>
      <c r="AE871" s="39"/>
      <c r="AF871" s="40"/>
      <c r="AG871" s="41"/>
      <c r="AH871" s="32" t="s">
        <v>179</v>
      </c>
      <c r="AI871" s="32"/>
      <c r="AL871" s="43" t="s">
        <v>263</v>
      </c>
      <c r="AM871" s="43" t="s">
        <v>137</v>
      </c>
      <c r="AN871" s="43" t="s">
        <v>263</v>
      </c>
      <c r="AO871" s="43" t="s">
        <v>137</v>
      </c>
      <c r="AP871" s="43" t="s">
        <v>639</v>
      </c>
      <c r="AQ871" s="43" t="s">
        <v>137</v>
      </c>
      <c r="AR871" s="43" t="s">
        <v>263</v>
      </c>
      <c r="AS871" s="43" t="s">
        <v>137</v>
      </c>
      <c r="AT871" s="43" t="s">
        <v>263</v>
      </c>
      <c r="AU871" s="43" t="s">
        <v>137</v>
      </c>
      <c r="XEY871" s="27"/>
      <c r="XEZ871" s="27"/>
      <c r="XFA871" s="27"/>
      <c r="XFB871" s="27"/>
      <c r="XFC871" s="27"/>
      <c r="XFD871" s="27"/>
    </row>
    <row r="872" s="42" customFormat="true" ht="14.15" hidden="false" customHeight="true" outlineLevel="0" collapsed="false">
      <c r="A872" s="28" t="s">
        <v>5417</v>
      </c>
      <c r="B872" s="29" t="s">
        <v>195</v>
      </c>
      <c r="C872" s="29" t="s">
        <v>5418</v>
      </c>
      <c r="D872" s="30" t="s">
        <v>50</v>
      </c>
      <c r="E872" s="30" t="s">
        <v>776</v>
      </c>
      <c r="F872" s="32" t="n">
        <v>65</v>
      </c>
      <c r="G872" s="31" t="s">
        <v>98</v>
      </c>
      <c r="H872" s="31" t="n">
        <v>1</v>
      </c>
      <c r="I872" s="31" t="s">
        <v>295</v>
      </c>
      <c r="J872" s="29"/>
      <c r="K872" s="29" t="s">
        <v>5419</v>
      </c>
      <c r="L872" s="32" t="n">
        <v>58</v>
      </c>
      <c r="M872" s="33" t="s">
        <v>3510</v>
      </c>
      <c r="N872" s="34" t="n">
        <v>92300</v>
      </c>
      <c r="O872" s="35" t="s">
        <v>298</v>
      </c>
      <c r="P872" s="36" t="s">
        <v>5420</v>
      </c>
      <c r="Q872" s="36" t="n">
        <v>2</v>
      </c>
      <c r="R872" s="32" t="n">
        <v>350</v>
      </c>
      <c r="S872" s="32" t="n">
        <v>1</v>
      </c>
      <c r="T872" s="32"/>
      <c r="U872" s="32"/>
      <c r="V872" s="37"/>
      <c r="W872" s="32"/>
      <c r="X872" s="34"/>
      <c r="Y872" s="34"/>
      <c r="Z872" s="36"/>
      <c r="AA872" s="32" t="s">
        <v>5421</v>
      </c>
      <c r="AB872" s="32" t="s">
        <v>5422</v>
      </c>
      <c r="AC872" s="38" t="str">
        <f aca="false">HYPERLINK("https://biocodex6--c.vf.force.com/0014L00000KG6AlQAL", "ZERR PHILIPPE")</f>
        <v>ZERR PHILIPPE</v>
      </c>
      <c r="AD872" s="38" t="str">
        <f aca="false">HYPERLINK("https://annuairesante.ameli.fr/professionnels-de-sante/recherche/fiche-detaillee-CbA1lTIwOTS1.html", "ZERR PHILIPPE")</f>
        <v>ZERR PHILIPPE</v>
      </c>
      <c r="AE872" s="39" t="n">
        <v>45320.5625</v>
      </c>
      <c r="AF872" s="40" t="s">
        <v>5423</v>
      </c>
      <c r="AG872" s="41"/>
      <c r="AH872" s="32" t="s">
        <v>179</v>
      </c>
      <c r="AI872" s="32"/>
      <c r="AL872" s="43" t="s">
        <v>3831</v>
      </c>
      <c r="AM872" s="43" t="s">
        <v>262</v>
      </c>
      <c r="AN872" s="43" t="s">
        <v>3831</v>
      </c>
      <c r="AO872" s="43" t="s">
        <v>661</v>
      </c>
      <c r="AP872" s="43" t="s">
        <v>3831</v>
      </c>
      <c r="AQ872" s="43" t="s">
        <v>262</v>
      </c>
      <c r="AR872" s="43" t="s">
        <v>3831</v>
      </c>
      <c r="AS872" s="43" t="s">
        <v>262</v>
      </c>
      <c r="AT872" s="43" t="s">
        <v>3831</v>
      </c>
      <c r="AU872" s="43" t="s">
        <v>262</v>
      </c>
      <c r="XEY872" s="27"/>
      <c r="XEZ872" s="27"/>
      <c r="XFA872" s="27"/>
      <c r="XFB872" s="27"/>
      <c r="XFC872" s="27"/>
      <c r="XFD872" s="27"/>
    </row>
    <row r="873" s="42" customFormat="true" ht="14.15" hidden="false" customHeight="true" outlineLevel="0" collapsed="false">
      <c r="A873" s="28" t="s">
        <v>5424</v>
      </c>
      <c r="B873" s="29" t="s">
        <v>958</v>
      </c>
      <c r="C873" s="29" t="s">
        <v>5425</v>
      </c>
      <c r="D873" s="30" t="s">
        <v>50</v>
      </c>
      <c r="E873" s="30" t="s">
        <v>776</v>
      </c>
      <c r="F873" s="32" t="n">
        <v>62</v>
      </c>
      <c r="G873" s="31" t="s">
        <v>98</v>
      </c>
      <c r="H873" s="31" t="n">
        <v>1</v>
      </c>
      <c r="I873" s="31" t="s">
        <v>173</v>
      </c>
      <c r="J873" s="29"/>
      <c r="K873" s="29" t="s">
        <v>5426</v>
      </c>
      <c r="L873" s="32" t="n">
        <v>79</v>
      </c>
      <c r="M873" s="33" t="s">
        <v>1832</v>
      </c>
      <c r="N873" s="34" t="n">
        <v>75016</v>
      </c>
      <c r="O873" s="35" t="s">
        <v>55</v>
      </c>
      <c r="P873" s="36" t="s">
        <v>5427</v>
      </c>
      <c r="Q873" s="36" t="n">
        <v>1</v>
      </c>
      <c r="R873" s="32" t="n">
        <v>348</v>
      </c>
      <c r="S873" s="32" t="n">
        <v>1</v>
      </c>
      <c r="T873" s="32"/>
      <c r="U873" s="32"/>
      <c r="V873" s="37"/>
      <c r="W873" s="32"/>
      <c r="X873" s="34"/>
      <c r="Y873" s="34"/>
      <c r="Z873" s="36"/>
      <c r="AA873" s="32" t="s">
        <v>5428</v>
      </c>
      <c r="AB873" s="32" t="s">
        <v>5429</v>
      </c>
      <c r="AC873" s="38" t="str">
        <f aca="false">HYPERLINK("https://biocodex6--c.vf.force.com/0014L00000KFQy4QAH", "AUDOUY PATRICK")</f>
        <v>AUDOUY PATRICK</v>
      </c>
      <c r="AD873" s="38" t="str">
        <f aca="false">HYPERLINK("https://annuairesante.ameli.fr/professionnels-de-sante/recherche/fiche-detaillee-B7c1lzc2Nja0.html", "AUDOUY PATRICK")</f>
        <v>AUDOUY PATRICK</v>
      </c>
      <c r="AE873" s="39"/>
      <c r="AF873" s="40"/>
      <c r="AG873" s="41"/>
      <c r="AH873" s="32" t="s">
        <v>179</v>
      </c>
      <c r="AI873" s="32"/>
      <c r="AL873" s="43" t="s">
        <v>5430</v>
      </c>
      <c r="AM873" s="43" t="s">
        <v>1670</v>
      </c>
      <c r="AN873" s="43" t="s">
        <v>5430</v>
      </c>
      <c r="AO873" s="43" t="s">
        <v>1670</v>
      </c>
      <c r="AP873" s="43" t="s">
        <v>5430</v>
      </c>
      <c r="AQ873" s="43" t="s">
        <v>1670</v>
      </c>
      <c r="AR873" s="43" t="s">
        <v>5430</v>
      </c>
      <c r="AS873" s="43" t="s">
        <v>1670</v>
      </c>
      <c r="AT873" s="43" t="s">
        <v>5430</v>
      </c>
      <c r="AU873" s="43" t="s">
        <v>476</v>
      </c>
      <c r="XEY873" s="27"/>
      <c r="XEZ873" s="27"/>
      <c r="XFA873" s="27"/>
      <c r="XFB873" s="27"/>
      <c r="XFC873" s="27"/>
      <c r="XFD873" s="27"/>
    </row>
    <row r="874" s="42" customFormat="true" ht="14.15" hidden="false" customHeight="true" outlineLevel="0" collapsed="false">
      <c r="A874" s="28" t="s">
        <v>5431</v>
      </c>
      <c r="B874" s="29" t="s">
        <v>619</v>
      </c>
      <c r="C874" s="29" t="s">
        <v>5432</v>
      </c>
      <c r="D874" s="30" t="s">
        <v>50</v>
      </c>
      <c r="E874" s="30" t="s">
        <v>776</v>
      </c>
      <c r="F874" s="32" t="n">
        <v>50</v>
      </c>
      <c r="G874" s="31" t="s">
        <v>345</v>
      </c>
      <c r="H874" s="31" t="n">
        <v>2</v>
      </c>
      <c r="I874" s="31" t="s">
        <v>295</v>
      </c>
      <c r="J874" s="29"/>
      <c r="K874" s="29" t="s">
        <v>5419</v>
      </c>
      <c r="L874" s="32" t="n">
        <v>58</v>
      </c>
      <c r="M874" s="33" t="s">
        <v>3510</v>
      </c>
      <c r="N874" s="34" t="n">
        <v>92300</v>
      </c>
      <c r="O874" s="35" t="s">
        <v>298</v>
      </c>
      <c r="P874" s="36" t="s">
        <v>5433</v>
      </c>
      <c r="Q874" s="36" t="n">
        <v>2</v>
      </c>
      <c r="R874" s="32" t="n">
        <v>346</v>
      </c>
      <c r="S874" s="32" t="n">
        <v>1</v>
      </c>
      <c r="T874" s="32"/>
      <c r="U874" s="32"/>
      <c r="V874" s="37"/>
      <c r="W874" s="32"/>
      <c r="X874" s="34"/>
      <c r="Y874" s="34"/>
      <c r="Z874" s="36"/>
      <c r="AA874" s="32" t="s">
        <v>5434</v>
      </c>
      <c r="AB874" s="32" t="s">
        <v>5435</v>
      </c>
      <c r="AC874" s="38" t="str">
        <f aca="false">HYPERLINK("https://biocodex6--c.vf.force.com/0014L00000KFQcDQAX", "AISENBERG CHARLES")</f>
        <v>AISENBERG CHARLES</v>
      </c>
      <c r="AD874" s="38" t="str">
        <f aca="false">HYPERLINK("https://annuairesante.ameli.fr/professionnels-de-sante/recherche/fiche-detaillee-CbA1kzsxNzu7.html", "AISENBERG CHARLES")</f>
        <v>AISENBERG CHARLES</v>
      </c>
      <c r="AE874" s="39"/>
      <c r="AF874" s="40"/>
      <c r="AG874" s="41"/>
      <c r="AH874" s="32" t="s">
        <v>179</v>
      </c>
      <c r="AI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XEY874" s="27"/>
      <c r="XEZ874" s="27"/>
      <c r="XFA874" s="27"/>
      <c r="XFB874" s="27"/>
      <c r="XFC874" s="27"/>
      <c r="XFD874" s="27"/>
    </row>
    <row r="875" s="42" customFormat="true" ht="14.15" hidden="false" customHeight="true" outlineLevel="0" collapsed="false">
      <c r="A875" s="28" t="s">
        <v>5436</v>
      </c>
      <c r="B875" s="29" t="s">
        <v>1143</v>
      </c>
      <c r="C875" s="29" t="s">
        <v>5437</v>
      </c>
      <c r="D875" s="30" t="s">
        <v>50</v>
      </c>
      <c r="E875" s="30" t="s">
        <v>255</v>
      </c>
      <c r="F875" s="32" t="n">
        <v>65</v>
      </c>
      <c r="G875" s="31" t="s">
        <v>98</v>
      </c>
      <c r="H875" s="31" t="n">
        <v>1</v>
      </c>
      <c r="I875" s="31" t="s">
        <v>233</v>
      </c>
      <c r="J875" s="29"/>
      <c r="K875" s="29" t="s">
        <v>4127</v>
      </c>
      <c r="L875" s="32" t="n">
        <v>35</v>
      </c>
      <c r="M875" s="33" t="s">
        <v>3863</v>
      </c>
      <c r="N875" s="34" t="n">
        <v>75015</v>
      </c>
      <c r="O875" s="35" t="s">
        <v>55</v>
      </c>
      <c r="P875" s="36" t="s">
        <v>4128</v>
      </c>
      <c r="Q875" s="36" t="n">
        <v>2</v>
      </c>
      <c r="R875" s="32" t="n">
        <v>345</v>
      </c>
      <c r="S875" s="32" t="n">
        <v>1</v>
      </c>
      <c r="T875" s="32"/>
      <c r="U875" s="32"/>
      <c r="V875" s="37"/>
      <c r="W875" s="32"/>
      <c r="X875" s="34"/>
      <c r="Y875" s="34"/>
      <c r="Z875" s="36"/>
      <c r="AA875" s="32" t="s">
        <v>5438</v>
      </c>
      <c r="AB875" s="32" t="s">
        <v>5439</v>
      </c>
      <c r="AC875" s="38" t="str">
        <f aca="false">HYPERLINK("https://biocodex6--c.vf.force.com/0014L00000KFRrmQAH", "BASSIL MARC")</f>
        <v>BASSIL MARC</v>
      </c>
      <c r="AD875" s="38" t="str">
        <f aca="false">HYPERLINK("https://annuairesante.ameli.fr/professionnels-de-sante/recherche/fiche-detaillee-B7c1lzA3MTW7.html", "BASSIL MARC")</f>
        <v>BASSIL MARC</v>
      </c>
      <c r="AE875" s="39"/>
      <c r="AF875" s="40"/>
      <c r="AG875" s="41"/>
      <c r="AH875" s="32" t="s">
        <v>179</v>
      </c>
      <c r="AI875" s="32"/>
      <c r="AL875" s="32"/>
      <c r="AM875" s="43" t="s">
        <v>661</v>
      </c>
      <c r="AN875" s="32"/>
      <c r="AO875" s="43" t="s">
        <v>661</v>
      </c>
      <c r="AP875" s="32"/>
      <c r="AQ875" s="43" t="s">
        <v>661</v>
      </c>
      <c r="AR875" s="32"/>
      <c r="AS875" s="43" t="s">
        <v>661</v>
      </c>
      <c r="AT875" s="32"/>
      <c r="AU875" s="43" t="s">
        <v>661</v>
      </c>
      <c r="XEY875" s="27"/>
      <c r="XEZ875" s="27"/>
      <c r="XFA875" s="27"/>
      <c r="XFB875" s="27"/>
      <c r="XFC875" s="27"/>
      <c r="XFD875" s="27"/>
    </row>
    <row r="876" s="42" customFormat="true" ht="14.15" hidden="false" customHeight="true" outlineLevel="0" collapsed="false">
      <c r="A876" s="28" t="s">
        <v>5440</v>
      </c>
      <c r="B876" s="29" t="s">
        <v>5441</v>
      </c>
      <c r="C876" s="29" t="s">
        <v>5442</v>
      </c>
      <c r="D876" s="30" t="s">
        <v>50</v>
      </c>
      <c r="E876" s="31"/>
      <c r="F876" s="32" t="n">
        <v>56</v>
      </c>
      <c r="G876" s="31" t="s">
        <v>98</v>
      </c>
      <c r="H876" s="31" t="n">
        <v>1</v>
      </c>
      <c r="I876" s="31" t="s">
        <v>233</v>
      </c>
      <c r="J876" s="29"/>
      <c r="K876" s="29" t="s">
        <v>2923</v>
      </c>
      <c r="L876" s="32" t="n">
        <v>186</v>
      </c>
      <c r="M876" s="33" t="s">
        <v>1002</v>
      </c>
      <c r="N876" s="34" t="n">
        <v>75015</v>
      </c>
      <c r="O876" s="35" t="s">
        <v>55</v>
      </c>
      <c r="P876" s="36" t="s">
        <v>5443</v>
      </c>
      <c r="Q876" s="36" t="n">
        <v>2</v>
      </c>
      <c r="R876" s="32" t="n">
        <v>345</v>
      </c>
      <c r="S876" s="32" t="n">
        <v>1</v>
      </c>
      <c r="T876" s="32"/>
      <c r="U876" s="32"/>
      <c r="V876" s="37"/>
      <c r="W876" s="32"/>
      <c r="X876" s="34"/>
      <c r="Y876" s="34"/>
      <c r="Z876" s="36"/>
      <c r="AA876" s="32" t="s">
        <v>5444</v>
      </c>
      <c r="AB876" s="32" t="s">
        <v>5445</v>
      </c>
      <c r="AC876" s="38" t="str">
        <f aca="false">HYPERLINK("https://biocodex6--c.vf.force.com/0014L00000KFdJsQAL", "FAWAZ MAHMOUD")</f>
        <v>FAWAZ MAHMOUD</v>
      </c>
      <c r="AD876" s="38" t="str">
        <f aca="false">HYPERLINK("https://annuairesante.ameli.fr/professionnels-de-sante/recherche/fiche-detaillee-B7c1lDE0OTWy.html", "FAWAZ MAHMOUD")</f>
        <v>FAWAZ MAHMOUD</v>
      </c>
      <c r="AE876" s="39"/>
      <c r="AF876" s="40"/>
      <c r="AG876" s="41"/>
      <c r="AH876" s="32" t="s">
        <v>179</v>
      </c>
      <c r="AI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XEY876" s="27"/>
      <c r="XEZ876" s="27"/>
      <c r="XFA876" s="27"/>
      <c r="XFB876" s="27"/>
      <c r="XFC876" s="27"/>
      <c r="XFD876" s="27"/>
    </row>
    <row r="877" s="42" customFormat="true" ht="14.15" hidden="false" customHeight="true" outlineLevel="0" collapsed="false">
      <c r="A877" s="28" t="s">
        <v>4257</v>
      </c>
      <c r="B877" s="29" t="s">
        <v>3615</v>
      </c>
      <c r="C877" s="29" t="s">
        <v>5446</v>
      </c>
      <c r="D877" s="30" t="s">
        <v>50</v>
      </c>
      <c r="E877" s="31"/>
      <c r="F877" s="32" t="n">
        <v>69</v>
      </c>
      <c r="G877" s="31"/>
      <c r="H877" s="31" t="n">
        <v>1</v>
      </c>
      <c r="I877" s="31" t="s">
        <v>572</v>
      </c>
      <c r="J877" s="29"/>
      <c r="K877" s="29" t="s">
        <v>5447</v>
      </c>
      <c r="L877" s="32" t="n">
        <v>37</v>
      </c>
      <c r="M877" s="33" t="s">
        <v>5448</v>
      </c>
      <c r="N877" s="34" t="n">
        <v>75008</v>
      </c>
      <c r="O877" s="35" t="s">
        <v>55</v>
      </c>
      <c r="P877" s="36"/>
      <c r="Q877" s="36" t="n">
        <v>1</v>
      </c>
      <c r="R877" s="32" t="n">
        <v>344</v>
      </c>
      <c r="S877" s="32" t="n">
        <v>1</v>
      </c>
      <c r="T877" s="32"/>
      <c r="U877" s="32"/>
      <c r="V877" s="37"/>
      <c r="W877" s="32"/>
      <c r="X877" s="34"/>
      <c r="Y877" s="34"/>
      <c r="Z877" s="36"/>
      <c r="AA877" s="32" t="s">
        <v>5449</v>
      </c>
      <c r="AB877" s="32"/>
      <c r="AC877" s="38" t="str">
        <f aca="false">HYPERLINK("https://biocodex6--c.vf.force.com/0014L00000KFX9rQAH", "COLIN JEAN MARIE")</f>
        <v>COLIN JEAN MARIE</v>
      </c>
      <c r="AD877" s="38"/>
      <c r="AE877" s="39"/>
      <c r="AF877" s="40"/>
      <c r="AG877" s="41"/>
      <c r="AH877" s="32" t="s">
        <v>179</v>
      </c>
      <c r="AI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XEY877" s="27"/>
      <c r="XEZ877" s="27"/>
      <c r="XFA877" s="27"/>
      <c r="XFB877" s="27"/>
      <c r="XFC877" s="27"/>
      <c r="XFD877" s="27"/>
    </row>
    <row r="878" s="42" customFormat="true" ht="14.15" hidden="false" customHeight="true" outlineLevel="0" collapsed="false">
      <c r="A878" s="28" t="s">
        <v>5450</v>
      </c>
      <c r="B878" s="29" t="s">
        <v>5451</v>
      </c>
      <c r="C878" s="29" t="s">
        <v>5452</v>
      </c>
      <c r="D878" s="30" t="s">
        <v>50</v>
      </c>
      <c r="E878" s="30" t="s">
        <v>113</v>
      </c>
      <c r="F878" s="32" t="n">
        <v>71</v>
      </c>
      <c r="G878" s="31" t="s">
        <v>215</v>
      </c>
      <c r="H878" s="31" t="n">
        <v>2</v>
      </c>
      <c r="I878" s="31" t="s">
        <v>173</v>
      </c>
      <c r="J878" s="29"/>
      <c r="K878" s="29" t="s">
        <v>5453</v>
      </c>
      <c r="L878" s="32" t="n">
        <v>62</v>
      </c>
      <c r="M878" s="33" t="s">
        <v>1988</v>
      </c>
      <c r="N878" s="34" t="n">
        <v>75016</v>
      </c>
      <c r="O878" s="35" t="s">
        <v>55</v>
      </c>
      <c r="P878" s="36" t="s">
        <v>5454</v>
      </c>
      <c r="Q878" s="36" t="n">
        <v>1</v>
      </c>
      <c r="R878" s="32" t="n">
        <v>344</v>
      </c>
      <c r="S878" s="32" t="n">
        <v>1</v>
      </c>
      <c r="T878" s="32"/>
      <c r="U878" s="32"/>
      <c r="V878" s="37"/>
      <c r="W878" s="32"/>
      <c r="X878" s="34"/>
      <c r="Y878" s="34"/>
      <c r="Z878" s="36"/>
      <c r="AA878" s="32" t="s">
        <v>5455</v>
      </c>
      <c r="AB878" s="32" t="s">
        <v>5456</v>
      </c>
      <c r="AC878" s="38" t="str">
        <f aca="false">HYPERLINK("https://biocodex6--c.vf.force.com/0014L00000KFibLQAT", "HENRY MAMOU JEAN ELIE")</f>
        <v>HENRY MAMOU JEAN ELIE</v>
      </c>
      <c r="AD878" s="38" t="str">
        <f aca="false">HYPERLINK("https://annuairesante.ameli.fr/professionnels-de-sante/recherche/fiche-detaillee-B7c1kDszNjqz.html", "HENRY MAMOU JEAN ELIE")</f>
        <v>HENRY MAMOU JEAN ELIE</v>
      </c>
      <c r="AE878" s="39"/>
      <c r="AF878" s="40"/>
      <c r="AG878" s="41"/>
      <c r="AH878" s="32" t="s">
        <v>179</v>
      </c>
      <c r="AI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XEY878" s="27"/>
      <c r="XEZ878" s="27"/>
      <c r="XFA878" s="27"/>
      <c r="XFB878" s="27"/>
      <c r="XFC878" s="27"/>
      <c r="XFD878" s="27"/>
    </row>
    <row r="879" s="42" customFormat="true" ht="14.15" hidden="false" customHeight="true" outlineLevel="0" collapsed="false">
      <c r="A879" s="28" t="s">
        <v>5457</v>
      </c>
      <c r="B879" s="29" t="s">
        <v>931</v>
      </c>
      <c r="C879" s="29" t="s">
        <v>5458</v>
      </c>
      <c r="D879" s="30" t="s">
        <v>50</v>
      </c>
      <c r="E879" s="30" t="s">
        <v>796</v>
      </c>
      <c r="F879" s="32" t="n">
        <v>65</v>
      </c>
      <c r="G879" s="31" t="s">
        <v>61</v>
      </c>
      <c r="H879" s="31" t="n">
        <v>1</v>
      </c>
      <c r="I879" s="31" t="s">
        <v>295</v>
      </c>
      <c r="J879" s="29"/>
      <c r="K879" s="29" t="s">
        <v>5459</v>
      </c>
      <c r="L879" s="32" t="n">
        <v>68</v>
      </c>
      <c r="M879" s="33" t="s">
        <v>5460</v>
      </c>
      <c r="N879" s="34" t="n">
        <v>92300</v>
      </c>
      <c r="O879" s="35" t="s">
        <v>298</v>
      </c>
      <c r="P879" s="36" t="s">
        <v>5461</v>
      </c>
      <c r="Q879" s="36" t="n">
        <v>1</v>
      </c>
      <c r="R879" s="32" t="n">
        <v>344</v>
      </c>
      <c r="S879" s="32" t="n">
        <v>1</v>
      </c>
      <c r="T879" s="32"/>
      <c r="U879" s="32"/>
      <c r="V879" s="37"/>
      <c r="W879" s="32"/>
      <c r="X879" s="34"/>
      <c r="Y879" s="34"/>
      <c r="Z879" s="36"/>
      <c r="AA879" s="32" t="s">
        <v>5462</v>
      </c>
      <c r="AB879" s="32" t="s">
        <v>5463</v>
      </c>
      <c r="AC879" s="38" t="str">
        <f aca="false">HYPERLINK("https://biocodex6--c.vf.force.com/0014L00000KFQJWQA5", "AMAR PAUL")</f>
        <v>AMAR PAUL</v>
      </c>
      <c r="AD879" s="38" t="str">
        <f aca="false">HYPERLINK("https://annuairesante.ameli.fr/professionnels-de-sante/recherche/fiche-detaillee-CbA1kzI2ODS6.html", "AMAR PAUL")</f>
        <v>AMAR PAUL</v>
      </c>
      <c r="AE879" s="39"/>
      <c r="AF879" s="40"/>
      <c r="AG879" s="41"/>
      <c r="AH879" s="32" t="s">
        <v>179</v>
      </c>
      <c r="AI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XEY879" s="27"/>
      <c r="XEZ879" s="27"/>
      <c r="XFA879" s="27"/>
      <c r="XFB879" s="27"/>
      <c r="XFC879" s="27"/>
      <c r="XFD879" s="27"/>
    </row>
    <row r="880" s="42" customFormat="true" ht="14.15" hidden="false" customHeight="true" outlineLevel="0" collapsed="false">
      <c r="A880" s="28" t="s">
        <v>5464</v>
      </c>
      <c r="B880" s="29" t="s">
        <v>353</v>
      </c>
      <c r="C880" s="29" t="s">
        <v>5465</v>
      </c>
      <c r="D880" s="30" t="s">
        <v>50</v>
      </c>
      <c r="E880" s="31"/>
      <c r="F880" s="32" t="n">
        <v>74</v>
      </c>
      <c r="G880" s="31" t="s">
        <v>98</v>
      </c>
      <c r="H880" s="31" t="n">
        <v>1</v>
      </c>
      <c r="I880" s="31" t="s">
        <v>572</v>
      </c>
      <c r="J880" s="29"/>
      <c r="K880" s="29" t="s">
        <v>5466</v>
      </c>
      <c r="L880" s="32" t="n">
        <v>80</v>
      </c>
      <c r="M880" s="33" t="s">
        <v>798</v>
      </c>
      <c r="N880" s="34" t="n">
        <v>75008</v>
      </c>
      <c r="O880" s="35" t="s">
        <v>55</v>
      </c>
      <c r="P880" s="36" t="s">
        <v>5467</v>
      </c>
      <c r="Q880" s="36" t="n">
        <v>1</v>
      </c>
      <c r="R880" s="32" t="n">
        <v>343</v>
      </c>
      <c r="S880" s="32" t="n">
        <v>1</v>
      </c>
      <c r="T880" s="32"/>
      <c r="U880" s="32"/>
      <c r="V880" s="37"/>
      <c r="W880" s="32"/>
      <c r="X880" s="34"/>
      <c r="Y880" s="34"/>
      <c r="Z880" s="36"/>
      <c r="AA880" s="32" t="s">
        <v>5468</v>
      </c>
      <c r="AB880" s="32" t="s">
        <v>5469</v>
      </c>
      <c r="AC880" s="38" t="str">
        <f aca="false">HYPERLINK("https://biocodex6--c.vf.force.com/0014L00000KFaj1QAD", "FARMACHI ALAIN")</f>
        <v>FARMACHI ALAIN</v>
      </c>
      <c r="AD880" s="38" t="str">
        <f aca="false">HYPERLINK("https://annuairesante.ameli.fr/professionnels-de-sante/recherche/fiche-detaillee-B7c1lDA4MTa6.html", "FARMACHI ALAIN")</f>
        <v>FARMACHI ALAIN</v>
      </c>
      <c r="AE880" s="39"/>
      <c r="AF880" s="40"/>
      <c r="AG880" s="41"/>
      <c r="AH880" s="32" t="s">
        <v>179</v>
      </c>
      <c r="AI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XEY880" s="27"/>
      <c r="XEZ880" s="27"/>
      <c r="XFA880" s="27"/>
      <c r="XFB880" s="27"/>
      <c r="XFC880" s="27"/>
      <c r="XFD880" s="27"/>
    </row>
    <row r="881" s="42" customFormat="true" ht="14.15" hidden="false" customHeight="true" outlineLevel="0" collapsed="false">
      <c r="A881" s="28" t="s">
        <v>5470</v>
      </c>
      <c r="B881" s="29" t="s">
        <v>2987</v>
      </c>
      <c r="C881" s="29" t="s">
        <v>5471</v>
      </c>
      <c r="D881" s="30" t="s">
        <v>50</v>
      </c>
      <c r="E881" s="30" t="s">
        <v>344</v>
      </c>
      <c r="F881" s="32" t="n">
        <v>61</v>
      </c>
      <c r="G881" s="31"/>
      <c r="H881" s="31" t="n">
        <v>1</v>
      </c>
      <c r="I881" s="31" t="s">
        <v>62</v>
      </c>
      <c r="J881" s="29"/>
      <c r="K881" s="29" t="s">
        <v>5472</v>
      </c>
      <c r="L881" s="32" t="n">
        <v>34</v>
      </c>
      <c r="M881" s="33" t="s">
        <v>5473</v>
      </c>
      <c r="N881" s="34" t="n">
        <v>75017</v>
      </c>
      <c r="O881" s="35" t="s">
        <v>55</v>
      </c>
      <c r="P881" s="36" t="s">
        <v>5474</v>
      </c>
      <c r="Q881" s="36" t="n">
        <v>2</v>
      </c>
      <c r="R881" s="32" t="n">
        <v>343</v>
      </c>
      <c r="S881" s="32" t="n">
        <v>1</v>
      </c>
      <c r="T881" s="32"/>
      <c r="U881" s="32"/>
      <c r="V881" s="37"/>
      <c r="W881" s="32"/>
      <c r="X881" s="34"/>
      <c r="Y881" s="34"/>
      <c r="Z881" s="36"/>
      <c r="AA881" s="32" t="s">
        <v>5475</v>
      </c>
      <c r="AB881" s="32"/>
      <c r="AC881" s="38" t="str">
        <f aca="false">HYPERLINK("https://biocodex6--c.vf.force.com/0014L00000KFiO2QAL", "HAZOUT THIERRY")</f>
        <v>HAZOUT THIERRY</v>
      </c>
      <c r="AD881" s="38"/>
      <c r="AE881" s="39"/>
      <c r="AF881" s="40"/>
      <c r="AG881" s="41"/>
      <c r="AH881" s="32" t="s">
        <v>179</v>
      </c>
      <c r="AI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XEY881" s="27"/>
      <c r="XEZ881" s="27"/>
      <c r="XFA881" s="27"/>
      <c r="XFB881" s="27"/>
      <c r="XFC881" s="27"/>
      <c r="XFD881" s="27"/>
    </row>
    <row r="882" s="42" customFormat="true" ht="14.15" hidden="false" customHeight="true" outlineLevel="0" collapsed="false">
      <c r="A882" s="28" t="s">
        <v>5476</v>
      </c>
      <c r="B882" s="29" t="s">
        <v>709</v>
      </c>
      <c r="C882" s="29" t="s">
        <v>5477</v>
      </c>
      <c r="D882" s="30" t="s">
        <v>50</v>
      </c>
      <c r="E882" s="31"/>
      <c r="F882" s="32" t="n">
        <v>35</v>
      </c>
      <c r="G882" s="31"/>
      <c r="H882" s="31" t="n">
        <v>1</v>
      </c>
      <c r="I882" s="31" t="s">
        <v>387</v>
      </c>
      <c r="J882" s="29" t="s">
        <v>3242</v>
      </c>
      <c r="K882" s="29" t="s">
        <v>3243</v>
      </c>
      <c r="L882" s="32" t="n">
        <v>11</v>
      </c>
      <c r="M882" s="33" t="s">
        <v>3244</v>
      </c>
      <c r="N882" s="34" t="n">
        <v>75016</v>
      </c>
      <c r="O882" s="35" t="s">
        <v>55</v>
      </c>
      <c r="P882" s="36" t="s">
        <v>4501</v>
      </c>
      <c r="Q882" s="36" t="n">
        <v>15</v>
      </c>
      <c r="R882" s="32" t="n">
        <v>342</v>
      </c>
      <c r="S882" s="32" t="n">
        <v>1</v>
      </c>
      <c r="T882" s="32"/>
      <c r="U882" s="32"/>
      <c r="V882" s="37"/>
      <c r="W882" s="32"/>
      <c r="X882" s="34"/>
      <c r="Y882" s="34"/>
      <c r="Z882" s="36"/>
      <c r="AA882" s="32" t="s">
        <v>5478</v>
      </c>
      <c r="AB882" s="32"/>
      <c r="AC882" s="38" t="str">
        <f aca="false">HYPERLINK("https://biocodex6--c.vf.force.com/0014L00000KGBQVQA5", "LOBBE MARION")</f>
        <v>LOBBE MARION</v>
      </c>
      <c r="AD882" s="38"/>
      <c r="AE882" s="39"/>
      <c r="AF882" s="40"/>
      <c r="AG882" s="41"/>
      <c r="AH882" s="32" t="s">
        <v>179</v>
      </c>
      <c r="AI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XEY882" s="27"/>
      <c r="XEZ882" s="27"/>
      <c r="XFA882" s="27"/>
      <c r="XFB882" s="27"/>
      <c r="XFC882" s="27"/>
      <c r="XFD882" s="27"/>
    </row>
    <row r="883" s="42" customFormat="true" ht="14.15" hidden="false" customHeight="true" outlineLevel="0" collapsed="false">
      <c r="A883" s="28" t="s">
        <v>5479</v>
      </c>
      <c r="B883" s="29" t="s">
        <v>1355</v>
      </c>
      <c r="C883" s="29" t="s">
        <v>5480</v>
      </c>
      <c r="D883" s="30" t="s">
        <v>268</v>
      </c>
      <c r="E883" s="30" t="s">
        <v>5481</v>
      </c>
      <c r="F883" s="32" t="n">
        <v>72</v>
      </c>
      <c r="G883" s="31" t="s">
        <v>215</v>
      </c>
      <c r="H883" s="31" t="n">
        <v>1</v>
      </c>
      <c r="I883" s="31" t="s">
        <v>51</v>
      </c>
      <c r="J883" s="29"/>
      <c r="K883" s="29" t="s">
        <v>5482</v>
      </c>
      <c r="L883" s="32" t="n">
        <v>15</v>
      </c>
      <c r="M883" s="33" t="s">
        <v>2387</v>
      </c>
      <c r="N883" s="34" t="n">
        <v>75015</v>
      </c>
      <c r="O883" s="35" t="s">
        <v>55</v>
      </c>
      <c r="P883" s="36" t="s">
        <v>5483</v>
      </c>
      <c r="Q883" s="36" t="n">
        <v>1</v>
      </c>
      <c r="R883" s="32" t="n">
        <v>342</v>
      </c>
      <c r="S883" s="32" t="n">
        <v>1</v>
      </c>
      <c r="T883" s="32"/>
      <c r="U883" s="32"/>
      <c r="V883" s="37"/>
      <c r="W883" s="32"/>
      <c r="X883" s="34"/>
      <c r="Y883" s="34"/>
      <c r="Z883" s="36"/>
      <c r="AA883" s="32" t="s">
        <v>5484</v>
      </c>
      <c r="AB883" s="32" t="s">
        <v>5485</v>
      </c>
      <c r="AC883" s="38" t="str">
        <f aca="false">HYPERLINK("https://biocodex6--c.vf.force.com/0014L00000KFvWdQAL", "PESTRE MICHELE")</f>
        <v>PESTRE MICHELE</v>
      </c>
      <c r="AD883" s="38" t="str">
        <f aca="false">HYPERLINK("https://annuairesante.ameli.fr/professionnels-de-sante/recherche/fiche-detaillee-B7c1ljs1NTO7.html", "PESTRE MICHELE")</f>
        <v>PESTRE MICHELE</v>
      </c>
      <c r="AE883" s="39"/>
      <c r="AF883" s="40"/>
      <c r="AG883" s="41"/>
      <c r="AH883" s="32" t="s">
        <v>179</v>
      </c>
      <c r="AI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XEY883" s="27"/>
      <c r="XEZ883" s="27"/>
      <c r="XFA883" s="27"/>
      <c r="XFB883" s="27"/>
      <c r="XFC883" s="27"/>
      <c r="XFD883" s="27"/>
    </row>
    <row r="884" s="42" customFormat="true" ht="14.15" hidden="false" customHeight="true" outlineLevel="0" collapsed="false">
      <c r="A884" s="28" t="s">
        <v>5486</v>
      </c>
      <c r="B884" s="29" t="s">
        <v>183</v>
      </c>
      <c r="C884" s="29" t="s">
        <v>5487</v>
      </c>
      <c r="D884" s="30" t="s">
        <v>50</v>
      </c>
      <c r="E884" s="30" t="s">
        <v>421</v>
      </c>
      <c r="F884" s="32" t="n">
        <v>74</v>
      </c>
      <c r="G884" s="31" t="s">
        <v>215</v>
      </c>
      <c r="H884" s="31" t="n">
        <v>1</v>
      </c>
      <c r="I884" s="31" t="s">
        <v>99</v>
      </c>
      <c r="J884" s="29"/>
      <c r="K884" s="29" t="s">
        <v>5488</v>
      </c>
      <c r="L884" s="32" t="n">
        <v>47</v>
      </c>
      <c r="M884" s="33" t="s">
        <v>5489</v>
      </c>
      <c r="N884" s="34" t="n">
        <v>75015</v>
      </c>
      <c r="O884" s="35" t="s">
        <v>55</v>
      </c>
      <c r="P884" s="36" t="s">
        <v>5490</v>
      </c>
      <c r="Q884" s="36" t="n">
        <v>1</v>
      </c>
      <c r="R884" s="32" t="n">
        <v>341</v>
      </c>
      <c r="S884" s="32" t="n">
        <v>1</v>
      </c>
      <c r="T884" s="32"/>
      <c r="U884" s="32"/>
      <c r="V884" s="37"/>
      <c r="W884" s="32"/>
      <c r="X884" s="34"/>
      <c r="Y884" s="34"/>
      <c r="Z884" s="36"/>
      <c r="AA884" s="32" t="s">
        <v>5491</v>
      </c>
      <c r="AB884" s="32" t="s">
        <v>5492</v>
      </c>
      <c r="AC884" s="38" t="str">
        <f aca="false">HYPERLINK("https://biocodex6--c.vf.force.com/0014L00000KFWLfQAP", "CHAVINIER CHRISTIAN")</f>
        <v>CHAVINIER CHRISTIAN</v>
      </c>
      <c r="AD884" s="38" t="str">
        <f aca="false">HYPERLINK("https://annuairesante.ameli.fr/professionnels-de-sante/recherche/fiche-detaillee-B7c1lDA0MTCy.html", "CHAVINIER CHRISTIAN")</f>
        <v>CHAVINIER CHRISTIAN</v>
      </c>
      <c r="AE884" s="39"/>
      <c r="AF884" s="40"/>
      <c r="AG884" s="41"/>
      <c r="AH884" s="32" t="s">
        <v>179</v>
      </c>
      <c r="AI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XEY884" s="27"/>
      <c r="XEZ884" s="27"/>
      <c r="XFA884" s="27"/>
      <c r="XFB884" s="27"/>
      <c r="XFC884" s="27"/>
      <c r="XFD884" s="27"/>
    </row>
    <row r="885" s="42" customFormat="true" ht="14.15" hidden="false" customHeight="true" outlineLevel="0" collapsed="false">
      <c r="A885" s="28" t="s">
        <v>5493</v>
      </c>
      <c r="B885" s="29" t="s">
        <v>1736</v>
      </c>
      <c r="C885" s="29" t="s">
        <v>5494</v>
      </c>
      <c r="D885" s="30" t="s">
        <v>50</v>
      </c>
      <c r="E885" s="30" t="s">
        <v>421</v>
      </c>
      <c r="F885" s="32" t="n">
        <v>73</v>
      </c>
      <c r="G885" s="31"/>
      <c r="H885" s="31" t="n">
        <v>1</v>
      </c>
      <c r="I885" s="31" t="s">
        <v>99</v>
      </c>
      <c r="J885" s="29"/>
      <c r="K885" s="29" t="s">
        <v>4737</v>
      </c>
      <c r="L885" s="32" t="n">
        <v>26</v>
      </c>
      <c r="M885" s="33" t="s">
        <v>3677</v>
      </c>
      <c r="N885" s="34" t="n">
        <v>75015</v>
      </c>
      <c r="O885" s="35" t="s">
        <v>55</v>
      </c>
      <c r="P885" s="36" t="s">
        <v>5495</v>
      </c>
      <c r="Q885" s="36" t="n">
        <v>2</v>
      </c>
      <c r="R885" s="32" t="n">
        <v>339</v>
      </c>
      <c r="S885" s="32" t="n">
        <v>1</v>
      </c>
      <c r="T885" s="32"/>
      <c r="U885" s="32"/>
      <c r="V885" s="37"/>
      <c r="W885" s="32"/>
      <c r="X885" s="34"/>
      <c r="Y885" s="34" t="n">
        <v>1</v>
      </c>
      <c r="Z885" s="36"/>
      <c r="AA885" s="32" t="s">
        <v>5496</v>
      </c>
      <c r="AB885" s="44"/>
      <c r="AC885" s="38" t="str">
        <f aca="false">HYPERLINK("https://biocodex6--c.vf.force.com/0014L00000KG2mLQAT", "TEDGUI JEAN PAUL")</f>
        <v>TEDGUI JEAN PAUL</v>
      </c>
      <c r="AD885" s="38"/>
      <c r="AE885" s="39"/>
      <c r="AF885" s="40"/>
      <c r="AG885" s="41"/>
      <c r="AH885" s="32" t="s">
        <v>179</v>
      </c>
      <c r="AI885" s="32" t="s">
        <v>5497</v>
      </c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XEY885" s="27"/>
      <c r="XEZ885" s="27"/>
      <c r="XFA885" s="27"/>
      <c r="XFB885" s="27"/>
      <c r="XFC885" s="27"/>
      <c r="XFD885" s="27"/>
    </row>
    <row r="886" s="42" customFormat="true" ht="14.15" hidden="false" customHeight="true" outlineLevel="0" collapsed="false">
      <c r="A886" s="28" t="s">
        <v>5498</v>
      </c>
      <c r="B886" s="29" t="s">
        <v>5499</v>
      </c>
      <c r="C886" s="29" t="s">
        <v>5500</v>
      </c>
      <c r="D886" s="30" t="s">
        <v>244</v>
      </c>
      <c r="E886" s="30" t="s">
        <v>245</v>
      </c>
      <c r="F886" s="32" t="n">
        <v>51</v>
      </c>
      <c r="G886" s="31" t="s">
        <v>215</v>
      </c>
      <c r="H886" s="31" t="n">
        <v>1</v>
      </c>
      <c r="I886" s="31" t="s">
        <v>173</v>
      </c>
      <c r="J886" s="29"/>
      <c r="K886" s="29" t="s">
        <v>5501</v>
      </c>
      <c r="L886" s="32" t="n">
        <v>134</v>
      </c>
      <c r="M886" s="33" t="s">
        <v>175</v>
      </c>
      <c r="N886" s="34" t="n">
        <v>75016</v>
      </c>
      <c r="O886" s="35" t="s">
        <v>55</v>
      </c>
      <c r="P886" s="36" t="s">
        <v>5502</v>
      </c>
      <c r="Q886" s="36" t="n">
        <v>2</v>
      </c>
      <c r="R886" s="32" t="n">
        <v>339</v>
      </c>
      <c r="S886" s="32" t="n">
        <v>1</v>
      </c>
      <c r="T886" s="32"/>
      <c r="U886" s="32"/>
      <c r="V886" s="37"/>
      <c r="W886" s="32"/>
      <c r="X886" s="34"/>
      <c r="Y886" s="34"/>
      <c r="Z886" s="36"/>
      <c r="AA886" s="32" t="s">
        <v>5503</v>
      </c>
      <c r="AB886" s="32" t="s">
        <v>5504</v>
      </c>
      <c r="AC886" s="38" t="str">
        <f aca="false">HYPERLINK("https://biocodex6--c.vf.force.com/0014L00000KG6p8QAD", "YAZBECK CHADI")</f>
        <v>YAZBECK CHADI</v>
      </c>
      <c r="AD886" s="38" t="str">
        <f aca="false">HYPERLINK("https://annuairesante.ameli.fr/professionnels-de-sante/recherche/fiche-detaillee-B7c1lTAyNzuw.html", "YAZBECK CHADI")</f>
        <v>YAZBECK CHADI</v>
      </c>
      <c r="AE886" s="39"/>
      <c r="AF886" s="40"/>
      <c r="AG886" s="41"/>
      <c r="AH886" s="32" t="s">
        <v>179</v>
      </c>
      <c r="AI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XEY886" s="27"/>
      <c r="XEZ886" s="27"/>
      <c r="XFA886" s="27"/>
      <c r="XFB886" s="27"/>
      <c r="XFC886" s="27"/>
      <c r="XFD886" s="27"/>
    </row>
    <row r="887" s="42" customFormat="true" ht="14.15" hidden="false" customHeight="true" outlineLevel="0" collapsed="false">
      <c r="A887" s="28" t="s">
        <v>3984</v>
      </c>
      <c r="B887" s="29" t="s">
        <v>5505</v>
      </c>
      <c r="C887" s="29" t="s">
        <v>5506</v>
      </c>
      <c r="D887" s="30" t="s">
        <v>50</v>
      </c>
      <c r="E887" s="30" t="s">
        <v>818</v>
      </c>
      <c r="F887" s="32" t="n">
        <v>70</v>
      </c>
      <c r="G887" s="31"/>
      <c r="H887" s="31" t="n">
        <v>1</v>
      </c>
      <c r="I887" s="31" t="s">
        <v>572</v>
      </c>
      <c r="J887" s="29"/>
      <c r="K887" s="29" t="s">
        <v>1979</v>
      </c>
      <c r="L887" s="32" t="n">
        <v>30</v>
      </c>
      <c r="M887" s="33" t="s">
        <v>347</v>
      </c>
      <c r="N887" s="34" t="n">
        <v>75008</v>
      </c>
      <c r="O887" s="35" t="s">
        <v>55</v>
      </c>
      <c r="P887" s="36" t="s">
        <v>5507</v>
      </c>
      <c r="Q887" s="36" t="n">
        <v>2</v>
      </c>
      <c r="R887" s="32" t="n">
        <v>338</v>
      </c>
      <c r="S887" s="32" t="n">
        <v>1</v>
      </c>
      <c r="T887" s="32"/>
      <c r="U887" s="32"/>
      <c r="V887" s="37"/>
      <c r="W887" s="32"/>
      <c r="X887" s="34"/>
      <c r="Y887" s="34"/>
      <c r="Z887" s="36"/>
      <c r="AA887" s="32" t="s">
        <v>5508</v>
      </c>
      <c r="AB887" s="32"/>
      <c r="AC887" s="38" t="str">
        <f aca="false">HYPERLINK("https://biocodex6--c.vf.force.com/0014L00000KFoNNQA1", "LEVY ROLAND")</f>
        <v>LEVY ROLAND</v>
      </c>
      <c r="AD887" s="38"/>
      <c r="AE887" s="39"/>
      <c r="AF887" s="40"/>
      <c r="AG887" s="41"/>
      <c r="AH887" s="32" t="s">
        <v>179</v>
      </c>
      <c r="AI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XEY887" s="27"/>
      <c r="XEZ887" s="27"/>
      <c r="XFA887" s="27"/>
      <c r="XFB887" s="27"/>
      <c r="XFC887" s="27"/>
      <c r="XFD887" s="27"/>
    </row>
    <row r="888" s="42" customFormat="true" ht="14.15" hidden="false" customHeight="true" outlineLevel="0" collapsed="false">
      <c r="A888" s="28" t="s">
        <v>5509</v>
      </c>
      <c r="B888" s="29" t="s">
        <v>450</v>
      </c>
      <c r="C888" s="29" t="s">
        <v>5510</v>
      </c>
      <c r="D888" s="30" t="s">
        <v>268</v>
      </c>
      <c r="E888" s="31"/>
      <c r="F888" s="32" t="n">
        <v>60</v>
      </c>
      <c r="G888" s="31" t="s">
        <v>215</v>
      </c>
      <c r="H888" s="31" t="n">
        <v>1</v>
      </c>
      <c r="I888" s="31" t="s">
        <v>99</v>
      </c>
      <c r="J888" s="29"/>
      <c r="K888" s="29" t="s">
        <v>2458</v>
      </c>
      <c r="L888" s="32" t="n">
        <v>83</v>
      </c>
      <c r="M888" s="33" t="s">
        <v>1002</v>
      </c>
      <c r="N888" s="34" t="n">
        <v>75015</v>
      </c>
      <c r="O888" s="35" t="s">
        <v>55</v>
      </c>
      <c r="P888" s="36" t="s">
        <v>5511</v>
      </c>
      <c r="Q888" s="36" t="n">
        <v>3</v>
      </c>
      <c r="R888" s="32" t="n">
        <v>338</v>
      </c>
      <c r="S888" s="32" t="n">
        <v>1</v>
      </c>
      <c r="T888" s="32"/>
      <c r="U888" s="32"/>
      <c r="V888" s="37"/>
      <c r="W888" s="32"/>
      <c r="X888" s="34"/>
      <c r="Y888" s="34"/>
      <c r="Z888" s="36"/>
      <c r="AA888" s="32" t="s">
        <v>5512</v>
      </c>
      <c r="AB888" s="32" t="s">
        <v>5513</v>
      </c>
      <c r="AC888" s="38" t="str">
        <f aca="false">HYPERLINK("https://biocodex6--c.vf.force.com/0014L00000KFWJsQAP", "DEFONTAINES BENEDICTE")</f>
        <v>DEFONTAINES BENEDICTE</v>
      </c>
      <c r="AD888" s="38" t="str">
        <f aca="false">HYPERLINK("https://annuairesante.ameli.fr/professionnels-de-sante/recherche/fiche-detaillee-B7c1lzozODC0.html", "DEFONTAINES BENEDICTE")</f>
        <v>DEFONTAINES BENEDICTE</v>
      </c>
      <c r="AE888" s="39"/>
      <c r="AF888" s="40"/>
      <c r="AG888" s="41"/>
      <c r="AH888" s="32" t="s">
        <v>179</v>
      </c>
      <c r="AI888" s="32"/>
      <c r="AL888" s="32"/>
      <c r="AM888" s="32"/>
      <c r="AN888" s="43" t="s">
        <v>169</v>
      </c>
      <c r="AO888" s="43" t="s">
        <v>534</v>
      </c>
      <c r="AP888" s="32"/>
      <c r="AQ888" s="32"/>
      <c r="AR888" s="43" t="s">
        <v>5514</v>
      </c>
      <c r="AS888" s="32"/>
      <c r="AT888" s="43" t="s">
        <v>169</v>
      </c>
      <c r="AU888" s="43" t="s">
        <v>534</v>
      </c>
      <c r="XEY888" s="27"/>
      <c r="XEZ888" s="27"/>
      <c r="XFA888" s="27"/>
      <c r="XFB888" s="27"/>
      <c r="XFC888" s="27"/>
      <c r="XFD888" s="27"/>
    </row>
    <row r="889" s="42" customFormat="true" ht="14.15" hidden="false" customHeight="true" outlineLevel="0" collapsed="false">
      <c r="A889" s="28" t="s">
        <v>5515</v>
      </c>
      <c r="B889" s="29" t="s">
        <v>2081</v>
      </c>
      <c r="C889" s="29" t="s">
        <v>5516</v>
      </c>
      <c r="D889" s="30" t="s">
        <v>50</v>
      </c>
      <c r="E889" s="30" t="s">
        <v>916</v>
      </c>
      <c r="F889" s="32" t="n">
        <v>66</v>
      </c>
      <c r="G889" s="31" t="s">
        <v>215</v>
      </c>
      <c r="H889" s="31" t="n">
        <v>1</v>
      </c>
      <c r="I889" s="31" t="s">
        <v>62</v>
      </c>
      <c r="J889" s="29"/>
      <c r="K889" s="29" t="s">
        <v>3094</v>
      </c>
      <c r="L889" s="32" t="n">
        <v>4</v>
      </c>
      <c r="M889" s="33" t="s">
        <v>3095</v>
      </c>
      <c r="N889" s="34" t="n">
        <v>75017</v>
      </c>
      <c r="O889" s="35" t="s">
        <v>55</v>
      </c>
      <c r="P889" s="36" t="s">
        <v>5517</v>
      </c>
      <c r="Q889" s="36" t="n">
        <v>3</v>
      </c>
      <c r="R889" s="32" t="n">
        <v>338</v>
      </c>
      <c r="S889" s="32" t="n">
        <v>1</v>
      </c>
      <c r="T889" s="32"/>
      <c r="U889" s="32"/>
      <c r="V889" s="37"/>
      <c r="W889" s="32"/>
      <c r="X889" s="34"/>
      <c r="Y889" s="34"/>
      <c r="Z889" s="32"/>
      <c r="AA889" s="32" t="s">
        <v>5518</v>
      </c>
      <c r="AB889" s="32" t="s">
        <v>5519</v>
      </c>
      <c r="AC889" s="38" t="str">
        <f aca="false">HYPERLINK("https://biocodex6--c.vf.force.com/0014L00000KFtiGQAT", "NIZARD PATRICIA")</f>
        <v>NIZARD PATRICIA</v>
      </c>
      <c r="AD889" s="38" t="str">
        <f aca="false">HYPERLINK("https://annuairesante.ameli.fr/professionnels-de-sante/recherche/fiche-detaillee-B7c1lzI4ODKx.html", "NIZARD PATRICIA")</f>
        <v>NIZARD PATRICIA</v>
      </c>
      <c r="AE889" s="39"/>
      <c r="AF889" s="40"/>
      <c r="AG889" s="41"/>
      <c r="AH889" s="32"/>
      <c r="AI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XEY889" s="27"/>
      <c r="XEZ889" s="27"/>
      <c r="XFA889" s="27"/>
      <c r="XFB889" s="27"/>
      <c r="XFC889" s="27"/>
      <c r="XFD889" s="27"/>
    </row>
    <row r="890" s="42" customFormat="true" ht="14.15" hidden="false" customHeight="true" outlineLevel="0" collapsed="false">
      <c r="A890" s="28" t="s">
        <v>5520</v>
      </c>
      <c r="B890" s="29" t="s">
        <v>4463</v>
      </c>
      <c r="C890" s="29" t="s">
        <v>5521</v>
      </c>
      <c r="D890" s="30" t="s">
        <v>50</v>
      </c>
      <c r="E890" s="31"/>
      <c r="F890" s="32" t="n">
        <v>53</v>
      </c>
      <c r="G890" s="31"/>
      <c r="H890" s="31" t="n">
        <v>2</v>
      </c>
      <c r="I890" s="31" t="s">
        <v>295</v>
      </c>
      <c r="J890" s="29"/>
      <c r="K890" s="29" t="s">
        <v>5522</v>
      </c>
      <c r="L890" s="32" t="n">
        <v>88</v>
      </c>
      <c r="M890" s="33" t="s">
        <v>5523</v>
      </c>
      <c r="N890" s="34" t="n">
        <v>92300</v>
      </c>
      <c r="O890" s="35" t="s">
        <v>298</v>
      </c>
      <c r="P890" s="36" t="s">
        <v>5524</v>
      </c>
      <c r="Q890" s="36" t="n">
        <v>3</v>
      </c>
      <c r="R890" s="32" t="n">
        <v>336</v>
      </c>
      <c r="S890" s="32" t="n">
        <v>1</v>
      </c>
      <c r="T890" s="32"/>
      <c r="U890" s="32"/>
      <c r="V890" s="37"/>
      <c r="W890" s="32"/>
      <c r="X890" s="34"/>
      <c r="Y890" s="34"/>
      <c r="Z890" s="32"/>
      <c r="AA890" s="32" t="s">
        <v>5525</v>
      </c>
      <c r="AB890" s="32"/>
      <c r="AC890" s="38" t="str">
        <f aca="false">HYPERLINK("https://biocodex6--c.vf.force.com/0014L00000KFcKrQAL", "GANDRILLE NICOLAS")</f>
        <v>GANDRILLE NICOLAS</v>
      </c>
      <c r="AD890" s="38"/>
      <c r="AE890" s="39" t="n">
        <v>45313.6041666667</v>
      </c>
      <c r="AF890" s="40"/>
      <c r="AG890" s="41" t="s">
        <v>69</v>
      </c>
      <c r="AH890" s="32" t="s">
        <v>70</v>
      </c>
      <c r="AI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XEY890" s="27"/>
      <c r="XEZ890" s="27"/>
      <c r="XFA890" s="27"/>
      <c r="XFB890" s="27"/>
      <c r="XFC890" s="27"/>
      <c r="XFD890" s="27"/>
    </row>
    <row r="891" s="42" customFormat="true" ht="14.15" hidden="false" customHeight="true" outlineLevel="0" collapsed="false">
      <c r="A891" s="28" t="s">
        <v>5526</v>
      </c>
      <c r="B891" s="29" t="s">
        <v>643</v>
      </c>
      <c r="C891" s="29" t="s">
        <v>5527</v>
      </c>
      <c r="D891" s="30" t="s">
        <v>244</v>
      </c>
      <c r="E891" s="30" t="s">
        <v>245</v>
      </c>
      <c r="F891" s="32" t="n">
        <v>68</v>
      </c>
      <c r="G891" s="31" t="s">
        <v>215</v>
      </c>
      <c r="H891" s="31" t="n">
        <v>2</v>
      </c>
      <c r="I891" s="31" t="s">
        <v>62</v>
      </c>
      <c r="J891" s="29"/>
      <c r="K891" s="29" t="s">
        <v>5528</v>
      </c>
      <c r="L891" s="32" t="n">
        <v>6</v>
      </c>
      <c r="M891" s="33" t="s">
        <v>5529</v>
      </c>
      <c r="N891" s="34" t="n">
        <v>75017</v>
      </c>
      <c r="O891" s="35" t="s">
        <v>55</v>
      </c>
      <c r="P891" s="36" t="s">
        <v>5530</v>
      </c>
      <c r="Q891" s="36" t="n">
        <v>1</v>
      </c>
      <c r="R891" s="32" t="n">
        <v>335</v>
      </c>
      <c r="S891" s="32" t="n">
        <v>1</v>
      </c>
      <c r="T891" s="32"/>
      <c r="U891" s="32"/>
      <c r="V891" s="37"/>
      <c r="W891" s="32"/>
      <c r="X891" s="34"/>
      <c r="Y891" s="34"/>
      <c r="Z891" s="36"/>
      <c r="AA891" s="32" t="s">
        <v>5531</v>
      </c>
      <c r="AB891" s="32" t="s">
        <v>5532</v>
      </c>
      <c r="AC891" s="38" t="str">
        <f aca="false">HYPERLINK("https://biocodex6--c.vf.force.com/0014L00000KG6CvQAL", "ZITOUN PIERRE")</f>
        <v>ZITOUN PIERRE</v>
      </c>
      <c r="AD891" s="38" t="str">
        <f aca="false">HYPERLINK("https://annuairesante.ameli.fr/professionnels-de-sante/recherche/fiche-detaillee-B7c1lzMzNzC2.html", "ZITOUN PIERRE")</f>
        <v>ZITOUN PIERRE</v>
      </c>
      <c r="AE891" s="39"/>
      <c r="AF891" s="40"/>
      <c r="AG891" s="41"/>
      <c r="AH891" s="32" t="s">
        <v>179</v>
      </c>
      <c r="AI891" s="32"/>
      <c r="AL891" s="43" t="s">
        <v>822</v>
      </c>
      <c r="AM891" s="43" t="s">
        <v>126</v>
      </c>
      <c r="AN891" s="43" t="s">
        <v>822</v>
      </c>
      <c r="AO891" s="43" t="s">
        <v>126</v>
      </c>
      <c r="AP891" s="43" t="s">
        <v>822</v>
      </c>
      <c r="AQ891" s="43" t="s">
        <v>126</v>
      </c>
      <c r="AR891" s="43" t="s">
        <v>822</v>
      </c>
      <c r="AS891" s="43" t="s">
        <v>126</v>
      </c>
      <c r="AT891" s="43" t="s">
        <v>822</v>
      </c>
      <c r="AU891" s="43" t="s">
        <v>518</v>
      </c>
      <c r="XEY891" s="27"/>
      <c r="XEZ891" s="27"/>
      <c r="XFA891" s="27"/>
      <c r="XFB891" s="27"/>
      <c r="XFC891" s="27"/>
      <c r="XFD891" s="27"/>
    </row>
    <row r="892" s="42" customFormat="true" ht="14.15" hidden="false" customHeight="true" outlineLevel="0" collapsed="false">
      <c r="A892" s="28" t="s">
        <v>5533</v>
      </c>
      <c r="B892" s="29" t="s">
        <v>117</v>
      </c>
      <c r="C892" s="29" t="s">
        <v>5534</v>
      </c>
      <c r="D892" s="30" t="s">
        <v>50</v>
      </c>
      <c r="E892" s="31"/>
      <c r="F892" s="32" t="n">
        <v>47</v>
      </c>
      <c r="G892" s="31" t="s">
        <v>98</v>
      </c>
      <c r="H892" s="31" t="n">
        <v>1</v>
      </c>
      <c r="I892" s="31" t="s">
        <v>387</v>
      </c>
      <c r="J892" s="29"/>
      <c r="K892" s="29" t="s">
        <v>2418</v>
      </c>
      <c r="L892" s="32" t="n">
        <v>35</v>
      </c>
      <c r="M892" s="33" t="s">
        <v>2419</v>
      </c>
      <c r="N892" s="34" t="n">
        <v>75016</v>
      </c>
      <c r="O892" s="35" t="s">
        <v>55</v>
      </c>
      <c r="P892" s="36" t="s">
        <v>2420</v>
      </c>
      <c r="Q892" s="36" t="n">
        <v>3</v>
      </c>
      <c r="R892" s="32" t="n">
        <v>334</v>
      </c>
      <c r="S892" s="32" t="n">
        <v>1</v>
      </c>
      <c r="T892" s="32"/>
      <c r="U892" s="32"/>
      <c r="V892" s="37"/>
      <c r="W892" s="32"/>
      <c r="X892" s="34"/>
      <c r="Y892" s="34"/>
      <c r="Z892" s="36"/>
      <c r="AA892" s="32" t="s">
        <v>5535</v>
      </c>
      <c r="AB892" s="32" t="s">
        <v>5536</v>
      </c>
      <c r="AC892" s="38" t="str">
        <f aca="false">HYPERLINK("https://biocodex6--c.vf.force.com/0014L00000KFpk9QAD", "MAIER DOMINIQUE")</f>
        <v>MAIER DOMINIQUE</v>
      </c>
      <c r="AD892" s="38" t="str">
        <f aca="false">HYPERLINK("https://annuairesante.ameli.fr/professionnels-de-sante/recherche/fiche-detaillee-B7c1mjA5MDOx.html", "MAIER DOMINIQUE")</f>
        <v>MAIER DOMINIQUE</v>
      </c>
      <c r="AE892" s="39"/>
      <c r="AF892" s="40"/>
      <c r="AG892" s="41"/>
      <c r="AH892" s="32" t="s">
        <v>179</v>
      </c>
      <c r="AI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XEY892" s="27"/>
      <c r="XEZ892" s="27"/>
      <c r="XFA892" s="27"/>
      <c r="XFB892" s="27"/>
      <c r="XFC892" s="27"/>
      <c r="XFD892" s="27"/>
    </row>
    <row r="893" s="42" customFormat="true" ht="14.15" hidden="false" customHeight="true" outlineLevel="0" collapsed="false">
      <c r="A893" s="28" t="s">
        <v>5537</v>
      </c>
      <c r="B893" s="29" t="s">
        <v>5538</v>
      </c>
      <c r="C893" s="29" t="s">
        <v>5539</v>
      </c>
      <c r="D893" s="30" t="s">
        <v>50</v>
      </c>
      <c r="E893" s="31"/>
      <c r="F893" s="32" t="n">
        <v>42</v>
      </c>
      <c r="G893" s="31" t="s">
        <v>98</v>
      </c>
      <c r="H893" s="31" t="n">
        <v>1</v>
      </c>
      <c r="I893" s="31" t="s">
        <v>233</v>
      </c>
      <c r="J893" s="29" t="s">
        <v>234</v>
      </c>
      <c r="K893" s="29" t="s">
        <v>235</v>
      </c>
      <c r="L893" s="32" t="n">
        <v>223</v>
      </c>
      <c r="M893" s="33" t="s">
        <v>236</v>
      </c>
      <c r="N893" s="34" t="n">
        <v>75015</v>
      </c>
      <c r="O893" s="35" t="s">
        <v>55</v>
      </c>
      <c r="P893" s="36" t="s">
        <v>5540</v>
      </c>
      <c r="Q893" s="36" t="n">
        <v>7</v>
      </c>
      <c r="R893" s="32" t="n">
        <v>334</v>
      </c>
      <c r="S893" s="32" t="n">
        <v>1</v>
      </c>
      <c r="T893" s="32"/>
      <c r="U893" s="32"/>
      <c r="V893" s="37"/>
      <c r="W893" s="32"/>
      <c r="X893" s="34"/>
      <c r="Y893" s="34"/>
      <c r="Z893" s="36"/>
      <c r="AA893" s="32" t="s">
        <v>5541</v>
      </c>
      <c r="AB893" s="32" t="s">
        <v>5542</v>
      </c>
      <c r="AC893" s="38" t="str">
        <f aca="false">HYPERLINK("https://biocodex6--c.vf.force.com/0014L00000KFfLDQA1", "CHARLON YANNIS")</f>
        <v>CHARLON YANNIS</v>
      </c>
      <c r="AD893" s="38" t="str">
        <f aca="false">HYPERLINK("https://annuairesante.ameli.fr/professionnels-de-sante/recherche/fiche-detaillee-B7c1mzE0ODG2.html", "CHARLON YANNIS")</f>
        <v>CHARLON YANNIS</v>
      </c>
      <c r="AE893" s="39"/>
      <c r="AF893" s="40"/>
      <c r="AG893" s="41"/>
      <c r="AH893" s="32" t="s">
        <v>179</v>
      </c>
      <c r="AI893" s="32"/>
      <c r="AL893" s="43" t="s">
        <v>5543</v>
      </c>
      <c r="AM893" s="43" t="s">
        <v>360</v>
      </c>
      <c r="AN893" s="43" t="s">
        <v>3905</v>
      </c>
      <c r="AO893" s="43" t="s">
        <v>360</v>
      </c>
      <c r="AP893" s="43" t="s">
        <v>5543</v>
      </c>
      <c r="AQ893" s="43" t="s">
        <v>360</v>
      </c>
      <c r="AR893" s="32"/>
      <c r="AS893" s="43" t="s">
        <v>360</v>
      </c>
      <c r="AT893" s="43" t="s">
        <v>5543</v>
      </c>
      <c r="AU893" s="43" t="s">
        <v>360</v>
      </c>
      <c r="XEY893" s="27"/>
      <c r="XEZ893" s="27"/>
      <c r="XFA893" s="27"/>
      <c r="XFB893" s="27"/>
      <c r="XFC893" s="27"/>
      <c r="XFD893" s="27"/>
    </row>
    <row r="894" s="42" customFormat="true" ht="14.15" hidden="false" customHeight="true" outlineLevel="0" collapsed="false">
      <c r="A894" s="28" t="s">
        <v>5544</v>
      </c>
      <c r="B894" s="29" t="s">
        <v>5545</v>
      </c>
      <c r="C894" s="29" t="s">
        <v>5546</v>
      </c>
      <c r="D894" s="30" t="s">
        <v>50</v>
      </c>
      <c r="E894" s="30" t="s">
        <v>421</v>
      </c>
      <c r="F894" s="32" t="n">
        <v>72</v>
      </c>
      <c r="G894" s="31" t="s">
        <v>215</v>
      </c>
      <c r="H894" s="31" t="n">
        <v>1</v>
      </c>
      <c r="I894" s="31" t="s">
        <v>99</v>
      </c>
      <c r="J894" s="29"/>
      <c r="K894" s="29" t="s">
        <v>5547</v>
      </c>
      <c r="L894" s="32" t="n">
        <v>5</v>
      </c>
      <c r="M894" s="33" t="s">
        <v>5548</v>
      </c>
      <c r="N894" s="34" t="n">
        <v>75015</v>
      </c>
      <c r="O894" s="35" t="s">
        <v>55</v>
      </c>
      <c r="P894" s="36" t="s">
        <v>5549</v>
      </c>
      <c r="Q894" s="36" t="n">
        <v>1</v>
      </c>
      <c r="R894" s="32" t="n">
        <v>333</v>
      </c>
      <c r="S894" s="32" t="n">
        <v>1</v>
      </c>
      <c r="T894" s="32"/>
      <c r="U894" s="32"/>
      <c r="V894" s="37"/>
      <c r="W894" s="32"/>
      <c r="X894" s="34"/>
      <c r="Y894" s="34"/>
      <c r="Z894" s="36"/>
      <c r="AA894" s="32" t="s">
        <v>5550</v>
      </c>
      <c r="AB894" s="32" t="s">
        <v>5551</v>
      </c>
      <c r="AC894" s="38" t="str">
        <f aca="false">HYPERLINK("https://biocodex6--c.vf.force.com/0014L00000KFc2uQAD", "DUPRE JEAN PHILIPPE")</f>
        <v>DUPRE JEAN PHILIPPE</v>
      </c>
      <c r="AD894" s="38" t="str">
        <f aca="false">HYPERLINK("https://annuairesante.ameli.fr/professionnels-de-sante/recherche/fiche-detaillee-B7c1kToxMzG6.html", "DUPRE JEAN PHILIPPE")</f>
        <v>DUPRE JEAN PHILIPPE</v>
      </c>
      <c r="AE894" s="39"/>
      <c r="AF894" s="40"/>
      <c r="AG894" s="41"/>
      <c r="AH894" s="32" t="s">
        <v>179</v>
      </c>
      <c r="AI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XEY894" s="27"/>
      <c r="XEZ894" s="27"/>
      <c r="XFA894" s="27"/>
      <c r="XFB894" s="27"/>
      <c r="XFC894" s="27"/>
      <c r="XFD894" s="27"/>
    </row>
    <row r="895" s="42" customFormat="true" ht="14.15" hidden="false" customHeight="true" outlineLevel="0" collapsed="false">
      <c r="A895" s="28" t="s">
        <v>5552</v>
      </c>
      <c r="B895" s="29" t="s">
        <v>1236</v>
      </c>
      <c r="C895" s="29" t="s">
        <v>5553</v>
      </c>
      <c r="D895" s="30" t="s">
        <v>268</v>
      </c>
      <c r="E895" s="31"/>
      <c r="F895" s="32" t="n">
        <v>61</v>
      </c>
      <c r="G895" s="31" t="s">
        <v>215</v>
      </c>
      <c r="H895" s="31" t="n">
        <v>5</v>
      </c>
      <c r="I895" s="31" t="s">
        <v>77</v>
      </c>
      <c r="J895" s="29" t="s">
        <v>580</v>
      </c>
      <c r="K895" s="29" t="s">
        <v>581</v>
      </c>
      <c r="L895" s="32" t="n">
        <v>63</v>
      </c>
      <c r="M895" s="33" t="s">
        <v>80</v>
      </c>
      <c r="N895" s="34" t="n">
        <v>92200</v>
      </c>
      <c r="O895" s="35" t="s">
        <v>81</v>
      </c>
      <c r="P895" s="36" t="s">
        <v>5554</v>
      </c>
      <c r="Q895" s="36" t="n">
        <v>39</v>
      </c>
      <c r="R895" s="32" t="n">
        <v>333</v>
      </c>
      <c r="S895" s="32" t="n">
        <v>1</v>
      </c>
      <c r="T895" s="32"/>
      <c r="U895" s="32"/>
      <c r="V895" s="37"/>
      <c r="W895" s="32"/>
      <c r="X895" s="34"/>
      <c r="Y895" s="34"/>
      <c r="Z895" s="32"/>
      <c r="AA895" s="32" t="s">
        <v>5555</v>
      </c>
      <c r="AB895" s="32" t="s">
        <v>5556</v>
      </c>
      <c r="AC895" s="38" t="str">
        <f aca="false">HYPERLINK("https://biocodex6--c.vf.force.com/0014L00000KFeJCQA1", "GUGLIELMI JEAN MARC")</f>
        <v>GUGLIELMI JEAN MARC</v>
      </c>
      <c r="AD895" s="38" t="str">
        <f aca="false">HYPERLINK("https://annuairesante.ameli.fr/professionnels-de-sante/recherche/fiche-detaillee-CbA1kzQ2Nze3.html", "GUGLIELMI JEAN MARC")</f>
        <v>GUGLIELMI JEAN MARC</v>
      </c>
      <c r="AE895" s="39"/>
      <c r="AF895" s="40"/>
      <c r="AG895" s="41"/>
      <c r="AH895" s="32"/>
      <c r="AI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XEY895" s="27"/>
      <c r="XEZ895" s="27"/>
      <c r="XFA895" s="27"/>
      <c r="XFB895" s="27"/>
      <c r="XFC895" s="27"/>
      <c r="XFD895" s="27"/>
    </row>
    <row r="896" s="42" customFormat="true" ht="14.15" hidden="false" customHeight="true" outlineLevel="0" collapsed="false">
      <c r="A896" s="28" t="s">
        <v>5557</v>
      </c>
      <c r="B896" s="29" t="s">
        <v>419</v>
      </c>
      <c r="C896" s="29" t="s">
        <v>5558</v>
      </c>
      <c r="D896" s="30" t="s">
        <v>268</v>
      </c>
      <c r="E896" s="30" t="s">
        <v>255</v>
      </c>
      <c r="F896" s="32" t="n">
        <v>67</v>
      </c>
      <c r="G896" s="31"/>
      <c r="H896" s="31" t="n">
        <v>1</v>
      </c>
      <c r="I896" s="31" t="s">
        <v>387</v>
      </c>
      <c r="J896" s="29" t="s">
        <v>3242</v>
      </c>
      <c r="K896" s="29" t="s">
        <v>3243</v>
      </c>
      <c r="L896" s="32" t="n">
        <v>11</v>
      </c>
      <c r="M896" s="33" t="s">
        <v>3244</v>
      </c>
      <c r="N896" s="34" t="n">
        <v>75016</v>
      </c>
      <c r="O896" s="35" t="s">
        <v>55</v>
      </c>
      <c r="P896" s="36" t="s">
        <v>3245</v>
      </c>
      <c r="Q896" s="36" t="n">
        <v>15</v>
      </c>
      <c r="R896" s="32" t="n">
        <v>332</v>
      </c>
      <c r="S896" s="32" t="n">
        <v>1</v>
      </c>
      <c r="T896" s="32"/>
      <c r="U896" s="32"/>
      <c r="V896" s="37"/>
      <c r="W896" s="32"/>
      <c r="X896" s="34"/>
      <c r="Y896" s="34"/>
      <c r="Z896" s="36"/>
      <c r="AA896" s="32" t="s">
        <v>5559</v>
      </c>
      <c r="AB896" s="32"/>
      <c r="AC896" s="38" t="str">
        <f aca="false">HYPERLINK("https://biocodex6--c.vf.force.com/0014L00000KFpJ1QAL", "MAHIEUX LAURENT FLORENCE")</f>
        <v>MAHIEUX LAURENT FLORENCE</v>
      </c>
      <c r="AD896" s="38"/>
      <c r="AE896" s="39"/>
      <c r="AF896" s="40"/>
      <c r="AG896" s="41"/>
      <c r="AH896" s="32" t="s">
        <v>179</v>
      </c>
      <c r="AI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XEY896" s="27"/>
      <c r="XEZ896" s="27"/>
      <c r="XFA896" s="27"/>
      <c r="XFB896" s="27"/>
      <c r="XFC896" s="27"/>
      <c r="XFD896" s="27"/>
    </row>
    <row r="897" s="42" customFormat="true" ht="14.15" hidden="false" customHeight="true" outlineLevel="0" collapsed="false">
      <c r="A897" s="28" t="s">
        <v>5560</v>
      </c>
      <c r="B897" s="29" t="s">
        <v>242</v>
      </c>
      <c r="C897" s="29" t="s">
        <v>5561</v>
      </c>
      <c r="D897" s="30" t="s">
        <v>50</v>
      </c>
      <c r="E897" s="30" t="s">
        <v>344</v>
      </c>
      <c r="F897" s="32" t="n">
        <v>65</v>
      </c>
      <c r="G897" s="31"/>
      <c r="H897" s="31" t="n">
        <v>1</v>
      </c>
      <c r="I897" s="31" t="s">
        <v>572</v>
      </c>
      <c r="J897" s="29"/>
      <c r="K897" s="29" t="s">
        <v>5562</v>
      </c>
      <c r="L897" s="32" t="n">
        <v>19</v>
      </c>
      <c r="M897" s="33" t="s">
        <v>5563</v>
      </c>
      <c r="N897" s="34" t="n">
        <v>75008</v>
      </c>
      <c r="O897" s="35" t="s">
        <v>55</v>
      </c>
      <c r="P897" s="36" t="s">
        <v>5564</v>
      </c>
      <c r="Q897" s="36" t="n">
        <v>1</v>
      </c>
      <c r="R897" s="32" t="n">
        <v>330</v>
      </c>
      <c r="S897" s="32" t="n">
        <v>1</v>
      </c>
      <c r="T897" s="32"/>
      <c r="U897" s="32"/>
      <c r="V897" s="37"/>
      <c r="W897" s="32"/>
      <c r="X897" s="34"/>
      <c r="Y897" s="34"/>
      <c r="Z897" s="36"/>
      <c r="AA897" s="32" t="s">
        <v>5565</v>
      </c>
      <c r="AB897" s="32"/>
      <c r="AC897" s="38" t="str">
        <f aca="false">HYPERLINK("https://biocodex6--c.vf.force.com/0014L00000KFeAYQA1", "FORTIN JEROME")</f>
        <v>FORTIN JEROME</v>
      </c>
      <c r="AD897" s="38"/>
      <c r="AE897" s="39"/>
      <c r="AF897" s="40"/>
      <c r="AG897" s="41"/>
      <c r="AH897" s="32" t="s">
        <v>179</v>
      </c>
      <c r="AI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XEY897" s="27"/>
      <c r="XEZ897" s="27"/>
      <c r="XFA897" s="27"/>
      <c r="XFB897" s="27"/>
      <c r="XFC897" s="27"/>
      <c r="XFD897" s="27"/>
    </row>
    <row r="898" s="42" customFormat="true" ht="14.15" hidden="false" customHeight="true" outlineLevel="0" collapsed="false">
      <c r="A898" s="28" t="s">
        <v>5566</v>
      </c>
      <c r="B898" s="29" t="s">
        <v>1766</v>
      </c>
      <c r="C898" s="29" t="s">
        <v>5567</v>
      </c>
      <c r="D898" s="30" t="s">
        <v>75</v>
      </c>
      <c r="E898" s="30" t="s">
        <v>890</v>
      </c>
      <c r="F898" s="32" t="n">
        <v>76</v>
      </c>
      <c r="G898" s="31"/>
      <c r="H898" s="31" t="n">
        <v>1</v>
      </c>
      <c r="I898" s="31" t="s">
        <v>119</v>
      </c>
      <c r="J898" s="29" t="s">
        <v>3456</v>
      </c>
      <c r="K898" s="29" t="s">
        <v>3457</v>
      </c>
      <c r="L898" s="32" t="n">
        <v>2</v>
      </c>
      <c r="M898" s="33" t="s">
        <v>3458</v>
      </c>
      <c r="N898" s="34" t="n">
        <v>75007</v>
      </c>
      <c r="O898" s="35" t="s">
        <v>55</v>
      </c>
      <c r="P898" s="36" t="s">
        <v>4668</v>
      </c>
      <c r="Q898" s="36" t="n">
        <v>5</v>
      </c>
      <c r="R898" s="32" t="n">
        <v>329</v>
      </c>
      <c r="S898" s="32" t="n">
        <v>1</v>
      </c>
      <c r="T898" s="32"/>
      <c r="U898" s="32"/>
      <c r="V898" s="37"/>
      <c r="W898" s="32"/>
      <c r="X898" s="34"/>
      <c r="Y898" s="34"/>
      <c r="Z898" s="36"/>
      <c r="AA898" s="32" t="s">
        <v>5568</v>
      </c>
      <c r="AB898" s="32"/>
      <c r="AC898" s="38" t="str">
        <f aca="false">HYPERLINK("https://biocodex6--c.vf.force.com/0014L00000KFkxhQAD", "KRAINIK FRANCOIS")</f>
        <v>KRAINIK FRANCOIS</v>
      </c>
      <c r="AD898" s="38"/>
      <c r="AE898" s="39"/>
      <c r="AF898" s="40"/>
      <c r="AG898" s="41"/>
      <c r="AH898" s="32" t="s">
        <v>179</v>
      </c>
      <c r="AI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XEY898" s="27"/>
      <c r="XEZ898" s="27"/>
      <c r="XFA898" s="27"/>
      <c r="XFB898" s="27"/>
      <c r="XFC898" s="27"/>
      <c r="XFD898" s="27"/>
    </row>
    <row r="899" s="42" customFormat="true" ht="14.15" hidden="false" customHeight="true" outlineLevel="0" collapsed="false">
      <c r="A899" s="28" t="s">
        <v>5569</v>
      </c>
      <c r="B899" s="29" t="s">
        <v>578</v>
      </c>
      <c r="C899" s="29" t="s">
        <v>5570</v>
      </c>
      <c r="D899" s="30" t="s">
        <v>268</v>
      </c>
      <c r="E899" s="31"/>
      <c r="F899" s="32" t="n">
        <v>59</v>
      </c>
      <c r="G899" s="31" t="s">
        <v>215</v>
      </c>
      <c r="H899" s="31" t="n">
        <v>1</v>
      </c>
      <c r="I899" s="31" t="s">
        <v>77</v>
      </c>
      <c r="J899" s="29" t="s">
        <v>580</v>
      </c>
      <c r="K899" s="29" t="s">
        <v>581</v>
      </c>
      <c r="L899" s="32" t="n">
        <v>63</v>
      </c>
      <c r="M899" s="33" t="s">
        <v>80</v>
      </c>
      <c r="N899" s="34" t="n">
        <v>92200</v>
      </c>
      <c r="O899" s="35" t="s">
        <v>81</v>
      </c>
      <c r="P899" s="36" t="s">
        <v>3916</v>
      </c>
      <c r="Q899" s="36" t="n">
        <v>39</v>
      </c>
      <c r="R899" s="32" t="n">
        <v>328</v>
      </c>
      <c r="S899" s="32" t="n">
        <v>1</v>
      </c>
      <c r="T899" s="32"/>
      <c r="U899" s="32"/>
      <c r="V899" s="37"/>
      <c r="W899" s="32"/>
      <c r="X899" s="34"/>
      <c r="Y899" s="34"/>
      <c r="Z899" s="32"/>
      <c r="AA899" s="32" t="s">
        <v>5571</v>
      </c>
      <c r="AB899" s="32" t="s">
        <v>5572</v>
      </c>
      <c r="AC899" s="38" t="str">
        <f aca="false">HYPERLINK("https://biocodex6--c.vf.force.com/0014L00000KG2U1QAL", "TAILLIA HERVE")</f>
        <v>TAILLIA HERVE</v>
      </c>
      <c r="AD899" s="38" t="str">
        <f aca="false">HYPERLINK("https://annuairesante.ameli.fr/professionnels-de-sante/recherche/fiche-detaillee-CbA1kDE4Njq1.html", "TAILLIA HERVE")</f>
        <v>TAILLIA HERVE</v>
      </c>
      <c r="AE899" s="39"/>
      <c r="AF899" s="40"/>
      <c r="AG899" s="41"/>
      <c r="AH899" s="32"/>
      <c r="AI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XEY899" s="27"/>
      <c r="XEZ899" s="27"/>
      <c r="XFA899" s="27"/>
      <c r="XFB899" s="27"/>
      <c r="XFC899" s="27"/>
      <c r="XFD899" s="27"/>
    </row>
    <row r="900" s="42" customFormat="true" ht="14.15" hidden="false" customHeight="true" outlineLevel="0" collapsed="false">
      <c r="A900" s="28" t="s">
        <v>5573</v>
      </c>
      <c r="B900" s="29" t="s">
        <v>182</v>
      </c>
      <c r="C900" s="29" t="s">
        <v>5574</v>
      </c>
      <c r="D900" s="30" t="s">
        <v>50</v>
      </c>
      <c r="E900" s="30" t="s">
        <v>2401</v>
      </c>
      <c r="F900" s="32" t="n">
        <v>67</v>
      </c>
      <c r="G900" s="31"/>
      <c r="H900" s="31" t="n">
        <v>1</v>
      </c>
      <c r="I900" s="31" t="s">
        <v>572</v>
      </c>
      <c r="J900" s="29"/>
      <c r="K900" s="29" t="s">
        <v>5575</v>
      </c>
      <c r="L900" s="32" t="n">
        <v>66</v>
      </c>
      <c r="M900" s="33" t="s">
        <v>5576</v>
      </c>
      <c r="N900" s="34" t="n">
        <v>75008</v>
      </c>
      <c r="O900" s="35" t="s">
        <v>55</v>
      </c>
      <c r="P900" s="36"/>
      <c r="Q900" s="36" t="n">
        <v>1</v>
      </c>
      <c r="R900" s="32" t="n">
        <v>327</v>
      </c>
      <c r="S900" s="32" t="n">
        <v>1</v>
      </c>
      <c r="T900" s="32"/>
      <c r="U900" s="32"/>
      <c r="V900" s="37"/>
      <c r="W900" s="32"/>
      <c r="X900" s="34"/>
      <c r="Y900" s="34"/>
      <c r="Z900" s="36"/>
      <c r="AA900" s="32" t="s">
        <v>5577</v>
      </c>
      <c r="AB900" s="32"/>
      <c r="AC900" s="38" t="str">
        <f aca="false">HYPERLINK("https://biocodex6--c.vf.force.com/0014L00000KFjewQAD", "JAIS LAURENT")</f>
        <v>JAIS LAURENT</v>
      </c>
      <c r="AD900" s="38"/>
      <c r="AE900" s="39"/>
      <c r="AF900" s="40"/>
      <c r="AG900" s="41"/>
      <c r="AH900" s="32" t="s">
        <v>179</v>
      </c>
      <c r="AI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XEY900" s="27"/>
      <c r="XEZ900" s="27"/>
      <c r="XFA900" s="27"/>
      <c r="XFB900" s="27"/>
      <c r="XFC900" s="27"/>
      <c r="XFD900" s="27"/>
    </row>
    <row r="901" s="42" customFormat="true" ht="14.15" hidden="false" customHeight="true" outlineLevel="0" collapsed="false">
      <c r="A901" s="28" t="s">
        <v>5578</v>
      </c>
      <c r="B901" s="29" t="s">
        <v>2433</v>
      </c>
      <c r="C901" s="29" t="s">
        <v>5579</v>
      </c>
      <c r="D901" s="30" t="s">
        <v>50</v>
      </c>
      <c r="E901" s="30" t="s">
        <v>421</v>
      </c>
      <c r="F901" s="32" t="n">
        <v>73</v>
      </c>
      <c r="G901" s="31"/>
      <c r="H901" s="31" t="n">
        <v>1</v>
      </c>
      <c r="I901" s="31" t="s">
        <v>572</v>
      </c>
      <c r="J901" s="29"/>
      <c r="K901" s="29" t="s">
        <v>5580</v>
      </c>
      <c r="L901" s="32" t="n">
        <v>68</v>
      </c>
      <c r="M901" s="33" t="s">
        <v>1661</v>
      </c>
      <c r="N901" s="34" t="n">
        <v>75008</v>
      </c>
      <c r="O901" s="35" t="s">
        <v>55</v>
      </c>
      <c r="P901" s="36" t="s">
        <v>5581</v>
      </c>
      <c r="Q901" s="36" t="n">
        <v>1</v>
      </c>
      <c r="R901" s="32" t="n">
        <v>325</v>
      </c>
      <c r="S901" s="32" t="n">
        <v>1</v>
      </c>
      <c r="T901" s="32"/>
      <c r="U901" s="32"/>
      <c r="V901" s="37"/>
      <c r="W901" s="32"/>
      <c r="X901" s="34"/>
      <c r="Y901" s="34"/>
      <c r="Z901" s="36"/>
      <c r="AA901" s="32" t="s">
        <v>5582</v>
      </c>
      <c r="AB901" s="32"/>
      <c r="AC901" s="38" t="str">
        <f aca="false">HYPERLINK("https://biocodex6--c.vf.force.com/0014L00000KFijtQAD", "HERTZOG BERNARD")</f>
        <v>HERTZOG BERNARD</v>
      </c>
      <c r="AD901" s="38"/>
      <c r="AE901" s="39"/>
      <c r="AF901" s="40"/>
      <c r="AG901" s="41"/>
      <c r="AH901" s="32" t="s">
        <v>179</v>
      </c>
      <c r="AI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XEY901" s="27"/>
      <c r="XEZ901" s="27"/>
      <c r="XFA901" s="27"/>
      <c r="XFB901" s="27"/>
      <c r="XFC901" s="27"/>
      <c r="XFD901" s="27"/>
    </row>
    <row r="902" s="42" customFormat="true" ht="14.15" hidden="false" customHeight="true" outlineLevel="0" collapsed="false">
      <c r="A902" s="28" t="s">
        <v>5583</v>
      </c>
      <c r="B902" s="29" t="s">
        <v>685</v>
      </c>
      <c r="C902" s="29" t="s">
        <v>5584</v>
      </c>
      <c r="D902" s="30" t="s">
        <v>50</v>
      </c>
      <c r="E902" s="31"/>
      <c r="F902" s="32" t="n">
        <v>55</v>
      </c>
      <c r="G902" s="31"/>
      <c r="H902" s="31" t="n">
        <v>2</v>
      </c>
      <c r="I902" s="31" t="s">
        <v>197</v>
      </c>
      <c r="J902" s="29"/>
      <c r="K902" s="29" t="s">
        <v>5585</v>
      </c>
      <c r="L902" s="32" t="n">
        <v>63</v>
      </c>
      <c r="M902" s="33" t="s">
        <v>4514</v>
      </c>
      <c r="N902" s="34" t="n">
        <v>75017</v>
      </c>
      <c r="O902" s="35" t="s">
        <v>55</v>
      </c>
      <c r="P902" s="36" t="s">
        <v>5586</v>
      </c>
      <c r="Q902" s="36" t="n">
        <v>1</v>
      </c>
      <c r="R902" s="32" t="n">
        <v>324</v>
      </c>
      <c r="S902" s="32" t="n">
        <v>1</v>
      </c>
      <c r="T902" s="32"/>
      <c r="U902" s="32"/>
      <c r="V902" s="37"/>
      <c r="W902" s="32"/>
      <c r="X902" s="34"/>
      <c r="Y902" s="34"/>
      <c r="Z902" s="36"/>
      <c r="AA902" s="32" t="s">
        <v>5587</v>
      </c>
      <c r="AB902" s="32"/>
      <c r="AC902" s="38" t="str">
        <f aca="false">HYPERLINK("https://biocodex6--c.vf.force.com/0014L00000KG4A7QAL", "TORDJMAN LEVY MURIEL")</f>
        <v>TORDJMAN LEVY MURIEL</v>
      </c>
      <c r="AD902" s="38"/>
      <c r="AE902" s="39"/>
      <c r="AF902" s="40"/>
      <c r="AG902" s="41"/>
      <c r="AH902" s="32" t="s">
        <v>179</v>
      </c>
      <c r="AI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XEY902" s="27"/>
      <c r="XEZ902" s="27"/>
      <c r="XFA902" s="27"/>
      <c r="XFB902" s="27"/>
      <c r="XFC902" s="27"/>
      <c r="XFD902" s="27"/>
    </row>
    <row r="903" s="42" customFormat="true" ht="14.15" hidden="false" customHeight="true" outlineLevel="0" collapsed="false">
      <c r="A903" s="28" t="s">
        <v>5588</v>
      </c>
      <c r="B903" s="29" t="s">
        <v>1766</v>
      </c>
      <c r="C903" s="29" t="s">
        <v>5589</v>
      </c>
      <c r="D903" s="30" t="s">
        <v>244</v>
      </c>
      <c r="E903" s="30" t="s">
        <v>2290</v>
      </c>
      <c r="F903" s="32" t="n">
        <v>61</v>
      </c>
      <c r="G903" s="31" t="s">
        <v>215</v>
      </c>
      <c r="H903" s="31" t="n">
        <v>1</v>
      </c>
      <c r="I903" s="31" t="s">
        <v>197</v>
      </c>
      <c r="J903" s="29"/>
      <c r="K903" s="29" t="s">
        <v>5590</v>
      </c>
      <c r="L903" s="32" t="n">
        <v>15</v>
      </c>
      <c r="M903" s="33" t="s">
        <v>2355</v>
      </c>
      <c r="N903" s="34" t="n">
        <v>75017</v>
      </c>
      <c r="O903" s="35" t="s">
        <v>55</v>
      </c>
      <c r="P903" s="36" t="s">
        <v>5591</v>
      </c>
      <c r="Q903" s="36" t="n">
        <v>1</v>
      </c>
      <c r="R903" s="32" t="n">
        <v>324</v>
      </c>
      <c r="S903" s="32" t="n">
        <v>1</v>
      </c>
      <c r="T903" s="32"/>
      <c r="U903" s="32"/>
      <c r="V903" s="37"/>
      <c r="W903" s="32"/>
      <c r="X903" s="34"/>
      <c r="Y903" s="34"/>
      <c r="Z903" s="36"/>
      <c r="AA903" s="32" t="s">
        <v>5592</v>
      </c>
      <c r="AB903" s="32" t="s">
        <v>5593</v>
      </c>
      <c r="AC903" s="38" t="str">
        <f aca="false">HYPERLINK("https://biocodex6--c.vf.force.com/0014L00000KFu3aQAD", "OLIVENNES FRANCOIS")</f>
        <v>OLIVENNES FRANCOIS</v>
      </c>
      <c r="AD903" s="38" t="str">
        <f aca="false">HYPERLINK("https://annuairesante.ameli.fr/professionnels-de-sante/recherche/fiche-detaillee-B7c1lDo5MjO7.html", "OLIVENNES FRANCOIS")</f>
        <v>OLIVENNES FRANCOIS</v>
      </c>
      <c r="AE903" s="39"/>
      <c r="AF903" s="40"/>
      <c r="AG903" s="41"/>
      <c r="AH903" s="32" t="s">
        <v>179</v>
      </c>
      <c r="AI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XEY903" s="27"/>
      <c r="XEZ903" s="27"/>
      <c r="XFA903" s="27"/>
      <c r="XFB903" s="27"/>
      <c r="XFC903" s="27"/>
      <c r="XFD903" s="27"/>
    </row>
    <row r="904" s="42" customFormat="true" ht="14.15" hidden="false" customHeight="true" outlineLevel="0" collapsed="false">
      <c r="A904" s="28" t="s">
        <v>5594</v>
      </c>
      <c r="B904" s="29" t="s">
        <v>1236</v>
      </c>
      <c r="C904" s="29" t="s">
        <v>5595</v>
      </c>
      <c r="D904" s="30" t="s">
        <v>50</v>
      </c>
      <c r="E904" s="30" t="s">
        <v>421</v>
      </c>
      <c r="F904" s="32" t="n">
        <v>70</v>
      </c>
      <c r="G904" s="31" t="s">
        <v>215</v>
      </c>
      <c r="H904" s="31" t="n">
        <v>5</v>
      </c>
      <c r="I904" s="31" t="s">
        <v>572</v>
      </c>
      <c r="J904" s="29"/>
      <c r="K904" s="29" t="s">
        <v>5596</v>
      </c>
      <c r="L904" s="32" t="n">
        <v>19</v>
      </c>
      <c r="M904" s="33" t="s">
        <v>2957</v>
      </c>
      <c r="N904" s="34" t="n">
        <v>75008</v>
      </c>
      <c r="O904" s="35" t="s">
        <v>55</v>
      </c>
      <c r="P904" s="36" t="s">
        <v>5597</v>
      </c>
      <c r="Q904" s="36" t="n">
        <v>1</v>
      </c>
      <c r="R904" s="32" t="n">
        <v>322</v>
      </c>
      <c r="S904" s="32" t="n">
        <v>1</v>
      </c>
      <c r="T904" s="32"/>
      <c r="U904" s="32"/>
      <c r="V904" s="37"/>
      <c r="W904" s="32"/>
      <c r="X904" s="34"/>
      <c r="Y904" s="34"/>
      <c r="Z904" s="36"/>
      <c r="AA904" s="32" t="s">
        <v>5598</v>
      </c>
      <c r="AB904" s="32" t="s">
        <v>5599</v>
      </c>
      <c r="AC904" s="38" t="str">
        <f aca="false">HYPERLINK("https://biocodex6--c.vf.force.com/0014L00000KFSWTQA5", "BENHAIEM JEAN MARC")</f>
        <v>BENHAIEM JEAN MARC</v>
      </c>
      <c r="AD904" s="38" t="str">
        <f aca="false">HYPERLINK("https://annuairesante.ameli.fr/professionnels-de-sante/recherche/fiche-detaillee-B7c1kTc2MzS7.html", "BENHAIEM JEAN MARC")</f>
        <v>BENHAIEM JEAN MARC</v>
      </c>
      <c r="AE904" s="39"/>
      <c r="AF904" s="40"/>
      <c r="AG904" s="41"/>
      <c r="AH904" s="32" t="s">
        <v>179</v>
      </c>
      <c r="AI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XEY904" s="27"/>
      <c r="XEZ904" s="27"/>
      <c r="XFA904" s="27"/>
      <c r="XFB904" s="27"/>
      <c r="XFC904" s="27"/>
      <c r="XFD904" s="27"/>
    </row>
    <row r="905" s="42" customFormat="true" ht="14.15" hidden="false" customHeight="true" outlineLevel="0" collapsed="false">
      <c r="A905" s="28" t="s">
        <v>5600</v>
      </c>
      <c r="B905" s="29" t="s">
        <v>1007</v>
      </c>
      <c r="C905" s="29" t="s">
        <v>5601</v>
      </c>
      <c r="D905" s="30" t="s">
        <v>50</v>
      </c>
      <c r="E905" s="31"/>
      <c r="F905" s="32" t="n">
        <v>54</v>
      </c>
      <c r="G905" s="31" t="s">
        <v>215</v>
      </c>
      <c r="H905" s="31" t="n">
        <v>1</v>
      </c>
      <c r="I905" s="31" t="s">
        <v>295</v>
      </c>
      <c r="J905" s="29"/>
      <c r="K905" s="29" t="s">
        <v>5602</v>
      </c>
      <c r="L905" s="32" t="n">
        <v>52</v>
      </c>
      <c r="M905" s="33" t="s">
        <v>5603</v>
      </c>
      <c r="N905" s="34" t="n">
        <v>92300</v>
      </c>
      <c r="O905" s="35" t="s">
        <v>298</v>
      </c>
      <c r="P905" s="36" t="s">
        <v>5604</v>
      </c>
      <c r="Q905" s="36" t="n">
        <v>1</v>
      </c>
      <c r="R905" s="32" t="n">
        <v>322</v>
      </c>
      <c r="S905" s="32" t="n">
        <v>1</v>
      </c>
      <c r="T905" s="32"/>
      <c r="U905" s="32"/>
      <c r="V905" s="37"/>
      <c r="W905" s="32"/>
      <c r="X905" s="34"/>
      <c r="Y905" s="34"/>
      <c r="Z905" s="36"/>
      <c r="AA905" s="32" t="s">
        <v>5605</v>
      </c>
      <c r="AB905" s="32" t="s">
        <v>5606</v>
      </c>
      <c r="AC905" s="38" t="str">
        <f aca="false">HYPERLINK("https://biocodex6--c.vf.force.com/0014L00000KFsknQAD", "MORYUSEF DAVID")</f>
        <v>MORYUSEF DAVID</v>
      </c>
      <c r="AD905" s="38" t="str">
        <f aca="false">HYPERLINK("https://annuairesante.ameli.fr/professionnels-de-sante/recherche/fiche-detaillee-CbA1kDE2MDW7.html", "MORYUSEF DAVID")</f>
        <v>MORYUSEF DAVID</v>
      </c>
      <c r="AE905" s="39"/>
      <c r="AF905" s="40"/>
      <c r="AG905" s="41"/>
      <c r="AH905" s="32" t="s">
        <v>179</v>
      </c>
      <c r="AI905" s="32"/>
      <c r="AL905" s="43" t="s">
        <v>263</v>
      </c>
      <c r="AM905" s="43" t="s">
        <v>126</v>
      </c>
      <c r="AN905" s="43" t="s">
        <v>263</v>
      </c>
      <c r="AO905" s="43" t="s">
        <v>126</v>
      </c>
      <c r="AP905" s="43" t="s">
        <v>263</v>
      </c>
      <c r="AQ905" s="43" t="s">
        <v>126</v>
      </c>
      <c r="AR905" s="43" t="s">
        <v>263</v>
      </c>
      <c r="AS905" s="43" t="s">
        <v>126</v>
      </c>
      <c r="AT905" s="43" t="s">
        <v>263</v>
      </c>
      <c r="AU905" s="43" t="s">
        <v>5607</v>
      </c>
      <c r="XEY905" s="27"/>
      <c r="XEZ905" s="27"/>
      <c r="XFA905" s="27"/>
      <c r="XFB905" s="27"/>
      <c r="XFC905" s="27"/>
      <c r="XFD905" s="27"/>
    </row>
    <row r="906" s="42" customFormat="true" ht="14.15" hidden="false" customHeight="true" outlineLevel="0" collapsed="false">
      <c r="A906" s="28" t="s">
        <v>5608</v>
      </c>
      <c r="B906" s="29" t="s">
        <v>195</v>
      </c>
      <c r="C906" s="29" t="s">
        <v>5609</v>
      </c>
      <c r="D906" s="30" t="s">
        <v>50</v>
      </c>
      <c r="E906" s="30" t="s">
        <v>818</v>
      </c>
      <c r="F906" s="32" t="n">
        <v>65</v>
      </c>
      <c r="G906" s="31"/>
      <c r="H906" s="31" t="n">
        <v>1</v>
      </c>
      <c r="I906" s="31" t="s">
        <v>295</v>
      </c>
      <c r="J906" s="29"/>
      <c r="K906" s="29" t="s">
        <v>5610</v>
      </c>
      <c r="L906" s="32" t="n">
        <v>35</v>
      </c>
      <c r="M906" s="33" t="s">
        <v>713</v>
      </c>
      <c r="N906" s="34" t="n">
        <v>92300</v>
      </c>
      <c r="O906" s="35" t="s">
        <v>298</v>
      </c>
      <c r="P906" s="36" t="s">
        <v>5611</v>
      </c>
      <c r="Q906" s="36" t="n">
        <v>1</v>
      </c>
      <c r="R906" s="32" t="n">
        <v>320</v>
      </c>
      <c r="S906" s="32" t="n">
        <v>1</v>
      </c>
      <c r="T906" s="32"/>
      <c r="U906" s="32"/>
      <c r="V906" s="37"/>
      <c r="W906" s="32"/>
      <c r="X906" s="34"/>
      <c r="Y906" s="34"/>
      <c r="Z906" s="36"/>
      <c r="AA906" s="32" t="s">
        <v>5612</v>
      </c>
      <c r="AB906" s="32"/>
      <c r="AC906" s="38" t="str">
        <f aca="false">HYPERLINK("https://biocodex6--c.vf.force.com/0014L00000KG24gQAD", "SPECIEL PHILIPPE")</f>
        <v>SPECIEL PHILIPPE</v>
      </c>
      <c r="AD906" s="38"/>
      <c r="AE906" s="39"/>
      <c r="AF906" s="40"/>
      <c r="AG906" s="41"/>
      <c r="AH906" s="32" t="s">
        <v>179</v>
      </c>
      <c r="AI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XEY906" s="27"/>
      <c r="XEZ906" s="27"/>
      <c r="XFA906" s="27"/>
      <c r="XFB906" s="27"/>
      <c r="XFC906" s="27"/>
      <c r="XFD906" s="27"/>
    </row>
    <row r="907" s="42" customFormat="true" ht="14.15" hidden="false" customHeight="true" outlineLevel="0" collapsed="false">
      <c r="A907" s="28" t="s">
        <v>5613</v>
      </c>
      <c r="B907" s="29" t="s">
        <v>142</v>
      </c>
      <c r="C907" s="29" t="s">
        <v>5614</v>
      </c>
      <c r="D907" s="30" t="s">
        <v>50</v>
      </c>
      <c r="E907" s="31"/>
      <c r="F907" s="32" t="n">
        <v>75</v>
      </c>
      <c r="G907" s="31" t="s">
        <v>215</v>
      </c>
      <c r="H907" s="31" t="n">
        <v>1</v>
      </c>
      <c r="I907" s="31" t="s">
        <v>572</v>
      </c>
      <c r="J907" s="29"/>
      <c r="K907" s="29" t="s">
        <v>797</v>
      </c>
      <c r="L907" s="32" t="n">
        <v>86</v>
      </c>
      <c r="M907" s="33" t="s">
        <v>798</v>
      </c>
      <c r="N907" s="34" t="n">
        <v>75008</v>
      </c>
      <c r="O907" s="35" t="s">
        <v>55</v>
      </c>
      <c r="P907" s="36" t="s">
        <v>5615</v>
      </c>
      <c r="Q907" s="36" t="n">
        <v>3</v>
      </c>
      <c r="R907" s="32" t="n">
        <v>319</v>
      </c>
      <c r="S907" s="32" t="n">
        <v>1</v>
      </c>
      <c r="T907" s="32"/>
      <c r="U907" s="32"/>
      <c r="V907" s="37"/>
      <c r="W907" s="32"/>
      <c r="X907" s="34"/>
      <c r="Y907" s="34"/>
      <c r="Z907" s="36"/>
      <c r="AA907" s="32" t="s">
        <v>5616</v>
      </c>
      <c r="AB907" s="32" t="s">
        <v>5617</v>
      </c>
      <c r="AC907" s="38" t="str">
        <f aca="false">HYPERLINK("https://biocodex6--c.vf.force.com/0014L00000KG3QZQA1", "TORDJMAN MICHEL")</f>
        <v>TORDJMAN MICHEL</v>
      </c>
      <c r="AD907" s="38" t="str">
        <f aca="false">HYPERLINK("https://annuairesante.ameli.fr/professionnels-de-sante/recherche/fiche-detaillee-B7c1kTE0Nzex.html", "TORDJMAN MICHEL")</f>
        <v>TORDJMAN MICHEL</v>
      </c>
      <c r="AE907" s="39"/>
      <c r="AF907" s="40"/>
      <c r="AG907" s="41"/>
      <c r="AH907" s="32" t="s">
        <v>179</v>
      </c>
      <c r="AI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43" t="s">
        <v>866</v>
      </c>
      <c r="XEY907" s="27"/>
      <c r="XEZ907" s="27"/>
      <c r="XFA907" s="27"/>
      <c r="XFB907" s="27"/>
      <c r="XFC907" s="27"/>
      <c r="XFD907" s="27"/>
    </row>
    <row r="908" s="42" customFormat="true" ht="14.15" hidden="false" customHeight="true" outlineLevel="0" collapsed="false">
      <c r="A908" s="28" t="s">
        <v>5618</v>
      </c>
      <c r="B908" s="29" t="s">
        <v>1403</v>
      </c>
      <c r="C908" s="29" t="s">
        <v>5619</v>
      </c>
      <c r="D908" s="30" t="s">
        <v>50</v>
      </c>
      <c r="E908" s="31"/>
      <c r="F908" s="32" t="n">
        <v>71</v>
      </c>
      <c r="G908" s="31" t="s">
        <v>215</v>
      </c>
      <c r="H908" s="31" t="n">
        <v>1</v>
      </c>
      <c r="I908" s="31" t="s">
        <v>119</v>
      </c>
      <c r="J908" s="29"/>
      <c r="K908" s="29" t="s">
        <v>5620</v>
      </c>
      <c r="L908" s="32" t="n">
        <v>32</v>
      </c>
      <c r="M908" s="33" t="s">
        <v>5621</v>
      </c>
      <c r="N908" s="34" t="n">
        <v>75007</v>
      </c>
      <c r="O908" s="35" t="s">
        <v>55</v>
      </c>
      <c r="P908" s="36" t="s">
        <v>5622</v>
      </c>
      <c r="Q908" s="36" t="n">
        <v>1</v>
      </c>
      <c r="R908" s="32" t="n">
        <v>317</v>
      </c>
      <c r="S908" s="32" t="n">
        <v>1</v>
      </c>
      <c r="T908" s="32"/>
      <c r="U908" s="32"/>
      <c r="V908" s="37"/>
      <c r="W908" s="32"/>
      <c r="X908" s="34"/>
      <c r="Y908" s="34"/>
      <c r="Z908" s="36"/>
      <c r="AA908" s="32" t="s">
        <v>5623</v>
      </c>
      <c r="AB908" s="32" t="s">
        <v>5624</v>
      </c>
      <c r="AC908" s="38" t="str">
        <f aca="false">HYPERLINK("https://biocodex6--c.vf.force.com/0014L00000KG0QFQA1", "SANSON KERMARREC BRIGITTE")</f>
        <v>SANSON KERMARREC BRIGITTE</v>
      </c>
      <c r="AD908" s="38" t="str">
        <f aca="false">HYPERLINK("https://annuairesante.ameli.fr/professionnels-de-sante/recherche/fiche-detaillee-B7c1kTo3ODq7.html", "SANSON KERMARREC BRIGITTE")</f>
        <v>SANSON KERMARREC BRIGITTE</v>
      </c>
      <c r="AE908" s="39"/>
      <c r="AF908" s="40"/>
      <c r="AG908" s="41"/>
      <c r="AH908" s="32" t="s">
        <v>179</v>
      </c>
      <c r="AI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XEY908" s="27"/>
      <c r="XEZ908" s="27"/>
      <c r="XFA908" s="27"/>
      <c r="XFB908" s="27"/>
      <c r="XFC908" s="27"/>
      <c r="XFD908" s="27"/>
    </row>
    <row r="909" s="42" customFormat="true" ht="14.15" hidden="false" customHeight="true" outlineLevel="0" collapsed="false">
      <c r="A909" s="28" t="s">
        <v>5625</v>
      </c>
      <c r="B909" s="29" t="s">
        <v>5626</v>
      </c>
      <c r="C909" s="29" t="s">
        <v>5627</v>
      </c>
      <c r="D909" s="30" t="s">
        <v>50</v>
      </c>
      <c r="E909" s="31"/>
      <c r="F909" s="32" t="n">
        <v>64</v>
      </c>
      <c r="G909" s="31" t="s">
        <v>345</v>
      </c>
      <c r="H909" s="31" t="n">
        <v>1</v>
      </c>
      <c r="I909" s="31" t="s">
        <v>119</v>
      </c>
      <c r="J909" s="29"/>
      <c r="K909" s="29" t="s">
        <v>5628</v>
      </c>
      <c r="L909" s="32" t="n">
        <v>1</v>
      </c>
      <c r="M909" s="33" t="s">
        <v>3677</v>
      </c>
      <c r="N909" s="34" t="n">
        <v>75007</v>
      </c>
      <c r="O909" s="35" t="s">
        <v>55</v>
      </c>
      <c r="P909" s="36" t="s">
        <v>5629</v>
      </c>
      <c r="Q909" s="36" t="n">
        <v>1</v>
      </c>
      <c r="R909" s="32" t="n">
        <v>316</v>
      </c>
      <c r="S909" s="32" t="n">
        <v>1</v>
      </c>
      <c r="T909" s="32"/>
      <c r="U909" s="32"/>
      <c r="V909" s="37"/>
      <c r="W909" s="32"/>
      <c r="X909" s="34"/>
      <c r="Y909" s="34"/>
      <c r="Z909" s="36"/>
      <c r="AA909" s="32" t="s">
        <v>5630</v>
      </c>
      <c r="AB909" s="32" t="s">
        <v>5631</v>
      </c>
      <c r="AC909" s="38" t="str">
        <f aca="false">HYPERLINK("https://biocodex6--c.vf.force.com/0014L00000KG1XuQAL", "SALZMAN JESSULA NANCY")</f>
        <v>SALZMAN JESSULA NANCY</v>
      </c>
      <c r="AD909" s="38" t="str">
        <f aca="false">HYPERLINK("https://annuairesante.ameli.fr/professionnels-de-sante/recherche/fiche-detaillee-B7c1lDIzMDK2.html", "SALZMAN JESSULA NANCY")</f>
        <v>SALZMAN JESSULA NANCY</v>
      </c>
      <c r="AE909" s="39"/>
      <c r="AF909" s="40"/>
      <c r="AG909" s="41"/>
      <c r="AH909" s="32" t="s">
        <v>179</v>
      </c>
      <c r="AI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XEY909" s="27"/>
      <c r="XEZ909" s="27"/>
      <c r="XFA909" s="27"/>
      <c r="XFB909" s="27"/>
      <c r="XFC909" s="27"/>
      <c r="XFD909" s="27"/>
    </row>
    <row r="910" s="42" customFormat="true" ht="14.15" hidden="false" customHeight="true" outlineLevel="0" collapsed="false">
      <c r="A910" s="28" t="s">
        <v>5632</v>
      </c>
      <c r="B910" s="29" t="s">
        <v>2794</v>
      </c>
      <c r="C910" s="29" t="s">
        <v>5633</v>
      </c>
      <c r="D910" s="30" t="s">
        <v>50</v>
      </c>
      <c r="E910" s="31"/>
      <c r="F910" s="32" t="n">
        <v>74</v>
      </c>
      <c r="G910" s="31"/>
      <c r="H910" s="31" t="n">
        <v>1</v>
      </c>
      <c r="I910" s="31" t="s">
        <v>119</v>
      </c>
      <c r="J910" s="29"/>
      <c r="K910" s="29" t="s">
        <v>5634</v>
      </c>
      <c r="L910" s="32" t="n">
        <v>50</v>
      </c>
      <c r="M910" s="33" t="s">
        <v>5635</v>
      </c>
      <c r="N910" s="34" t="n">
        <v>75007</v>
      </c>
      <c r="O910" s="35" t="s">
        <v>55</v>
      </c>
      <c r="P910" s="36" t="s">
        <v>5636</v>
      </c>
      <c r="Q910" s="36" t="n">
        <v>1</v>
      </c>
      <c r="R910" s="32" t="n">
        <v>314</v>
      </c>
      <c r="S910" s="32" t="n">
        <v>1</v>
      </c>
      <c r="T910" s="32"/>
      <c r="U910" s="32"/>
      <c r="V910" s="37"/>
      <c r="W910" s="32"/>
      <c r="X910" s="34"/>
      <c r="Y910" s="34"/>
      <c r="Z910" s="36"/>
      <c r="AA910" s="32" t="s">
        <v>5637</v>
      </c>
      <c r="AB910" s="32"/>
      <c r="AC910" s="38" t="str">
        <f aca="false">HYPERLINK("https://biocodex6--c.vf.force.com/0014L00000KFuVyQAL", "PANHARD CLAIRE")</f>
        <v>PANHARD CLAIRE</v>
      </c>
      <c r="AD910" s="38"/>
      <c r="AE910" s="39"/>
      <c r="AF910" s="40"/>
      <c r="AG910" s="41"/>
      <c r="AH910" s="32" t="s">
        <v>179</v>
      </c>
      <c r="AI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XEY910" s="27"/>
      <c r="XEZ910" s="27"/>
      <c r="XFA910" s="27"/>
      <c r="XFB910" s="27"/>
      <c r="XFC910" s="27"/>
      <c r="XFD910" s="27"/>
    </row>
    <row r="911" s="42" customFormat="true" ht="14.15" hidden="false" customHeight="true" outlineLevel="0" collapsed="false">
      <c r="A911" s="28" t="s">
        <v>5638</v>
      </c>
      <c r="B911" s="29" t="s">
        <v>1294</v>
      </c>
      <c r="C911" s="29" t="s">
        <v>5639</v>
      </c>
      <c r="D911" s="30" t="s">
        <v>50</v>
      </c>
      <c r="E911" s="30" t="s">
        <v>386</v>
      </c>
      <c r="F911" s="32"/>
      <c r="G911" s="31"/>
      <c r="H911" s="31" t="n">
        <v>1</v>
      </c>
      <c r="I911" s="31" t="s">
        <v>77</v>
      </c>
      <c r="J911" s="29"/>
      <c r="K911" s="29" t="s">
        <v>3943</v>
      </c>
      <c r="L911" s="32" t="n">
        <v>25</v>
      </c>
      <c r="M911" s="33" t="s">
        <v>80</v>
      </c>
      <c r="N911" s="34" t="n">
        <v>92200</v>
      </c>
      <c r="O911" s="35" t="s">
        <v>81</v>
      </c>
      <c r="P911" s="36" t="s">
        <v>5640</v>
      </c>
      <c r="Q911" s="36" t="n">
        <v>3</v>
      </c>
      <c r="R911" s="32" t="n">
        <v>313</v>
      </c>
      <c r="S911" s="32" t="n">
        <v>1</v>
      </c>
      <c r="T911" s="32"/>
      <c r="U911" s="32"/>
      <c r="V911" s="37"/>
      <c r="W911" s="32"/>
      <c r="X911" s="34"/>
      <c r="Y911" s="34"/>
      <c r="Z911" s="36"/>
      <c r="AA911" s="32" t="s">
        <v>5641</v>
      </c>
      <c r="AB911" s="32"/>
      <c r="AC911" s="38" t="str">
        <f aca="false">HYPERLINK("https://biocodex6--c.vf.force.com/0014L00000KFQedQAH", "ANDLAUER HELLOCO ADELINE")</f>
        <v>ANDLAUER HELLOCO ADELINE</v>
      </c>
      <c r="AD911" s="38"/>
      <c r="AE911" s="39"/>
      <c r="AF911" s="40"/>
      <c r="AG911" s="41"/>
      <c r="AH911" s="32" t="s">
        <v>179</v>
      </c>
      <c r="AI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XEY911" s="27"/>
      <c r="XEZ911" s="27"/>
      <c r="XFA911" s="27"/>
      <c r="XFB911" s="27"/>
      <c r="XFC911" s="27"/>
      <c r="XFD911" s="27"/>
    </row>
    <row r="912" s="42" customFormat="true" ht="14.15" hidden="false" customHeight="true" outlineLevel="0" collapsed="false">
      <c r="A912" s="28" t="s">
        <v>3984</v>
      </c>
      <c r="B912" s="29" t="s">
        <v>868</v>
      </c>
      <c r="C912" s="29" t="s">
        <v>5642</v>
      </c>
      <c r="D912" s="30" t="s">
        <v>244</v>
      </c>
      <c r="E912" s="30" t="s">
        <v>245</v>
      </c>
      <c r="F912" s="32" t="n">
        <v>70</v>
      </c>
      <c r="G912" s="31" t="s">
        <v>215</v>
      </c>
      <c r="H912" s="31" t="n">
        <v>1</v>
      </c>
      <c r="I912" s="31" t="s">
        <v>387</v>
      </c>
      <c r="J912" s="29"/>
      <c r="K912" s="29" t="s">
        <v>2903</v>
      </c>
      <c r="L912" s="32" t="n">
        <v>57</v>
      </c>
      <c r="M912" s="33" t="s">
        <v>2499</v>
      </c>
      <c r="N912" s="34" t="n">
        <v>75016</v>
      </c>
      <c r="O912" s="35" t="s">
        <v>55</v>
      </c>
      <c r="P912" s="36" t="s">
        <v>5643</v>
      </c>
      <c r="Q912" s="36" t="n">
        <v>4</v>
      </c>
      <c r="R912" s="32" t="n">
        <v>311</v>
      </c>
      <c r="S912" s="32" t="n">
        <v>1</v>
      </c>
      <c r="T912" s="32"/>
      <c r="U912" s="32"/>
      <c r="V912" s="37"/>
      <c r="W912" s="32"/>
      <c r="X912" s="34"/>
      <c r="Y912" s="34"/>
      <c r="Z912" s="36" t="s">
        <v>5644</v>
      </c>
      <c r="AA912" s="32" t="s">
        <v>5645</v>
      </c>
      <c r="AB912" s="32" t="s">
        <v>5646</v>
      </c>
      <c r="AC912" s="38" t="str">
        <f aca="false">HYPERLINK("https://biocodex6--c.vf.force.com/0014L00000KFoLRQA1", "LEVY GEORGES")</f>
        <v>LEVY GEORGES</v>
      </c>
      <c r="AD912" s="38" t="str">
        <f aca="false">HYPERLINK("https://annuairesante.ameli.fr/professionnels-de-sante/recherche/fiche-detaillee-B7c1kTs1NjS7.html", "LEVY GEORGES")</f>
        <v>LEVY GEORGES</v>
      </c>
      <c r="AE912" s="39"/>
      <c r="AF912" s="40"/>
      <c r="AG912" s="41"/>
      <c r="AH912" s="32" t="s">
        <v>179</v>
      </c>
      <c r="AI912" s="32"/>
      <c r="AL912" s="43" t="s">
        <v>263</v>
      </c>
      <c r="AM912" s="43" t="s">
        <v>137</v>
      </c>
      <c r="AN912" s="43" t="s">
        <v>263</v>
      </c>
      <c r="AO912" s="43" t="s">
        <v>137</v>
      </c>
      <c r="AP912" s="43" t="s">
        <v>263</v>
      </c>
      <c r="AQ912" s="43" t="s">
        <v>137</v>
      </c>
      <c r="AR912" s="43" t="s">
        <v>263</v>
      </c>
      <c r="AS912" s="43" t="s">
        <v>137</v>
      </c>
      <c r="AT912" s="43" t="s">
        <v>263</v>
      </c>
      <c r="AU912" s="43" t="s">
        <v>137</v>
      </c>
      <c r="XEY912" s="27"/>
      <c r="XEZ912" s="27"/>
      <c r="XFA912" s="27"/>
      <c r="XFB912" s="27"/>
      <c r="XFC912" s="27"/>
      <c r="XFD912" s="27"/>
    </row>
    <row r="913" s="42" customFormat="true" ht="14.15" hidden="false" customHeight="true" outlineLevel="0" collapsed="false">
      <c r="A913" s="28" t="s">
        <v>5647</v>
      </c>
      <c r="B913" s="29" t="s">
        <v>5648</v>
      </c>
      <c r="C913" s="29" t="s">
        <v>5649</v>
      </c>
      <c r="D913" s="30" t="s">
        <v>50</v>
      </c>
      <c r="E913" s="30" t="s">
        <v>831</v>
      </c>
      <c r="F913" s="32" t="n">
        <v>73</v>
      </c>
      <c r="G913" s="31" t="s">
        <v>215</v>
      </c>
      <c r="H913" s="31" t="n">
        <v>1</v>
      </c>
      <c r="I913" s="31" t="s">
        <v>435</v>
      </c>
      <c r="J913" s="29"/>
      <c r="K913" s="29" t="s">
        <v>5650</v>
      </c>
      <c r="L913" s="32" t="n">
        <v>4</v>
      </c>
      <c r="M913" s="33" t="s">
        <v>5651</v>
      </c>
      <c r="N913" s="34" t="n">
        <v>75016</v>
      </c>
      <c r="O913" s="35" t="s">
        <v>55</v>
      </c>
      <c r="P913" s="50" t="s">
        <v>5652</v>
      </c>
      <c r="Q913" s="36" t="n">
        <v>3</v>
      </c>
      <c r="R913" s="32" t="n">
        <v>310</v>
      </c>
      <c r="S913" s="32" t="n">
        <v>1</v>
      </c>
      <c r="T913" s="32"/>
      <c r="U913" s="32"/>
      <c r="V913" s="37"/>
      <c r="W913" s="32"/>
      <c r="X913" s="34" t="n">
        <v>1</v>
      </c>
      <c r="Y913" s="34"/>
      <c r="Z913" s="36"/>
      <c r="AA913" s="32" t="s">
        <v>5653</v>
      </c>
      <c r="AB913" s="32" t="s">
        <v>5654</v>
      </c>
      <c r="AC913" s="38" t="str">
        <f aca="false">HYPERLINK("https://biocodex6--c.vf.force.com/0014L00000KFSHPQA5", "BEGHI PASCAL")</f>
        <v>BEGHI PASCAL</v>
      </c>
      <c r="AD913" s="38" t="str">
        <f aca="false">HYPERLINK("https://annuairesante.ameli.fr/professionnels-de-sante/recherche/fiche-detaillee-B7c1ljM3MDS0.html", "BEGHI PASCAL")</f>
        <v>BEGHI PASCAL</v>
      </c>
      <c r="AE913" s="39" t="n">
        <v>45279.625</v>
      </c>
      <c r="AF913" s="40" t="s">
        <v>5655</v>
      </c>
      <c r="AG913" s="41"/>
      <c r="AH913" s="32" t="s">
        <v>179</v>
      </c>
      <c r="AI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XEY913" s="27"/>
      <c r="XEZ913" s="27"/>
      <c r="XFA913" s="27"/>
      <c r="XFB913" s="27"/>
      <c r="XFC913" s="27"/>
      <c r="XFD913" s="27"/>
    </row>
    <row r="914" s="42" customFormat="true" ht="14.15" hidden="false" customHeight="true" outlineLevel="0" collapsed="false">
      <c r="A914" s="28" t="s">
        <v>5656</v>
      </c>
      <c r="B914" s="29" t="s">
        <v>5657</v>
      </c>
      <c r="C914" s="29" t="s">
        <v>5658</v>
      </c>
      <c r="D914" s="30" t="s">
        <v>50</v>
      </c>
      <c r="E914" s="31"/>
      <c r="F914" s="32" t="n">
        <v>55</v>
      </c>
      <c r="G914" s="31"/>
      <c r="H914" s="31" t="n">
        <v>1</v>
      </c>
      <c r="I914" s="31" t="s">
        <v>77</v>
      </c>
      <c r="J914" s="29"/>
      <c r="K914" s="29" t="s">
        <v>5659</v>
      </c>
      <c r="L914" s="32" t="n">
        <v>153</v>
      </c>
      <c r="M914" s="33" t="s">
        <v>379</v>
      </c>
      <c r="N914" s="34" t="n">
        <v>92200</v>
      </c>
      <c r="O914" s="35" t="s">
        <v>81</v>
      </c>
      <c r="P914" s="36" t="s">
        <v>5660</v>
      </c>
      <c r="Q914" s="36" t="n">
        <v>1</v>
      </c>
      <c r="R914" s="32" t="n">
        <v>310</v>
      </c>
      <c r="S914" s="32" t="n">
        <v>1</v>
      </c>
      <c r="T914" s="32"/>
      <c r="U914" s="32"/>
      <c r="V914" s="37"/>
      <c r="W914" s="32"/>
      <c r="X914" s="34"/>
      <c r="Y914" s="34"/>
      <c r="Z914" s="36"/>
      <c r="AA914" s="32" t="s">
        <v>5661</v>
      </c>
      <c r="AB914" s="32"/>
      <c r="AC914" s="38" t="str">
        <f aca="false">HYPERLINK("https://biocodex6--c.vf.force.com/0014L00000KFVr9QAH", "BOUKASSEM BOURBIA SABIHA")</f>
        <v>BOUKASSEM BOURBIA SABIHA</v>
      </c>
      <c r="AD914" s="38"/>
      <c r="AE914" s="39"/>
      <c r="AF914" s="40"/>
      <c r="AG914" s="41"/>
      <c r="AH914" s="32" t="s">
        <v>179</v>
      </c>
      <c r="AI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XEY914" s="27"/>
      <c r="XEZ914" s="27"/>
      <c r="XFA914" s="27"/>
      <c r="XFB914" s="27"/>
      <c r="XFC914" s="27"/>
      <c r="XFD914" s="27"/>
    </row>
    <row r="915" s="42" customFormat="true" ht="14.15" hidden="false" customHeight="true" outlineLevel="0" collapsed="false">
      <c r="A915" s="28" t="s">
        <v>5662</v>
      </c>
      <c r="B915" s="29" t="s">
        <v>142</v>
      </c>
      <c r="C915" s="29" t="s">
        <v>5663</v>
      </c>
      <c r="D915" s="30" t="s">
        <v>50</v>
      </c>
      <c r="E915" s="30" t="s">
        <v>4028</v>
      </c>
      <c r="F915" s="32" t="n">
        <v>73</v>
      </c>
      <c r="G915" s="31" t="s">
        <v>61</v>
      </c>
      <c r="H915" s="31" t="n">
        <v>1</v>
      </c>
      <c r="I915" s="31" t="s">
        <v>572</v>
      </c>
      <c r="J915" s="29"/>
      <c r="K915" s="29" t="s">
        <v>5664</v>
      </c>
      <c r="L915" s="32" t="n">
        <v>5</v>
      </c>
      <c r="M915" s="33" t="s">
        <v>5665</v>
      </c>
      <c r="N915" s="34" t="n">
        <v>75008</v>
      </c>
      <c r="O915" s="35" t="s">
        <v>55</v>
      </c>
      <c r="P915" s="36" t="s">
        <v>5666</v>
      </c>
      <c r="Q915" s="36" t="n">
        <v>1</v>
      </c>
      <c r="R915" s="32" t="n">
        <v>308</v>
      </c>
      <c r="S915" s="32" t="n">
        <v>1</v>
      </c>
      <c r="T915" s="32"/>
      <c r="U915" s="32"/>
      <c r="V915" s="37"/>
      <c r="W915" s="32"/>
      <c r="X915" s="34"/>
      <c r="Y915" s="34"/>
      <c r="Z915" s="36"/>
      <c r="AA915" s="32" t="s">
        <v>5667</v>
      </c>
      <c r="AB915" s="32" t="s">
        <v>5668</v>
      </c>
      <c r="AC915" s="38" t="str">
        <f aca="false">HYPERLINK("https://biocodex6--c.vf.force.com/0014L00000KG5TaQAL", "VOLSTEIN MICHEL")</f>
        <v>VOLSTEIN MICHEL</v>
      </c>
      <c r="AD915" s="38" t="str">
        <f aca="false">HYPERLINK("https://annuairesante.ameli.fr/professionnels-de-sante/recherche/fiche-detaillee-B7c1kTE0NjSw.html", "VOLSTEIN MICHEL")</f>
        <v>VOLSTEIN MICHEL</v>
      </c>
      <c r="AE915" s="39"/>
      <c r="AF915" s="40"/>
      <c r="AG915" s="41"/>
      <c r="AH915" s="32" t="s">
        <v>179</v>
      </c>
      <c r="AI915" s="32"/>
      <c r="AL915" s="43" t="s">
        <v>995</v>
      </c>
      <c r="AM915" s="43" t="s">
        <v>534</v>
      </c>
      <c r="AN915" s="43" t="s">
        <v>995</v>
      </c>
      <c r="AO915" s="43" t="s">
        <v>534</v>
      </c>
      <c r="AP915" s="32"/>
      <c r="AQ915" s="32"/>
      <c r="AR915" s="43" t="s">
        <v>995</v>
      </c>
      <c r="AS915" s="43" t="s">
        <v>534</v>
      </c>
      <c r="AT915" s="43" t="s">
        <v>995</v>
      </c>
      <c r="AU915" s="43" t="s">
        <v>534</v>
      </c>
      <c r="XEY915" s="27"/>
      <c r="XEZ915" s="27"/>
      <c r="XFA915" s="27"/>
      <c r="XFB915" s="27"/>
      <c r="XFC915" s="27"/>
      <c r="XFD915" s="27"/>
    </row>
    <row r="916" s="42" customFormat="true" ht="14.15" hidden="false" customHeight="true" outlineLevel="0" collapsed="false">
      <c r="A916" s="28" t="s">
        <v>5669</v>
      </c>
      <c r="B916" s="29" t="s">
        <v>5670</v>
      </c>
      <c r="C916" s="29" t="s">
        <v>5671</v>
      </c>
      <c r="D916" s="30" t="s">
        <v>50</v>
      </c>
      <c r="E916" s="31"/>
      <c r="F916" s="32" t="n">
        <v>0</v>
      </c>
      <c r="G916" s="31" t="s">
        <v>98</v>
      </c>
      <c r="H916" s="31" t="n">
        <v>1</v>
      </c>
      <c r="I916" s="31" t="s">
        <v>119</v>
      </c>
      <c r="J916" s="29"/>
      <c r="K916" s="29" t="s">
        <v>4591</v>
      </c>
      <c r="L916" s="32" t="n">
        <v>36</v>
      </c>
      <c r="M916" s="33" t="s">
        <v>1769</v>
      </c>
      <c r="N916" s="34" t="n">
        <v>75007</v>
      </c>
      <c r="O916" s="35" t="s">
        <v>55</v>
      </c>
      <c r="P916" s="36" t="s">
        <v>5672</v>
      </c>
      <c r="Q916" s="36" t="n">
        <v>3</v>
      </c>
      <c r="R916" s="32" t="n">
        <v>308</v>
      </c>
      <c r="S916" s="32" t="n">
        <v>1</v>
      </c>
      <c r="T916" s="32"/>
      <c r="U916" s="32"/>
      <c r="V916" s="37"/>
      <c r="W916" s="32"/>
      <c r="X916" s="34"/>
      <c r="Y916" s="34"/>
      <c r="Z916" s="36"/>
      <c r="AA916" s="32" t="s">
        <v>5673</v>
      </c>
      <c r="AB916" s="32" t="s">
        <v>5674</v>
      </c>
      <c r="AC916" s="38" t="str">
        <f aca="false">HYPERLINK("https://biocodex6--c.vf.force.com/0014L00000KG7wVQAT", "ROMESTAN ANGELINA")</f>
        <v>ROMESTAN ANGELINA</v>
      </c>
      <c r="AD916" s="38" t="str">
        <f aca="false">HYPERLINK("https://annuairesante.ameli.fr/professionnels-de-sante/recherche/fiche-detaillee-B7c1mzYxOTaz.html", "ROMESTAN ANGELINA")</f>
        <v>ROMESTAN ANGELINA</v>
      </c>
      <c r="AE916" s="39"/>
      <c r="AF916" s="40"/>
      <c r="AG916" s="41"/>
      <c r="AH916" s="32" t="s">
        <v>179</v>
      </c>
      <c r="AI916" s="32"/>
      <c r="AL916" s="43" t="s">
        <v>639</v>
      </c>
      <c r="AM916" s="43" t="s">
        <v>108</v>
      </c>
      <c r="AN916" s="43" t="s">
        <v>5675</v>
      </c>
      <c r="AO916" s="43" t="s">
        <v>965</v>
      </c>
      <c r="AP916" s="43" t="s">
        <v>5676</v>
      </c>
      <c r="AQ916" s="43" t="s">
        <v>2494</v>
      </c>
      <c r="AR916" s="43" t="s">
        <v>508</v>
      </c>
      <c r="AS916" s="43" t="s">
        <v>5677</v>
      </c>
      <c r="AT916" s="43" t="s">
        <v>5678</v>
      </c>
      <c r="AU916" s="43" t="s">
        <v>965</v>
      </c>
      <c r="XEY916" s="27"/>
      <c r="XEZ916" s="27"/>
      <c r="XFA916" s="27"/>
      <c r="XFB916" s="27"/>
      <c r="XFC916" s="27"/>
      <c r="XFD916" s="27"/>
    </row>
    <row r="917" s="42" customFormat="true" ht="14.15" hidden="false" customHeight="true" outlineLevel="0" collapsed="false">
      <c r="A917" s="28" t="s">
        <v>5679</v>
      </c>
      <c r="B917" s="29" t="s">
        <v>110</v>
      </c>
      <c r="C917" s="29" t="s">
        <v>5680</v>
      </c>
      <c r="D917" s="30" t="s">
        <v>50</v>
      </c>
      <c r="E917" s="30" t="s">
        <v>112</v>
      </c>
      <c r="F917" s="32" t="n">
        <v>76</v>
      </c>
      <c r="G917" s="31" t="s">
        <v>98</v>
      </c>
      <c r="H917" s="31" t="n">
        <v>1</v>
      </c>
      <c r="I917" s="31" t="s">
        <v>99</v>
      </c>
      <c r="J917" s="29"/>
      <c r="K917" s="29" t="s">
        <v>5681</v>
      </c>
      <c r="L917" s="32" t="n">
        <v>77</v>
      </c>
      <c r="M917" s="33" t="s">
        <v>961</v>
      </c>
      <c r="N917" s="34" t="n">
        <v>75015</v>
      </c>
      <c r="O917" s="35" t="s">
        <v>55</v>
      </c>
      <c r="P917" s="36" t="s">
        <v>5682</v>
      </c>
      <c r="Q917" s="36" t="n">
        <v>1</v>
      </c>
      <c r="R917" s="32" t="n">
        <v>307</v>
      </c>
      <c r="S917" s="32" t="n">
        <v>1</v>
      </c>
      <c r="T917" s="32"/>
      <c r="U917" s="32"/>
      <c r="V917" s="37"/>
      <c r="W917" s="32"/>
      <c r="X917" s="34"/>
      <c r="Y917" s="34"/>
      <c r="Z917" s="36"/>
      <c r="AA917" s="32" t="s">
        <v>5683</v>
      </c>
      <c r="AB917" s="32" t="s">
        <v>5684</v>
      </c>
      <c r="AC917" s="38" t="str">
        <f aca="false">HYPERLINK("https://biocodex6--c.vf.force.com/0014L00000KFQpfQAH", "ATMADJIAN ANAIS")</f>
        <v>ATMADJIAN ANAIS</v>
      </c>
      <c r="AD917" s="38" t="str">
        <f aca="false">HYPERLINK("https://annuairesante.ameli.fr/professionnels-de-sante/recherche/fiche-detaillee-B7c1kTA3MzS2.html", "ATMADJIAN ANAIS")</f>
        <v>ATMADJIAN ANAIS</v>
      </c>
      <c r="AE917" s="39"/>
      <c r="AF917" s="40"/>
      <c r="AG917" s="41"/>
      <c r="AH917" s="32" t="s">
        <v>179</v>
      </c>
      <c r="AI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XEY917" s="27"/>
      <c r="XEZ917" s="27"/>
      <c r="XFA917" s="27"/>
      <c r="XFB917" s="27"/>
      <c r="XFC917" s="27"/>
      <c r="XFD917" s="27"/>
    </row>
    <row r="918" s="42" customFormat="true" ht="14.15" hidden="false" customHeight="true" outlineLevel="0" collapsed="false">
      <c r="A918" s="28" t="s">
        <v>5685</v>
      </c>
      <c r="B918" s="29" t="s">
        <v>5686</v>
      </c>
      <c r="C918" s="29" t="s">
        <v>5687</v>
      </c>
      <c r="D918" s="30" t="s">
        <v>50</v>
      </c>
      <c r="E918" s="31"/>
      <c r="F918" s="32"/>
      <c r="G918" s="31" t="s">
        <v>345</v>
      </c>
      <c r="H918" s="31" t="n">
        <v>1</v>
      </c>
      <c r="I918" s="31" t="s">
        <v>77</v>
      </c>
      <c r="J918" s="29" t="s">
        <v>580</v>
      </c>
      <c r="K918" s="29" t="s">
        <v>581</v>
      </c>
      <c r="L918" s="32" t="n">
        <v>63</v>
      </c>
      <c r="M918" s="33" t="s">
        <v>80</v>
      </c>
      <c r="N918" s="34" t="n">
        <v>92200</v>
      </c>
      <c r="O918" s="35" t="s">
        <v>81</v>
      </c>
      <c r="P918" s="36" t="s">
        <v>5688</v>
      </c>
      <c r="Q918" s="36" t="n">
        <v>39</v>
      </c>
      <c r="R918" s="32" t="n">
        <v>306</v>
      </c>
      <c r="S918" s="32" t="n">
        <v>1</v>
      </c>
      <c r="T918" s="32"/>
      <c r="U918" s="32"/>
      <c r="V918" s="37"/>
      <c r="W918" s="32"/>
      <c r="X918" s="34"/>
      <c r="Y918" s="34"/>
      <c r="Z918" s="32"/>
      <c r="AA918" s="32" t="s">
        <v>5689</v>
      </c>
      <c r="AB918" s="32" t="s">
        <v>5690</v>
      </c>
      <c r="AC918" s="38" t="str">
        <f aca="false">HYPERLINK("https://biocodex6--c.vf.force.com/0014L00000KG2nmQAD", "STUDER NOEMIE")</f>
        <v>STUDER NOEMIE</v>
      </c>
      <c r="AD918" s="38" t="str">
        <f aca="false">HYPERLINK("https://annuairesante.ameli.fr/professionnels-de-sante/recherche/fiche-detaillee-B7c1kjA2MzG3.html", "STUDER NOEMIE")</f>
        <v>STUDER NOEMIE</v>
      </c>
      <c r="AE918" s="39"/>
      <c r="AF918" s="40"/>
      <c r="AG918" s="41"/>
      <c r="AH918" s="32"/>
      <c r="AI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XEY918" s="27"/>
      <c r="XEZ918" s="27"/>
      <c r="XFA918" s="27"/>
      <c r="XFB918" s="27"/>
      <c r="XFC918" s="27"/>
      <c r="XFD918" s="27"/>
    </row>
    <row r="919" s="42" customFormat="true" ht="14.15" hidden="false" customHeight="true" outlineLevel="0" collapsed="false">
      <c r="A919" s="28" t="s">
        <v>578</v>
      </c>
      <c r="B919" s="29" t="s">
        <v>419</v>
      </c>
      <c r="C919" s="29" t="s">
        <v>5691</v>
      </c>
      <c r="D919" s="30" t="s">
        <v>244</v>
      </c>
      <c r="E919" s="30" t="s">
        <v>245</v>
      </c>
      <c r="F919" s="32" t="n">
        <v>72</v>
      </c>
      <c r="G919" s="31" t="s">
        <v>215</v>
      </c>
      <c r="H919" s="31" t="n">
        <v>1</v>
      </c>
      <c r="I919" s="31" t="s">
        <v>62</v>
      </c>
      <c r="J919" s="29"/>
      <c r="K919" s="29" t="s">
        <v>2989</v>
      </c>
      <c r="L919" s="32" t="n">
        <v>151</v>
      </c>
      <c r="M919" s="33" t="s">
        <v>646</v>
      </c>
      <c r="N919" s="34" t="n">
        <v>75017</v>
      </c>
      <c r="O919" s="35" t="s">
        <v>55</v>
      </c>
      <c r="P919" s="36" t="s">
        <v>5692</v>
      </c>
      <c r="Q919" s="36" t="n">
        <v>3</v>
      </c>
      <c r="R919" s="32" t="n">
        <v>305</v>
      </c>
      <c r="S919" s="32" t="n">
        <v>1</v>
      </c>
      <c r="T919" s="32"/>
      <c r="U919" s="32" t="n">
        <v>3</v>
      </c>
      <c r="V919" s="37"/>
      <c r="W919" s="32" t="n">
        <v>3</v>
      </c>
      <c r="X919" s="34" t="n">
        <v>1</v>
      </c>
      <c r="Y919" s="34" t="n">
        <v>3</v>
      </c>
      <c r="Z919" s="32"/>
      <c r="AA919" s="32" t="s">
        <v>5693</v>
      </c>
      <c r="AB919" s="32" t="s">
        <v>5694</v>
      </c>
      <c r="AC919" s="38" t="str">
        <f aca="false">HYPERLINK("https://biocodex6--c.vf.force.com/0014L00000KFikLQAT", "HERVE FLORENCE")</f>
        <v>HERVE FLORENCE</v>
      </c>
      <c r="AD919" s="38" t="str">
        <f aca="false">HYPERLINK("https://annuairesante.ameli.fr/professionnels-de-sante/recherche/fiche-detaillee-B7c1lzYyNzG1.html", "HERVE FLORENCE")</f>
        <v>HERVE FLORENCE</v>
      </c>
      <c r="AE919" s="39" t="n">
        <v>45189.4895833333</v>
      </c>
      <c r="AF919" s="40"/>
      <c r="AG919" s="41"/>
      <c r="AH919" s="32"/>
      <c r="AI919" s="32" t="s">
        <v>71</v>
      </c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XEY919" s="27"/>
      <c r="XEZ919" s="27"/>
      <c r="XFA919" s="27"/>
      <c r="XFB919" s="27"/>
      <c r="XFC919" s="27"/>
      <c r="XFD919" s="27"/>
    </row>
    <row r="920" s="42" customFormat="true" ht="14.15" hidden="false" customHeight="true" outlineLevel="0" collapsed="false">
      <c r="A920" s="28" t="s">
        <v>5695</v>
      </c>
      <c r="B920" s="29" t="s">
        <v>117</v>
      </c>
      <c r="C920" s="29" t="s">
        <v>5696</v>
      </c>
      <c r="D920" s="30" t="s">
        <v>244</v>
      </c>
      <c r="E920" s="30" t="s">
        <v>245</v>
      </c>
      <c r="F920" s="32" t="n">
        <v>75</v>
      </c>
      <c r="G920" s="31" t="s">
        <v>215</v>
      </c>
      <c r="H920" s="31" t="n">
        <v>2</v>
      </c>
      <c r="I920" s="31" t="s">
        <v>435</v>
      </c>
      <c r="J920" s="29"/>
      <c r="K920" s="29" t="s">
        <v>4388</v>
      </c>
      <c r="L920" s="32" t="n">
        <v>10</v>
      </c>
      <c r="M920" s="33" t="s">
        <v>4389</v>
      </c>
      <c r="N920" s="34" t="n">
        <v>75016</v>
      </c>
      <c r="O920" s="35" t="s">
        <v>55</v>
      </c>
      <c r="P920" s="36" t="s">
        <v>5697</v>
      </c>
      <c r="Q920" s="36" t="n">
        <v>3</v>
      </c>
      <c r="R920" s="32" t="n">
        <v>305</v>
      </c>
      <c r="S920" s="32" t="n">
        <v>1</v>
      </c>
      <c r="T920" s="32"/>
      <c r="U920" s="32" t="n">
        <v>3</v>
      </c>
      <c r="V920" s="37"/>
      <c r="W920" s="32" t="n">
        <v>2</v>
      </c>
      <c r="X920" s="34" t="n">
        <v>1</v>
      </c>
      <c r="Y920" s="34" t="n">
        <v>2</v>
      </c>
      <c r="Z920" s="36"/>
      <c r="AA920" s="32" t="s">
        <v>5698</v>
      </c>
      <c r="AB920" s="44" t="s">
        <v>5699</v>
      </c>
      <c r="AC920" s="38" t="str">
        <f aca="false">HYPERLINK("https://biocodex6--c.vf.force.com/0014L00000KFXWJQA5", "CORNET DOMINIQUE")</f>
        <v>CORNET DOMINIQUE</v>
      </c>
      <c r="AD920" s="38" t="str">
        <f aca="false">HYPERLINK("https://annuairesante.ameli.fr/professionnels-de-sante/recherche/fiche-detaillee-B7c1lTI2MzK6.html", "CORNET DOMINIQUE")</f>
        <v>CORNET DOMINIQUE</v>
      </c>
      <c r="AE920" s="39" t="n">
        <v>45359.4375</v>
      </c>
      <c r="AF920" s="40" t="s">
        <v>5700</v>
      </c>
      <c r="AG920" s="41"/>
      <c r="AH920" s="32" t="s">
        <v>3469</v>
      </c>
      <c r="AI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XEY920" s="27"/>
      <c r="XEZ920" s="27"/>
      <c r="XFA920" s="27"/>
      <c r="XFB920" s="27"/>
      <c r="XFC920" s="27"/>
      <c r="XFD920" s="27"/>
    </row>
    <row r="921" s="42" customFormat="true" ht="14.15" hidden="false" customHeight="true" outlineLevel="0" collapsed="false">
      <c r="A921" s="28" t="s">
        <v>5701</v>
      </c>
      <c r="B921" s="29" t="s">
        <v>1403</v>
      </c>
      <c r="C921" s="29" t="s">
        <v>5702</v>
      </c>
      <c r="D921" s="30" t="s">
        <v>50</v>
      </c>
      <c r="E921" s="31"/>
      <c r="F921" s="32" t="n">
        <v>64</v>
      </c>
      <c r="G921" s="31" t="s">
        <v>98</v>
      </c>
      <c r="H921" s="31" t="n">
        <v>1</v>
      </c>
      <c r="I921" s="31" t="s">
        <v>197</v>
      </c>
      <c r="J921" s="29"/>
      <c r="K921" s="29" t="s">
        <v>5703</v>
      </c>
      <c r="L921" s="32" t="n">
        <v>16</v>
      </c>
      <c r="M921" s="33" t="s">
        <v>5704</v>
      </c>
      <c r="N921" s="34" t="n">
        <v>75017</v>
      </c>
      <c r="O921" s="35" t="s">
        <v>55</v>
      </c>
      <c r="P921" s="36" t="s">
        <v>5705</v>
      </c>
      <c r="Q921" s="36" t="n">
        <v>1</v>
      </c>
      <c r="R921" s="32" t="n">
        <v>305</v>
      </c>
      <c r="S921" s="32" t="n">
        <v>1</v>
      </c>
      <c r="T921" s="32"/>
      <c r="U921" s="32"/>
      <c r="V921" s="37"/>
      <c r="W921" s="32"/>
      <c r="X921" s="34"/>
      <c r="Y921" s="34"/>
      <c r="Z921" s="32"/>
      <c r="AA921" s="32" t="s">
        <v>5706</v>
      </c>
      <c r="AB921" s="32" t="s">
        <v>5707</v>
      </c>
      <c r="AC921" s="38" t="str">
        <f aca="false">HYPERLINK("https://biocodex6--c.vf.force.com/0014L00000KFzJCQA1", "DESPORTE BRIGITTE")</f>
        <v>DESPORTE BRIGITTE</v>
      </c>
      <c r="AD921" s="38" t="str">
        <f aca="false">HYPERLINK("https://annuairesante.ameli.fr/professionnels-de-sante/recherche/fiche-detaillee-CbA1kjQwMju1.html", "DESPORTE BRIGITTE")</f>
        <v>DESPORTE BRIGITTE</v>
      </c>
      <c r="AE921" s="39"/>
      <c r="AF921" s="40"/>
      <c r="AG921" s="41"/>
      <c r="AH921" s="32"/>
      <c r="AI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XEY921" s="27"/>
      <c r="XEZ921" s="27"/>
      <c r="XFA921" s="27"/>
      <c r="XFB921" s="27"/>
      <c r="XFC921" s="27"/>
      <c r="XFD921" s="27"/>
    </row>
    <row r="922" s="42" customFormat="true" ht="14.15" hidden="false" customHeight="true" outlineLevel="0" collapsed="false">
      <c r="A922" s="28" t="s">
        <v>5708</v>
      </c>
      <c r="B922" s="29" t="s">
        <v>2640</v>
      </c>
      <c r="C922" s="29" t="s">
        <v>5709</v>
      </c>
      <c r="D922" s="30" t="s">
        <v>50</v>
      </c>
      <c r="E922" s="31"/>
      <c r="F922" s="32" t="n">
        <v>75</v>
      </c>
      <c r="G922" s="31" t="s">
        <v>61</v>
      </c>
      <c r="H922" s="31" t="n">
        <v>1</v>
      </c>
      <c r="I922" s="31" t="s">
        <v>387</v>
      </c>
      <c r="J922" s="29"/>
      <c r="K922" s="29" t="s">
        <v>5710</v>
      </c>
      <c r="L922" s="32" t="n">
        <v>45</v>
      </c>
      <c r="M922" s="33" t="s">
        <v>2268</v>
      </c>
      <c r="N922" s="34" t="n">
        <v>75016</v>
      </c>
      <c r="O922" s="35" t="s">
        <v>55</v>
      </c>
      <c r="P922" s="36" t="s">
        <v>5711</v>
      </c>
      <c r="Q922" s="36" t="n">
        <v>1</v>
      </c>
      <c r="R922" s="32" t="n">
        <v>304</v>
      </c>
      <c r="S922" s="32" t="n">
        <v>1</v>
      </c>
      <c r="T922" s="32"/>
      <c r="U922" s="32"/>
      <c r="V922" s="37"/>
      <c r="W922" s="32"/>
      <c r="X922" s="34"/>
      <c r="Y922" s="34"/>
      <c r="Z922" s="36"/>
      <c r="AA922" s="32" t="s">
        <v>5712</v>
      </c>
      <c r="AB922" s="32" t="s">
        <v>5713</v>
      </c>
      <c r="AC922" s="38" t="str">
        <f aca="false">HYPERLINK("https://biocodex6--c.vf.force.com/0014L00000KFf6qQAD", "GARIEN JEAN FRANCOIS")</f>
        <v>GARIEN JEAN FRANCOIS</v>
      </c>
      <c r="AD922" s="38" t="str">
        <f aca="false">HYPERLINK("https://annuairesante.ameli.fr/professionnels-de-sante/recherche/fiche-detaillee-B7c1kTY1NjGz.html", "GARIEN JEAN FRANCOIS")</f>
        <v>GARIEN JEAN FRANCOIS</v>
      </c>
      <c r="AE922" s="39"/>
      <c r="AF922" s="40"/>
      <c r="AG922" s="41"/>
      <c r="AH922" s="32" t="s">
        <v>179</v>
      </c>
      <c r="AI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XEY922" s="27"/>
      <c r="XEZ922" s="27"/>
      <c r="XFA922" s="27"/>
      <c r="XFB922" s="27"/>
      <c r="XFC922" s="27"/>
      <c r="XFD922" s="27"/>
    </row>
    <row r="923" s="42" customFormat="true" ht="14.15" hidden="false" customHeight="true" outlineLevel="0" collapsed="false">
      <c r="A923" s="28" t="s">
        <v>5714</v>
      </c>
      <c r="B923" s="29" t="s">
        <v>839</v>
      </c>
      <c r="C923" s="29" t="s">
        <v>5715</v>
      </c>
      <c r="D923" s="30" t="s">
        <v>50</v>
      </c>
      <c r="E923" s="31"/>
      <c r="F923" s="32" t="n">
        <v>69</v>
      </c>
      <c r="G923" s="31" t="s">
        <v>61</v>
      </c>
      <c r="H923" s="31" t="n">
        <v>1</v>
      </c>
      <c r="I923" s="31" t="s">
        <v>233</v>
      </c>
      <c r="J923" s="29"/>
      <c r="K923" s="29" t="s">
        <v>5716</v>
      </c>
      <c r="L923" s="32" t="n">
        <v>90</v>
      </c>
      <c r="M923" s="33" t="s">
        <v>5717</v>
      </c>
      <c r="N923" s="34" t="n">
        <v>75015</v>
      </c>
      <c r="O923" s="35" t="s">
        <v>55</v>
      </c>
      <c r="P923" s="36" t="s">
        <v>5718</v>
      </c>
      <c r="Q923" s="36" t="n">
        <v>1</v>
      </c>
      <c r="R923" s="32" t="n">
        <v>304</v>
      </c>
      <c r="S923" s="32" t="n">
        <v>1</v>
      </c>
      <c r="T923" s="32"/>
      <c r="U923" s="32"/>
      <c r="V923" s="37"/>
      <c r="W923" s="32"/>
      <c r="X923" s="34"/>
      <c r="Y923" s="34"/>
      <c r="Z923" s="36"/>
      <c r="AA923" s="32" t="s">
        <v>5719</v>
      </c>
      <c r="AB923" s="32" t="s">
        <v>5720</v>
      </c>
      <c r="AC923" s="38" t="str">
        <f aca="false">HYPERLINK("https://biocodex6--c.vf.force.com/0014L00000KFkPrQAL", "JUNES GILLES")</f>
        <v>JUNES GILLES</v>
      </c>
      <c r="AD923" s="38" t="str">
        <f aca="false">HYPERLINK("https://annuairesante.ameli.fr/professionnels-de-sante/recherche/fiche-detaillee-B7c1kTQ3Mzq0.html", "JUNES GILLES")</f>
        <v>JUNES GILLES</v>
      </c>
      <c r="AE923" s="39"/>
      <c r="AF923" s="40"/>
      <c r="AG923" s="41"/>
      <c r="AH923" s="32" t="s">
        <v>179</v>
      </c>
      <c r="AI923" s="32"/>
      <c r="AL923" s="43" t="s">
        <v>263</v>
      </c>
      <c r="AM923" s="43" t="s">
        <v>137</v>
      </c>
      <c r="AN923" s="43" t="s">
        <v>263</v>
      </c>
      <c r="AO923" s="43" t="s">
        <v>137</v>
      </c>
      <c r="AP923" s="43" t="s">
        <v>263</v>
      </c>
      <c r="AQ923" s="43" t="s">
        <v>137</v>
      </c>
      <c r="AR923" s="43" t="s">
        <v>263</v>
      </c>
      <c r="AS923" s="43" t="s">
        <v>137</v>
      </c>
      <c r="AT923" s="43" t="s">
        <v>1291</v>
      </c>
      <c r="AU923" s="32"/>
      <c r="XEY923" s="27"/>
      <c r="XEZ923" s="27"/>
      <c r="XFA923" s="27"/>
      <c r="XFB923" s="27"/>
      <c r="XFC923" s="27"/>
      <c r="XFD923" s="27"/>
    </row>
    <row r="924" s="42" customFormat="true" ht="14.15" hidden="false" customHeight="true" outlineLevel="0" collapsed="false">
      <c r="A924" s="28" t="s">
        <v>5721</v>
      </c>
      <c r="B924" s="29" t="s">
        <v>1377</v>
      </c>
      <c r="C924" s="29" t="s">
        <v>5722</v>
      </c>
      <c r="D924" s="30" t="s">
        <v>50</v>
      </c>
      <c r="E924" s="30" t="s">
        <v>344</v>
      </c>
      <c r="F924" s="32" t="n">
        <v>45</v>
      </c>
      <c r="G924" s="31" t="s">
        <v>98</v>
      </c>
      <c r="H924" s="31" t="n">
        <v>1</v>
      </c>
      <c r="I924" s="31" t="s">
        <v>99</v>
      </c>
      <c r="J924" s="29"/>
      <c r="K924" s="29" t="s">
        <v>5723</v>
      </c>
      <c r="L924" s="32" t="n">
        <v>8</v>
      </c>
      <c r="M924" s="33" t="s">
        <v>5724</v>
      </c>
      <c r="N924" s="34" t="n">
        <v>75015</v>
      </c>
      <c r="O924" s="35" t="s">
        <v>55</v>
      </c>
      <c r="P924" s="36" t="s">
        <v>5725</v>
      </c>
      <c r="Q924" s="36" t="n">
        <v>1</v>
      </c>
      <c r="R924" s="32" t="n">
        <v>302</v>
      </c>
      <c r="S924" s="32" t="n">
        <v>1</v>
      </c>
      <c r="T924" s="32"/>
      <c r="U924" s="32"/>
      <c r="V924" s="37"/>
      <c r="W924" s="32"/>
      <c r="X924" s="34"/>
      <c r="Y924" s="34"/>
      <c r="Z924" s="36"/>
      <c r="AA924" s="32" t="s">
        <v>5726</v>
      </c>
      <c r="AB924" s="32" t="s">
        <v>5727</v>
      </c>
      <c r="AC924" s="38" t="str">
        <f aca="false">HYPERLINK("https://biocodex6--c.vf.force.com/0014L00000KG3o3QAD", "TCHERIATCHOUKINE HELENE")</f>
        <v>TCHERIATCHOUKINE HELENE</v>
      </c>
      <c r="AD924" s="38" t="str">
        <f aca="false">HYPERLINK("https://annuairesante.ameli.fr/professionnels-de-sante/recherche/fiche-detaillee-B7c1mzEyNza6.html", "TCHERIATCHOUKINE HELENE")</f>
        <v>TCHERIATCHOUKINE HELENE</v>
      </c>
      <c r="AE924" s="39"/>
      <c r="AF924" s="40"/>
      <c r="AG924" s="41"/>
      <c r="AH924" s="32" t="s">
        <v>179</v>
      </c>
      <c r="AI924" s="32"/>
      <c r="AL924" s="43" t="s">
        <v>639</v>
      </c>
      <c r="AM924" s="43" t="s">
        <v>137</v>
      </c>
      <c r="AN924" s="43" t="s">
        <v>639</v>
      </c>
      <c r="AO924" s="43" t="s">
        <v>137</v>
      </c>
      <c r="AP924" s="43" t="s">
        <v>639</v>
      </c>
      <c r="AQ924" s="43" t="s">
        <v>137</v>
      </c>
      <c r="AR924" s="32"/>
      <c r="AS924" s="32"/>
      <c r="AT924" s="43" t="s">
        <v>639</v>
      </c>
      <c r="AU924" s="43" t="s">
        <v>137</v>
      </c>
      <c r="XEY924" s="27"/>
      <c r="XEZ924" s="27"/>
      <c r="XFA924" s="27"/>
      <c r="XFB924" s="27"/>
      <c r="XFC924" s="27"/>
      <c r="XFD924" s="27"/>
    </row>
    <row r="925" s="42" customFormat="true" ht="14.15" hidden="false" customHeight="true" outlineLevel="0" collapsed="false">
      <c r="A925" s="28" t="s">
        <v>5728</v>
      </c>
      <c r="B925" s="29" t="s">
        <v>5729</v>
      </c>
      <c r="C925" s="29" t="s">
        <v>5730</v>
      </c>
      <c r="D925" s="30" t="s">
        <v>50</v>
      </c>
      <c r="E925" s="31"/>
      <c r="F925" s="32" t="n">
        <v>63</v>
      </c>
      <c r="G925" s="31" t="s">
        <v>215</v>
      </c>
      <c r="H925" s="31" t="n">
        <v>1</v>
      </c>
      <c r="I925" s="31" t="s">
        <v>435</v>
      </c>
      <c r="J925" s="29"/>
      <c r="K925" s="29" t="s">
        <v>5731</v>
      </c>
      <c r="L925" s="32" t="n">
        <v>69</v>
      </c>
      <c r="M925" s="33" t="s">
        <v>1041</v>
      </c>
      <c r="N925" s="34" t="n">
        <v>75016</v>
      </c>
      <c r="O925" s="35" t="s">
        <v>55</v>
      </c>
      <c r="P925" s="36" t="s">
        <v>5732</v>
      </c>
      <c r="Q925" s="36" t="n">
        <v>1</v>
      </c>
      <c r="R925" s="32" t="n">
        <v>301</v>
      </c>
      <c r="S925" s="32" t="n">
        <v>1</v>
      </c>
      <c r="T925" s="32"/>
      <c r="U925" s="32"/>
      <c r="V925" s="37"/>
      <c r="W925" s="32"/>
      <c r="X925" s="34"/>
      <c r="Y925" s="34"/>
      <c r="Z925" s="32"/>
      <c r="AA925" s="32" t="s">
        <v>5733</v>
      </c>
      <c r="AB925" s="32" t="s">
        <v>5734</v>
      </c>
      <c r="AC925" s="38" t="str">
        <f aca="false">HYPERLINK("https://biocodex6--c.vf.force.com/0014L00000KFUEeQAP", "BOUDJEMA JAMAIL PASCAL")</f>
        <v>BOUDJEMA JAMAIL PASCAL</v>
      </c>
      <c r="AD925" s="38" t="str">
        <f aca="false">HYPERLINK("https://annuairesante.ameli.fr/professionnels-de-sante/recherche/fiche-detaillee-B7c1ljo4MTSw.html", "BOUDJEMA JAMAIL PASCAL")</f>
        <v>BOUDJEMA JAMAIL PASCAL</v>
      </c>
      <c r="AE925" s="39"/>
      <c r="AF925" s="40"/>
      <c r="AG925" s="41"/>
      <c r="AH925" s="32"/>
      <c r="AI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XEY925" s="27"/>
      <c r="XEZ925" s="27"/>
      <c r="XFA925" s="27"/>
      <c r="XFB925" s="27"/>
      <c r="XFC925" s="27"/>
      <c r="XFD925" s="27"/>
    </row>
    <row r="926" s="42" customFormat="true" ht="14.15" hidden="false" customHeight="true" outlineLevel="0" collapsed="false">
      <c r="A926" s="28" t="s">
        <v>5735</v>
      </c>
      <c r="B926" s="29" t="s">
        <v>332</v>
      </c>
      <c r="C926" s="29" t="s">
        <v>5736</v>
      </c>
      <c r="D926" s="30" t="s">
        <v>244</v>
      </c>
      <c r="E926" s="30" t="s">
        <v>5737</v>
      </c>
      <c r="F926" s="32" t="n">
        <v>69</v>
      </c>
      <c r="G926" s="31"/>
      <c r="H926" s="31" t="n">
        <v>1</v>
      </c>
      <c r="I926" s="31" t="s">
        <v>77</v>
      </c>
      <c r="J926" s="29" t="s">
        <v>5738</v>
      </c>
      <c r="K926" s="29" t="s">
        <v>5739</v>
      </c>
      <c r="L926" s="32" t="n">
        <v>5</v>
      </c>
      <c r="M926" s="33" t="s">
        <v>5740</v>
      </c>
      <c r="N926" s="34" t="n">
        <v>92200</v>
      </c>
      <c r="O926" s="35" t="s">
        <v>81</v>
      </c>
      <c r="P926" s="36" t="s">
        <v>5741</v>
      </c>
      <c r="Q926" s="36" t="n">
        <v>5</v>
      </c>
      <c r="R926" s="32" t="n">
        <v>301</v>
      </c>
      <c r="S926" s="32" t="n">
        <v>1</v>
      </c>
      <c r="T926" s="32"/>
      <c r="U926" s="32"/>
      <c r="V926" s="37"/>
      <c r="W926" s="32"/>
      <c r="X926" s="34"/>
      <c r="Y926" s="34"/>
      <c r="Z926" s="36"/>
      <c r="AA926" s="32" t="s">
        <v>5742</v>
      </c>
      <c r="AB926" s="32"/>
      <c r="AC926" s="38" t="str">
        <f aca="false">HYPERLINK("https://biocodex6--c.vf.force.com/0014L00000KFtJXQA1", "NATHAN ABOU CATHERINE")</f>
        <v>NATHAN ABOU CATHERINE</v>
      </c>
      <c r="AD926" s="38"/>
      <c r="AE926" s="39"/>
      <c r="AF926" s="40"/>
      <c r="AG926" s="41"/>
      <c r="AH926" s="32" t="s">
        <v>179</v>
      </c>
      <c r="AI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XEY926" s="27"/>
      <c r="XEZ926" s="27"/>
      <c r="XFA926" s="27"/>
      <c r="XFB926" s="27"/>
      <c r="XFC926" s="27"/>
      <c r="XFD926" s="27"/>
    </row>
    <row r="927" s="42" customFormat="true" ht="14.15" hidden="false" customHeight="true" outlineLevel="0" collapsed="false">
      <c r="A927" s="28" t="s">
        <v>5743</v>
      </c>
      <c r="B927" s="29" t="s">
        <v>5744</v>
      </c>
      <c r="C927" s="29" t="s">
        <v>5745</v>
      </c>
      <c r="D927" s="30" t="s">
        <v>50</v>
      </c>
      <c r="E927" s="31"/>
      <c r="F927" s="32" t="n">
        <v>75</v>
      </c>
      <c r="G927" s="31" t="s">
        <v>215</v>
      </c>
      <c r="H927" s="31" t="n">
        <v>1</v>
      </c>
      <c r="I927" s="31" t="s">
        <v>435</v>
      </c>
      <c r="J927" s="29"/>
      <c r="K927" s="29" t="s">
        <v>5746</v>
      </c>
      <c r="L927" s="32" t="n">
        <v>14</v>
      </c>
      <c r="M927" s="33" t="s">
        <v>666</v>
      </c>
      <c r="N927" s="34" t="n">
        <v>75016</v>
      </c>
      <c r="O927" s="35" t="s">
        <v>55</v>
      </c>
      <c r="P927" s="36" t="s">
        <v>5747</v>
      </c>
      <c r="Q927" s="36" t="n">
        <v>1</v>
      </c>
      <c r="R927" s="32" t="n">
        <v>300</v>
      </c>
      <c r="S927" s="32" t="n">
        <v>1</v>
      </c>
      <c r="T927" s="32"/>
      <c r="U927" s="32"/>
      <c r="V927" s="37"/>
      <c r="W927" s="32"/>
      <c r="X927" s="34"/>
      <c r="Y927" s="34"/>
      <c r="Z927" s="36"/>
      <c r="AA927" s="32" t="s">
        <v>5748</v>
      </c>
      <c r="AB927" s="32" t="s">
        <v>5749</v>
      </c>
      <c r="AC927" s="38" t="str">
        <f aca="false">HYPERLINK("https://biocodex6--c.vf.force.com/0014L00000KFdcVQAT", "FIEUX JACQUES DOMINIQUE")</f>
        <v>FIEUX JACQUES DOMINIQUE</v>
      </c>
      <c r="AD927" s="38" t="str">
        <f aca="false">HYPERLINK("https://annuairesante.ameli.fr/professionnels-de-sante/recherche/fiche-detaillee-B7c1kTcyMzKz.html", "FIEUX JACQUES DOMINIQUE")</f>
        <v>FIEUX JACQUES DOMINIQUE</v>
      </c>
      <c r="AE927" s="39"/>
      <c r="AF927" s="40"/>
      <c r="AG927" s="41"/>
      <c r="AH927" s="32" t="s">
        <v>179</v>
      </c>
      <c r="AI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XEY927" s="27"/>
      <c r="XEZ927" s="27"/>
      <c r="XFA927" s="27"/>
      <c r="XFB927" s="27"/>
      <c r="XFC927" s="27"/>
      <c r="XFD927" s="27"/>
    </row>
    <row r="928" s="42" customFormat="true" ht="14.15" hidden="false" customHeight="true" outlineLevel="0" collapsed="false">
      <c r="A928" s="28" t="s">
        <v>5750</v>
      </c>
      <c r="B928" s="29" t="s">
        <v>2481</v>
      </c>
      <c r="C928" s="29" t="s">
        <v>5751</v>
      </c>
      <c r="D928" s="30" t="s">
        <v>50</v>
      </c>
      <c r="E928" s="30" t="s">
        <v>245</v>
      </c>
      <c r="F928" s="32"/>
      <c r="G928" s="31"/>
      <c r="H928" s="31" t="n">
        <v>1</v>
      </c>
      <c r="I928" s="31" t="s">
        <v>295</v>
      </c>
      <c r="J928" s="29"/>
      <c r="K928" s="29" t="s">
        <v>1839</v>
      </c>
      <c r="L928" s="32" t="n">
        <v>1</v>
      </c>
      <c r="M928" s="33" t="s">
        <v>1840</v>
      </c>
      <c r="N928" s="34" t="n">
        <v>92300</v>
      </c>
      <c r="O928" s="35" t="s">
        <v>298</v>
      </c>
      <c r="P928" s="36"/>
      <c r="Q928" s="36" t="n">
        <v>3</v>
      </c>
      <c r="R928" s="32" t="n">
        <v>297</v>
      </c>
      <c r="S928" s="32" t="n">
        <v>1</v>
      </c>
      <c r="T928" s="32"/>
      <c r="U928" s="32"/>
      <c r="V928" s="37"/>
      <c r="W928" s="32"/>
      <c r="X928" s="34"/>
      <c r="Y928" s="34"/>
      <c r="Z928" s="32"/>
      <c r="AA928" s="32" t="s">
        <v>5752</v>
      </c>
      <c r="AB928" s="32"/>
      <c r="AC928" s="38" t="str">
        <f aca="false">HYPERLINK("https://biocodex6--c.vf.force.com/0014L00000KFlmmQAD", "LE BAIL ANNE SOPHIE")</f>
        <v>LE BAIL ANNE SOPHIE</v>
      </c>
      <c r="AD928" s="38"/>
      <c r="AE928" s="39"/>
      <c r="AF928" s="40"/>
      <c r="AG928" s="41"/>
      <c r="AH928" s="32"/>
      <c r="AI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XEY928" s="27"/>
      <c r="XEZ928" s="27"/>
      <c r="XFA928" s="27"/>
      <c r="XFB928" s="27"/>
      <c r="XFC928" s="27"/>
      <c r="XFD928" s="27"/>
    </row>
    <row r="929" s="42" customFormat="true" ht="14.15" hidden="false" customHeight="true" outlineLevel="0" collapsed="false">
      <c r="A929" s="28" t="s">
        <v>5753</v>
      </c>
      <c r="B929" s="29" t="s">
        <v>5754</v>
      </c>
      <c r="C929" s="29" t="s">
        <v>5755</v>
      </c>
      <c r="D929" s="30" t="s">
        <v>244</v>
      </c>
      <c r="E929" s="30" t="s">
        <v>245</v>
      </c>
      <c r="F929" s="32" t="n">
        <v>68</v>
      </c>
      <c r="G929" s="31" t="s">
        <v>215</v>
      </c>
      <c r="H929" s="31" t="n">
        <v>2</v>
      </c>
      <c r="I929" s="31" t="s">
        <v>173</v>
      </c>
      <c r="J929" s="29"/>
      <c r="K929" s="29" t="s">
        <v>5756</v>
      </c>
      <c r="L929" s="32" t="n">
        <v>28</v>
      </c>
      <c r="M929" s="33" t="s">
        <v>3039</v>
      </c>
      <c r="N929" s="34" t="n">
        <v>75016</v>
      </c>
      <c r="O929" s="35" t="s">
        <v>55</v>
      </c>
      <c r="P929" s="36" t="s">
        <v>5757</v>
      </c>
      <c r="Q929" s="36" t="n">
        <v>2</v>
      </c>
      <c r="R929" s="32" t="n">
        <v>295</v>
      </c>
      <c r="S929" s="32" t="n">
        <v>1</v>
      </c>
      <c r="T929" s="32"/>
      <c r="U929" s="32" t="n">
        <v>3</v>
      </c>
      <c r="V929" s="37"/>
      <c r="W929" s="32" t="n">
        <v>2</v>
      </c>
      <c r="X929" s="34"/>
      <c r="Y929" s="34" t="n">
        <v>1</v>
      </c>
      <c r="Z929" s="32"/>
      <c r="AA929" s="32" t="s">
        <v>5758</v>
      </c>
      <c r="AB929" s="44" t="s">
        <v>5759</v>
      </c>
      <c r="AC929" s="38" t="str">
        <f aca="false">HYPERLINK("https://biocodex6--c.vf.force.com/0014L00000KFbKRQA1", "DRAY CHARLES MICHEL")</f>
        <v>DRAY CHARLES MICHEL</v>
      </c>
      <c r="AD929" s="38" t="str">
        <f aca="false">HYPERLINK("https://annuairesante.ameli.fr/professionnels-de-sante/recherche/fiche-detaillee-B7c1ljUwMzW0.html", "DRAY CHARLES MICHEL")</f>
        <v>DRAY CHARLES MICHEL</v>
      </c>
      <c r="AE929" s="39" t="n">
        <v>45442.6458333333</v>
      </c>
      <c r="AF929" s="40" t="s">
        <v>5760</v>
      </c>
      <c r="AG929" s="41" t="s">
        <v>69</v>
      </c>
      <c r="AH929" s="32" t="s">
        <v>70</v>
      </c>
      <c r="AI929" s="32"/>
      <c r="AL929" s="43" t="s">
        <v>1067</v>
      </c>
      <c r="AM929" s="32"/>
      <c r="AN929" s="32"/>
      <c r="AO929" s="43" t="s">
        <v>1066</v>
      </c>
      <c r="AP929" s="43" t="s">
        <v>263</v>
      </c>
      <c r="AQ929" s="32"/>
      <c r="AR929" s="32"/>
      <c r="AS929" s="43" t="s">
        <v>1066</v>
      </c>
      <c r="AT929" s="43" t="s">
        <v>639</v>
      </c>
      <c r="AU929" s="43" t="s">
        <v>1692</v>
      </c>
      <c r="XEY929" s="27"/>
      <c r="XEZ929" s="27"/>
      <c r="XFA929" s="27"/>
      <c r="XFB929" s="27"/>
      <c r="XFC929" s="27"/>
      <c r="XFD929" s="27"/>
    </row>
    <row r="930" s="42" customFormat="true" ht="14.15" hidden="false" customHeight="true" outlineLevel="0" collapsed="false">
      <c r="A930" s="28" t="s">
        <v>5761</v>
      </c>
      <c r="B930" s="29" t="s">
        <v>195</v>
      </c>
      <c r="C930" s="29" t="s">
        <v>5762</v>
      </c>
      <c r="D930" s="30" t="s">
        <v>50</v>
      </c>
      <c r="E930" s="30" t="s">
        <v>386</v>
      </c>
      <c r="F930" s="32" t="n">
        <v>73</v>
      </c>
      <c r="G930" s="31" t="s">
        <v>215</v>
      </c>
      <c r="H930" s="31" t="n">
        <v>1</v>
      </c>
      <c r="I930" s="31" t="s">
        <v>387</v>
      </c>
      <c r="J930" s="29"/>
      <c r="K930" s="29" t="s">
        <v>5763</v>
      </c>
      <c r="L930" s="32" t="n">
        <v>2</v>
      </c>
      <c r="M930" s="33" t="s">
        <v>5764</v>
      </c>
      <c r="N930" s="34" t="n">
        <v>75016</v>
      </c>
      <c r="O930" s="35" t="s">
        <v>55</v>
      </c>
      <c r="P930" s="36" t="s">
        <v>5765</v>
      </c>
      <c r="Q930" s="36" t="n">
        <v>1</v>
      </c>
      <c r="R930" s="32" t="n">
        <v>295</v>
      </c>
      <c r="S930" s="32" t="n">
        <v>1</v>
      </c>
      <c r="T930" s="32"/>
      <c r="U930" s="32"/>
      <c r="V930" s="37"/>
      <c r="W930" s="32"/>
      <c r="X930" s="34"/>
      <c r="Y930" s="34"/>
      <c r="Z930" s="32"/>
      <c r="AA930" s="32" t="s">
        <v>5766</v>
      </c>
      <c r="AB930" s="32" t="s">
        <v>5767</v>
      </c>
      <c r="AC930" s="38" t="str">
        <f aca="false">HYPERLINK("https://biocodex6--c.vf.force.com/0014L00000KFjvjQAD", "JEANNIN PHILIPPE")</f>
        <v>JEANNIN PHILIPPE</v>
      </c>
      <c r="AD930" s="38" t="str">
        <f aca="false">HYPERLINK("https://annuairesante.ameli.fr/professionnels-de-sante/recherche/fiche-detaillee-B7c1kTQyODOx.html", "JEANNIN PHILIPPE")</f>
        <v>JEANNIN PHILIPPE</v>
      </c>
      <c r="AE930" s="39"/>
      <c r="AF930" s="40"/>
      <c r="AG930" s="41"/>
      <c r="AH930" s="32"/>
      <c r="AI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XEY930" s="27"/>
      <c r="XEZ930" s="27"/>
      <c r="XFA930" s="27"/>
      <c r="XFB930" s="27"/>
      <c r="XFC930" s="27"/>
      <c r="XFD930" s="27"/>
    </row>
    <row r="931" s="42" customFormat="true" ht="14.15" hidden="false" customHeight="true" outlineLevel="0" collapsed="false">
      <c r="A931" s="28" t="s">
        <v>5768</v>
      </c>
      <c r="B931" s="29" t="s">
        <v>958</v>
      </c>
      <c r="C931" s="29" t="s">
        <v>5769</v>
      </c>
      <c r="D931" s="30" t="s">
        <v>75</v>
      </c>
      <c r="E931" s="30" t="s">
        <v>1176</v>
      </c>
      <c r="F931" s="32" t="n">
        <v>69</v>
      </c>
      <c r="G931" s="31" t="s">
        <v>215</v>
      </c>
      <c r="H931" s="31" t="n">
        <v>2</v>
      </c>
      <c r="I931" s="31" t="s">
        <v>119</v>
      </c>
      <c r="J931" s="29" t="s">
        <v>2361</v>
      </c>
      <c r="K931" s="29" t="s">
        <v>2362</v>
      </c>
      <c r="L931" s="32" t="n">
        <v>41</v>
      </c>
      <c r="M931" s="33" t="s">
        <v>2363</v>
      </c>
      <c r="N931" s="34" t="n">
        <v>75007</v>
      </c>
      <c r="O931" s="35" t="s">
        <v>55</v>
      </c>
      <c r="P931" s="36"/>
      <c r="Q931" s="36" t="n">
        <v>5</v>
      </c>
      <c r="R931" s="32" t="n">
        <v>295</v>
      </c>
      <c r="S931" s="32" t="n">
        <v>1</v>
      </c>
      <c r="T931" s="32"/>
      <c r="U931" s="32"/>
      <c r="V931" s="37"/>
      <c r="W931" s="32"/>
      <c r="X931" s="34"/>
      <c r="Y931" s="34"/>
      <c r="Z931" s="36"/>
      <c r="AA931" s="32" t="s">
        <v>5770</v>
      </c>
      <c r="AB931" s="32" t="s">
        <v>5771</v>
      </c>
      <c r="AC931" s="38" t="str">
        <f aca="false">HYPERLINK("https://biocodex6--c.vf.force.com/0014L00000KFQp5QAH", "ATIENZA PATRICK")</f>
        <v>ATIENZA PATRICK</v>
      </c>
      <c r="AD931" s="38" t="str">
        <f aca="false">HYPERLINK("https://annuairesante.ameli.fr/professionnels-de-sante/recherche/fiche-detaillee-B7c1lTA3ODSy.html", "ATIENZA PATRICK")</f>
        <v>ATIENZA PATRICK</v>
      </c>
      <c r="AE931" s="39"/>
      <c r="AF931" s="40"/>
      <c r="AG931" s="41"/>
      <c r="AH931" s="32" t="s">
        <v>179</v>
      </c>
      <c r="AI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XEY931" s="27"/>
      <c r="XEZ931" s="27"/>
      <c r="XFA931" s="27"/>
      <c r="XFB931" s="27"/>
      <c r="XFC931" s="27"/>
      <c r="XFD931" s="27"/>
    </row>
    <row r="932" s="42" customFormat="true" ht="14.15" hidden="false" customHeight="true" outlineLevel="0" collapsed="false">
      <c r="A932" s="28" t="s">
        <v>5772</v>
      </c>
      <c r="B932" s="29" t="s">
        <v>1156</v>
      </c>
      <c r="C932" s="29" t="s">
        <v>5773</v>
      </c>
      <c r="D932" s="30" t="s">
        <v>244</v>
      </c>
      <c r="E932" s="30" t="s">
        <v>245</v>
      </c>
      <c r="F932" s="32" t="n">
        <v>49</v>
      </c>
      <c r="G932" s="31" t="s">
        <v>215</v>
      </c>
      <c r="H932" s="31" t="n">
        <v>4</v>
      </c>
      <c r="I932" s="31" t="s">
        <v>62</v>
      </c>
      <c r="J932" s="29"/>
      <c r="K932" s="29" t="s">
        <v>2346</v>
      </c>
      <c r="L932" s="32" t="n">
        <v>2</v>
      </c>
      <c r="M932" s="33" t="s">
        <v>2347</v>
      </c>
      <c r="N932" s="34" t="n">
        <v>75017</v>
      </c>
      <c r="O932" s="35" t="s">
        <v>55</v>
      </c>
      <c r="P932" s="50" t="s">
        <v>5774</v>
      </c>
      <c r="Q932" s="36" t="n">
        <v>4</v>
      </c>
      <c r="R932" s="32" t="n">
        <v>294</v>
      </c>
      <c r="S932" s="32" t="n">
        <v>1</v>
      </c>
      <c r="T932" s="32"/>
      <c r="U932" s="32" t="n">
        <v>3</v>
      </c>
      <c r="V932" s="37"/>
      <c r="W932" s="32" t="n">
        <v>3</v>
      </c>
      <c r="X932" s="34"/>
      <c r="Y932" s="34" t="n">
        <v>2</v>
      </c>
      <c r="Z932" s="32" t="s">
        <v>5775</v>
      </c>
      <c r="AA932" s="32" t="s">
        <v>5776</v>
      </c>
      <c r="AB932" s="32" t="s">
        <v>5777</v>
      </c>
      <c r="AC932" s="38" t="str">
        <f aca="false">HYPERLINK("https://biocodex6--c.vf.force.com/0014L00000KFYD2QAP", "DAVY CELINE")</f>
        <v>DAVY CELINE</v>
      </c>
      <c r="AD932" s="38" t="str">
        <f aca="false">HYPERLINK("https://annuairesante.ameli.fr/professionnels-de-sante/recherche/fiche-detaillee-B7c1mzE5NTO3.html", "DAVY CELINE")</f>
        <v>DAVY CELINE</v>
      </c>
      <c r="AE932" s="39"/>
      <c r="AF932" s="40"/>
      <c r="AG932" s="41"/>
      <c r="AH932" s="32"/>
      <c r="AI932" s="32"/>
      <c r="AL932" s="43" t="s">
        <v>517</v>
      </c>
      <c r="AM932" s="43" t="s">
        <v>1670</v>
      </c>
      <c r="AN932" s="43" t="s">
        <v>4051</v>
      </c>
      <c r="AO932" s="32"/>
      <c r="AP932" s="43" t="s">
        <v>517</v>
      </c>
      <c r="AQ932" s="43" t="s">
        <v>1670</v>
      </c>
      <c r="AR932" s="43" t="s">
        <v>517</v>
      </c>
      <c r="AS932" s="43" t="s">
        <v>1670</v>
      </c>
      <c r="AT932" s="43" t="s">
        <v>263</v>
      </c>
      <c r="AU932" s="32"/>
      <c r="XEY932" s="27"/>
      <c r="XEZ932" s="27"/>
      <c r="XFA932" s="27"/>
      <c r="XFB932" s="27"/>
      <c r="XFC932" s="27"/>
      <c r="XFD932" s="27"/>
    </row>
    <row r="933" s="42" customFormat="true" ht="14.15" hidden="false" customHeight="true" outlineLevel="0" collapsed="false">
      <c r="A933" s="28" t="s">
        <v>5778</v>
      </c>
      <c r="B933" s="29" t="s">
        <v>151</v>
      </c>
      <c r="C933" s="29" t="s">
        <v>5779</v>
      </c>
      <c r="D933" s="30" t="s">
        <v>50</v>
      </c>
      <c r="E933" s="31"/>
      <c r="F933" s="32" t="n">
        <v>60</v>
      </c>
      <c r="G933" s="31" t="s">
        <v>98</v>
      </c>
      <c r="H933" s="31" t="n">
        <v>1</v>
      </c>
      <c r="I933" s="31" t="s">
        <v>295</v>
      </c>
      <c r="J933" s="29"/>
      <c r="K933" s="29" t="s">
        <v>5780</v>
      </c>
      <c r="L933" s="32" t="n">
        <v>18</v>
      </c>
      <c r="M933" s="33" t="s">
        <v>1426</v>
      </c>
      <c r="N933" s="34" t="n">
        <v>92300</v>
      </c>
      <c r="O933" s="35" t="s">
        <v>298</v>
      </c>
      <c r="P933" s="36" t="s">
        <v>5781</v>
      </c>
      <c r="Q933" s="36" t="n">
        <v>1</v>
      </c>
      <c r="R933" s="32" t="n">
        <v>294</v>
      </c>
      <c r="S933" s="32" t="n">
        <v>1</v>
      </c>
      <c r="T933" s="32"/>
      <c r="U933" s="32"/>
      <c r="V933" s="37"/>
      <c r="W933" s="32"/>
      <c r="X933" s="34"/>
      <c r="Y933" s="34"/>
      <c r="Z933" s="36"/>
      <c r="AA933" s="32" t="s">
        <v>5782</v>
      </c>
      <c r="AB933" s="32" t="s">
        <v>5783</v>
      </c>
      <c r="AC933" s="38" t="str">
        <f aca="false">HYPERLINK("https://biocodex6--c.vf.force.com/0014L00000KG48mQAD", "TONNELLIER FREDERIC")</f>
        <v>TONNELLIER FREDERIC</v>
      </c>
      <c r="AD933" s="38" t="str">
        <f aca="false">HYPERLINK("https://annuairesante.ameli.fr/professionnels-de-sante/recherche/fiche-detaillee-CbA1kzQwNjO6.html", "TONNELLIER FREDERIC")</f>
        <v>TONNELLIER FREDERIC</v>
      </c>
      <c r="AE933" s="39"/>
      <c r="AF933" s="40"/>
      <c r="AG933" s="41"/>
      <c r="AH933" s="32" t="s">
        <v>179</v>
      </c>
      <c r="AI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XEY933" s="27"/>
      <c r="XEZ933" s="27"/>
      <c r="XFA933" s="27"/>
      <c r="XFB933" s="27"/>
      <c r="XFC933" s="27"/>
      <c r="XFD933" s="27"/>
    </row>
    <row r="934" s="42" customFormat="true" ht="14.15" hidden="false" customHeight="true" outlineLevel="0" collapsed="false">
      <c r="A934" s="28" t="s">
        <v>5784</v>
      </c>
      <c r="B934" s="29" t="s">
        <v>3788</v>
      </c>
      <c r="C934" s="29" t="s">
        <v>5785</v>
      </c>
      <c r="D934" s="30" t="s">
        <v>268</v>
      </c>
      <c r="E934" s="30" t="s">
        <v>5786</v>
      </c>
      <c r="F934" s="32" t="n">
        <v>65</v>
      </c>
      <c r="G934" s="31" t="s">
        <v>61</v>
      </c>
      <c r="H934" s="31" t="n">
        <v>1</v>
      </c>
      <c r="I934" s="31" t="s">
        <v>77</v>
      </c>
      <c r="J934" s="29"/>
      <c r="K934" s="29" t="s">
        <v>3943</v>
      </c>
      <c r="L934" s="32" t="n">
        <v>25</v>
      </c>
      <c r="M934" s="33" t="s">
        <v>80</v>
      </c>
      <c r="N934" s="34" t="n">
        <v>92200</v>
      </c>
      <c r="O934" s="35" t="s">
        <v>81</v>
      </c>
      <c r="P934" s="36" t="s">
        <v>5787</v>
      </c>
      <c r="Q934" s="36" t="n">
        <v>3</v>
      </c>
      <c r="R934" s="32" t="n">
        <v>294</v>
      </c>
      <c r="S934" s="32" t="n">
        <v>1</v>
      </c>
      <c r="T934" s="32"/>
      <c r="U934" s="32"/>
      <c r="V934" s="37"/>
      <c r="W934" s="32"/>
      <c r="X934" s="34"/>
      <c r="Y934" s="34"/>
      <c r="Z934" s="32"/>
      <c r="AA934" s="32" t="s">
        <v>5788</v>
      </c>
      <c r="AB934" s="32" t="s">
        <v>5789</v>
      </c>
      <c r="AC934" s="38" t="str">
        <f aca="false">HYPERLINK("https://biocodex6--c.vf.force.com/0014L00000KFobiQAD", "LISOVOSKI FABRICE")</f>
        <v>LISOVOSKI FABRICE</v>
      </c>
      <c r="AD934" s="38" t="str">
        <f aca="false">HYPERLINK("https://annuairesante.ameli.fr/professionnels-de-sante/recherche/fiche-detaillee-CbA1kzQzNza7.html", "LISOVOSKI FABRICE")</f>
        <v>LISOVOSKI FABRICE</v>
      </c>
      <c r="AE934" s="39"/>
      <c r="AF934" s="40"/>
      <c r="AG934" s="41"/>
      <c r="AH934" s="32"/>
      <c r="AI934" s="32"/>
      <c r="AL934" s="43" t="s">
        <v>5790</v>
      </c>
      <c r="AM934" s="43" t="s">
        <v>2287</v>
      </c>
      <c r="AN934" s="43" t="s">
        <v>5790</v>
      </c>
      <c r="AO934" s="43" t="s">
        <v>2287</v>
      </c>
      <c r="AP934" s="43" t="s">
        <v>5790</v>
      </c>
      <c r="AQ934" s="43" t="s">
        <v>2287</v>
      </c>
      <c r="AR934" s="43" t="s">
        <v>5790</v>
      </c>
      <c r="AS934" s="43" t="s">
        <v>2287</v>
      </c>
      <c r="AT934" s="43" t="s">
        <v>5790</v>
      </c>
      <c r="AU934" s="32"/>
      <c r="XEY934" s="27"/>
      <c r="XEZ934" s="27"/>
      <c r="XFA934" s="27"/>
      <c r="XFB934" s="27"/>
      <c r="XFC934" s="27"/>
      <c r="XFD934" s="27"/>
    </row>
    <row r="935" s="42" customFormat="true" ht="14.15" hidden="false" customHeight="true" outlineLevel="0" collapsed="false">
      <c r="A935" s="28" t="s">
        <v>5791</v>
      </c>
      <c r="B935" s="29" t="s">
        <v>5792</v>
      </c>
      <c r="C935" s="29" t="s">
        <v>5793</v>
      </c>
      <c r="D935" s="30" t="s">
        <v>50</v>
      </c>
      <c r="E935" s="30" t="s">
        <v>386</v>
      </c>
      <c r="F935" s="32" t="n">
        <v>65</v>
      </c>
      <c r="G935" s="31" t="s">
        <v>98</v>
      </c>
      <c r="H935" s="31" t="n">
        <v>1</v>
      </c>
      <c r="I935" s="31" t="s">
        <v>387</v>
      </c>
      <c r="J935" s="29"/>
      <c r="K935" s="29" t="s">
        <v>5794</v>
      </c>
      <c r="L935" s="32" t="n">
        <v>130</v>
      </c>
      <c r="M935" s="33" t="s">
        <v>1627</v>
      </c>
      <c r="N935" s="34" t="n">
        <v>75016</v>
      </c>
      <c r="O935" s="35" t="s">
        <v>55</v>
      </c>
      <c r="P935" s="36" t="s">
        <v>5795</v>
      </c>
      <c r="Q935" s="36" t="n">
        <v>2</v>
      </c>
      <c r="R935" s="32" t="n">
        <v>293</v>
      </c>
      <c r="S935" s="32" t="n">
        <v>1</v>
      </c>
      <c r="T935" s="32"/>
      <c r="U935" s="32"/>
      <c r="V935" s="37"/>
      <c r="W935" s="32"/>
      <c r="X935" s="34"/>
      <c r="Y935" s="34"/>
      <c r="Z935" s="36"/>
      <c r="AA935" s="32" t="s">
        <v>5796</v>
      </c>
      <c r="AB935" s="32" t="s">
        <v>5797</v>
      </c>
      <c r="AC935" s="38" t="str">
        <f aca="false">HYPERLINK("https://biocodex6--c.vf.force.com/0014L00000KFazBQAT", "DJIAN YVES")</f>
        <v>DJIAN YVES</v>
      </c>
      <c r="AD935" s="38" t="str">
        <f aca="false">HYPERLINK("https://annuairesante.ameli.fr/professionnels-de-sante/recherche/fiche-detaillee-B7c1lzI3Mjq6.html", "DJIAN YVES")</f>
        <v>DJIAN YVES</v>
      </c>
      <c r="AE935" s="39"/>
      <c r="AF935" s="40"/>
      <c r="AG935" s="41"/>
      <c r="AH935" s="32" t="s">
        <v>179</v>
      </c>
      <c r="AI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XEY935" s="27"/>
      <c r="XEZ935" s="27"/>
      <c r="XFA935" s="27"/>
      <c r="XFB935" s="27"/>
      <c r="XFC935" s="27"/>
      <c r="XFD935" s="27"/>
    </row>
    <row r="936" s="42" customFormat="true" ht="14.15" hidden="false" customHeight="true" outlineLevel="0" collapsed="false">
      <c r="A936" s="28" t="s">
        <v>5798</v>
      </c>
      <c r="B936" s="29" t="s">
        <v>3360</v>
      </c>
      <c r="C936" s="29" t="s">
        <v>5799</v>
      </c>
      <c r="D936" s="30" t="s">
        <v>50</v>
      </c>
      <c r="E936" s="30" t="s">
        <v>5800</v>
      </c>
      <c r="F936" s="32" t="n">
        <v>73</v>
      </c>
      <c r="G936" s="31"/>
      <c r="H936" s="31" t="n">
        <v>1</v>
      </c>
      <c r="I936" s="31" t="s">
        <v>572</v>
      </c>
      <c r="J936" s="29"/>
      <c r="K936" s="29" t="s">
        <v>5801</v>
      </c>
      <c r="L936" s="32" t="n">
        <v>66</v>
      </c>
      <c r="M936" s="33" t="s">
        <v>798</v>
      </c>
      <c r="N936" s="34" t="n">
        <v>75008</v>
      </c>
      <c r="O936" s="35" t="s">
        <v>55</v>
      </c>
      <c r="P936" s="36" t="s">
        <v>5802</v>
      </c>
      <c r="Q936" s="36" t="n">
        <v>1</v>
      </c>
      <c r="R936" s="32" t="n">
        <v>293</v>
      </c>
      <c r="S936" s="32" t="n">
        <v>1</v>
      </c>
      <c r="T936" s="32"/>
      <c r="U936" s="32"/>
      <c r="V936" s="37"/>
      <c r="W936" s="32"/>
      <c r="X936" s="34"/>
      <c r="Y936" s="34"/>
      <c r="Z936" s="36"/>
      <c r="AA936" s="32" t="s">
        <v>5803</v>
      </c>
      <c r="AB936" s="32"/>
      <c r="AC936" s="38" t="str">
        <f aca="false">HYPERLINK("https://biocodex6--c.vf.force.com/0014L00000KFhL4QAL", "GUENOUN GILBERT")</f>
        <v>GUENOUN GILBERT</v>
      </c>
      <c r="AD936" s="38"/>
      <c r="AE936" s="39"/>
      <c r="AF936" s="40"/>
      <c r="AG936" s="41"/>
      <c r="AH936" s="32" t="s">
        <v>179</v>
      </c>
      <c r="AI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XEY936" s="27"/>
      <c r="XEZ936" s="27"/>
      <c r="XFA936" s="27"/>
      <c r="XFB936" s="27"/>
      <c r="XFC936" s="27"/>
      <c r="XFD936" s="27"/>
    </row>
    <row r="937" s="42" customFormat="true" ht="14.15" hidden="false" customHeight="true" outlineLevel="0" collapsed="false">
      <c r="A937" s="28" t="s">
        <v>5804</v>
      </c>
      <c r="B937" s="29" t="s">
        <v>1143</v>
      </c>
      <c r="C937" s="29" t="s">
        <v>5805</v>
      </c>
      <c r="D937" s="30" t="s">
        <v>50</v>
      </c>
      <c r="E937" s="30" t="s">
        <v>776</v>
      </c>
      <c r="F937" s="32" t="n">
        <v>66</v>
      </c>
      <c r="G937" s="31"/>
      <c r="H937" s="31" t="n">
        <v>2</v>
      </c>
      <c r="I937" s="31" t="s">
        <v>119</v>
      </c>
      <c r="J937" s="29"/>
      <c r="K937" s="29" t="s">
        <v>5806</v>
      </c>
      <c r="L937" s="32" t="n">
        <v>2</v>
      </c>
      <c r="M937" s="33" t="s">
        <v>1213</v>
      </c>
      <c r="N937" s="34" t="n">
        <v>75007</v>
      </c>
      <c r="O937" s="35" t="s">
        <v>55</v>
      </c>
      <c r="P937" s="36" t="s">
        <v>5807</v>
      </c>
      <c r="Q937" s="36" t="n">
        <v>1</v>
      </c>
      <c r="R937" s="32" t="n">
        <v>293</v>
      </c>
      <c r="S937" s="32" t="n">
        <v>1</v>
      </c>
      <c r="T937" s="32"/>
      <c r="U937" s="32"/>
      <c r="V937" s="37"/>
      <c r="W937" s="32"/>
      <c r="X937" s="34"/>
      <c r="Y937" s="34"/>
      <c r="Z937" s="36"/>
      <c r="AA937" s="32" t="s">
        <v>5808</v>
      </c>
      <c r="AB937" s="32"/>
      <c r="AC937" s="38" t="str">
        <f aca="false">HYPERLINK("https://biocodex6--c.vf.force.com/0014L00000KFfu0QAD", "GIAOUI MARC")</f>
        <v>GIAOUI MARC</v>
      </c>
      <c r="AD937" s="38"/>
      <c r="AE937" s="39"/>
      <c r="AF937" s="40"/>
      <c r="AG937" s="41"/>
      <c r="AH937" s="32" t="s">
        <v>179</v>
      </c>
      <c r="AI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XEY937" s="27"/>
      <c r="XEZ937" s="27"/>
      <c r="XFA937" s="27"/>
      <c r="XFB937" s="27"/>
      <c r="XFC937" s="27"/>
      <c r="XFD937" s="27"/>
    </row>
    <row r="938" s="42" customFormat="true" ht="14.15" hidden="false" customHeight="true" outlineLevel="0" collapsed="false">
      <c r="A938" s="28" t="s">
        <v>5809</v>
      </c>
      <c r="B938" s="29" t="s">
        <v>1385</v>
      </c>
      <c r="C938" s="29" t="s">
        <v>5810</v>
      </c>
      <c r="D938" s="30" t="s">
        <v>50</v>
      </c>
      <c r="E938" s="31"/>
      <c r="F938" s="32" t="n">
        <v>38</v>
      </c>
      <c r="G938" s="31" t="s">
        <v>98</v>
      </c>
      <c r="H938" s="31" t="n">
        <v>1</v>
      </c>
      <c r="I938" s="31" t="s">
        <v>51</v>
      </c>
      <c r="J938" s="29"/>
      <c r="K938" s="29" t="s">
        <v>4994</v>
      </c>
      <c r="L938" s="32" t="n">
        <v>70</v>
      </c>
      <c r="M938" s="33" t="s">
        <v>224</v>
      </c>
      <c r="N938" s="34" t="n">
        <v>75015</v>
      </c>
      <c r="O938" s="35" t="s">
        <v>55</v>
      </c>
      <c r="P938" s="36" t="s">
        <v>4995</v>
      </c>
      <c r="Q938" s="36" t="n">
        <v>2</v>
      </c>
      <c r="R938" s="32" t="n">
        <v>293</v>
      </c>
      <c r="S938" s="32" t="n">
        <v>1</v>
      </c>
      <c r="T938" s="32"/>
      <c r="U938" s="32"/>
      <c r="V938" s="37"/>
      <c r="W938" s="32"/>
      <c r="X938" s="34"/>
      <c r="Y938" s="34"/>
      <c r="Z938" s="36"/>
      <c r="AA938" s="32" t="s">
        <v>5811</v>
      </c>
      <c r="AB938" s="32" t="s">
        <v>5812</v>
      </c>
      <c r="AC938" s="38" t="str">
        <f aca="false">HYPERLINK("https://biocodex6--c.vf.force.com/0014L00000KFM1HQAX", "ROSS CECILE")</f>
        <v>ROSS CECILE</v>
      </c>
      <c r="AD938" s="38" t="str">
        <f aca="false">HYPERLINK("https://annuairesante.ameli.fr/professionnels-de-sante/recherche/fiche-detaillee-B7c1kjA1NDK1.html", "ROSS CECILE")</f>
        <v>ROSS CECILE</v>
      </c>
      <c r="AE938" s="39"/>
      <c r="AF938" s="40"/>
      <c r="AG938" s="41"/>
      <c r="AH938" s="32" t="s">
        <v>179</v>
      </c>
      <c r="AI938" s="32"/>
      <c r="AL938" s="43" t="s">
        <v>657</v>
      </c>
      <c r="AM938" s="43" t="s">
        <v>137</v>
      </c>
      <c r="AN938" s="43" t="s">
        <v>657</v>
      </c>
      <c r="AO938" s="43" t="s">
        <v>137</v>
      </c>
      <c r="AP938" s="43" t="s">
        <v>657</v>
      </c>
      <c r="AQ938" s="43" t="s">
        <v>137</v>
      </c>
      <c r="AR938" s="43" t="s">
        <v>657</v>
      </c>
      <c r="AS938" s="43" t="s">
        <v>2287</v>
      </c>
      <c r="AT938" s="43" t="s">
        <v>657</v>
      </c>
      <c r="AU938" s="43" t="s">
        <v>534</v>
      </c>
      <c r="XEY938" s="27"/>
      <c r="XEZ938" s="27"/>
      <c r="XFA938" s="27"/>
      <c r="XFB938" s="27"/>
      <c r="XFC938" s="27"/>
      <c r="XFD938" s="27"/>
    </row>
    <row r="939" s="42" customFormat="true" ht="14.15" hidden="false" customHeight="true" outlineLevel="0" collapsed="false">
      <c r="A939" s="28" t="s">
        <v>5813</v>
      </c>
      <c r="B939" s="29" t="s">
        <v>3248</v>
      </c>
      <c r="C939" s="29" t="s">
        <v>5814</v>
      </c>
      <c r="D939" s="30" t="s">
        <v>50</v>
      </c>
      <c r="E939" s="31"/>
      <c r="F939" s="32" t="n">
        <v>59</v>
      </c>
      <c r="G939" s="31" t="s">
        <v>98</v>
      </c>
      <c r="H939" s="31" t="n">
        <v>1</v>
      </c>
      <c r="I939" s="31" t="s">
        <v>233</v>
      </c>
      <c r="J939" s="29"/>
      <c r="K939" s="29" t="s">
        <v>3635</v>
      </c>
      <c r="L939" s="32" t="n">
        <v>56</v>
      </c>
      <c r="M939" s="33" t="s">
        <v>2742</v>
      </c>
      <c r="N939" s="34" t="n">
        <v>75015</v>
      </c>
      <c r="O939" s="35" t="s">
        <v>55</v>
      </c>
      <c r="P939" s="36" t="s">
        <v>5815</v>
      </c>
      <c r="Q939" s="36" t="n">
        <v>3</v>
      </c>
      <c r="R939" s="32" t="n">
        <v>293</v>
      </c>
      <c r="S939" s="32" t="n">
        <v>1</v>
      </c>
      <c r="T939" s="32"/>
      <c r="U939" s="32"/>
      <c r="V939" s="37"/>
      <c r="W939" s="32"/>
      <c r="X939" s="34"/>
      <c r="Y939" s="34"/>
      <c r="Z939" s="36"/>
      <c r="AA939" s="32" t="s">
        <v>5816</v>
      </c>
      <c r="AB939" s="32" t="s">
        <v>5817</v>
      </c>
      <c r="AC939" s="38" t="str">
        <f aca="false">HYPERLINK("https://biocodex6--c.vf.force.com/0014L00000KFltdQAD", "LANG MARIE PIERRE")</f>
        <v>LANG MARIE PIERRE</v>
      </c>
      <c r="AD939" s="38" t="str">
        <f aca="false">HYPERLINK("https://annuairesante.ameli.fr/professionnels-de-sante/recherche/fiche-detaillee-B7c1lzUzODuw.html", "LANG MARIE PIERRE")</f>
        <v>LANG MARIE PIERRE</v>
      </c>
      <c r="AE939" s="39"/>
      <c r="AF939" s="40"/>
      <c r="AG939" s="41"/>
      <c r="AH939" s="32" t="s">
        <v>179</v>
      </c>
      <c r="AI939" s="32"/>
      <c r="AL939" s="43" t="s">
        <v>657</v>
      </c>
      <c r="AM939" s="43" t="s">
        <v>262</v>
      </c>
      <c r="AN939" s="43" t="s">
        <v>338</v>
      </c>
      <c r="AO939" s="43" t="s">
        <v>5818</v>
      </c>
      <c r="AP939" s="43" t="s">
        <v>657</v>
      </c>
      <c r="AQ939" s="43" t="s">
        <v>137</v>
      </c>
      <c r="AR939" s="43" t="s">
        <v>657</v>
      </c>
      <c r="AS939" s="43" t="s">
        <v>137</v>
      </c>
      <c r="AT939" s="43" t="s">
        <v>925</v>
      </c>
      <c r="AU939" s="43" t="s">
        <v>5818</v>
      </c>
      <c r="XEY939" s="27"/>
      <c r="XEZ939" s="27"/>
      <c r="XFA939" s="27"/>
      <c r="XFB939" s="27"/>
      <c r="XFC939" s="27"/>
      <c r="XFD939" s="27"/>
    </row>
    <row r="940" s="42" customFormat="true" ht="14.15" hidden="false" customHeight="true" outlineLevel="0" collapsed="false">
      <c r="A940" s="28" t="s">
        <v>5819</v>
      </c>
      <c r="B940" s="29" t="s">
        <v>1526</v>
      </c>
      <c r="C940" s="29" t="s">
        <v>5820</v>
      </c>
      <c r="D940" s="30" t="s">
        <v>50</v>
      </c>
      <c r="E940" s="30" t="s">
        <v>776</v>
      </c>
      <c r="F940" s="32" t="n">
        <v>56</v>
      </c>
      <c r="G940" s="31" t="s">
        <v>98</v>
      </c>
      <c r="H940" s="31" t="n">
        <v>1</v>
      </c>
      <c r="I940" s="31" t="s">
        <v>387</v>
      </c>
      <c r="J940" s="29"/>
      <c r="K940" s="29" t="s">
        <v>5821</v>
      </c>
      <c r="L940" s="32" t="n">
        <v>34</v>
      </c>
      <c r="M940" s="33" t="s">
        <v>5822</v>
      </c>
      <c r="N940" s="34" t="n">
        <v>75016</v>
      </c>
      <c r="O940" s="35" t="s">
        <v>55</v>
      </c>
      <c r="P940" s="36" t="s">
        <v>5823</v>
      </c>
      <c r="Q940" s="36" t="n">
        <v>2</v>
      </c>
      <c r="R940" s="32" t="n">
        <v>292</v>
      </c>
      <c r="S940" s="32" t="n">
        <v>1</v>
      </c>
      <c r="T940" s="32"/>
      <c r="U940" s="32"/>
      <c r="V940" s="37"/>
      <c r="W940" s="32"/>
      <c r="X940" s="34"/>
      <c r="Y940" s="34"/>
      <c r="Z940" s="36"/>
      <c r="AA940" s="32" t="s">
        <v>5824</v>
      </c>
      <c r="AB940" s="32" t="s">
        <v>5825</v>
      </c>
      <c r="AC940" s="38" t="str">
        <f aca="false">HYPERLINK("https://biocodex6--c.vf.force.com/0014L00000KFUgKQAX", "BOXELE REGIS")</f>
        <v>BOXELE REGIS</v>
      </c>
      <c r="AD940" s="38" t="str">
        <f aca="false">HYPERLINK("https://annuairesante.ameli.fr/professionnels-de-sante/recherche/fiche-detaillee-B7c1lDYxMjq3.html", "BOXELE REGIS")</f>
        <v>BOXELE REGIS</v>
      </c>
      <c r="AE940" s="39"/>
      <c r="AF940" s="40"/>
      <c r="AG940" s="41"/>
      <c r="AH940" s="32" t="s">
        <v>179</v>
      </c>
      <c r="AI940" s="32"/>
      <c r="AL940" s="32"/>
      <c r="AM940" s="32"/>
      <c r="AN940" s="43" t="s">
        <v>474</v>
      </c>
      <c r="AO940" s="43" t="s">
        <v>137</v>
      </c>
      <c r="AP940" s="32"/>
      <c r="AQ940" s="32"/>
      <c r="AR940" s="32"/>
      <c r="AS940" s="32"/>
      <c r="AT940" s="43" t="s">
        <v>474</v>
      </c>
      <c r="AU940" s="43" t="s">
        <v>137</v>
      </c>
      <c r="XEY940" s="27"/>
      <c r="XEZ940" s="27"/>
      <c r="XFA940" s="27"/>
      <c r="XFB940" s="27"/>
      <c r="XFC940" s="27"/>
      <c r="XFD940" s="27"/>
    </row>
    <row r="941" s="42" customFormat="true" ht="14.15" hidden="false" customHeight="true" outlineLevel="0" collapsed="false">
      <c r="A941" s="28" t="s">
        <v>5826</v>
      </c>
      <c r="B941" s="29" t="s">
        <v>986</v>
      </c>
      <c r="C941" s="29" t="s">
        <v>5827</v>
      </c>
      <c r="D941" s="30" t="s">
        <v>50</v>
      </c>
      <c r="E941" s="30" t="s">
        <v>776</v>
      </c>
      <c r="F941" s="32" t="n">
        <v>72</v>
      </c>
      <c r="G941" s="31" t="s">
        <v>61</v>
      </c>
      <c r="H941" s="31" t="n">
        <v>1</v>
      </c>
      <c r="I941" s="31" t="s">
        <v>572</v>
      </c>
      <c r="J941" s="29"/>
      <c r="K941" s="29" t="s">
        <v>5828</v>
      </c>
      <c r="L941" s="32" t="n">
        <v>44</v>
      </c>
      <c r="M941" s="33" t="s">
        <v>5829</v>
      </c>
      <c r="N941" s="34" t="n">
        <v>75008</v>
      </c>
      <c r="O941" s="35" t="s">
        <v>55</v>
      </c>
      <c r="P941" s="36" t="s">
        <v>5830</v>
      </c>
      <c r="Q941" s="36" t="n">
        <v>1</v>
      </c>
      <c r="R941" s="32" t="n">
        <v>292</v>
      </c>
      <c r="S941" s="32" t="n">
        <v>1</v>
      </c>
      <c r="T941" s="32"/>
      <c r="U941" s="32"/>
      <c r="V941" s="37"/>
      <c r="W941" s="32"/>
      <c r="X941" s="34"/>
      <c r="Y941" s="34"/>
      <c r="Z941" s="36"/>
      <c r="AA941" s="32" t="s">
        <v>5831</v>
      </c>
      <c r="AB941" s="32" t="s">
        <v>5832</v>
      </c>
      <c r="AC941" s="38" t="str">
        <f aca="false">HYPERLINK("https://biocodex6--c.vf.force.com/0014L00000KFocFQAT", "LLEDO JEAN BERNARD")</f>
        <v>LLEDO JEAN BERNARD</v>
      </c>
      <c r="AD941" s="38" t="str">
        <f aca="false">HYPERLINK("https://annuairesante.ameli.fr/professionnels-de-sante/recherche/fiche-detaillee-B7c1kTs5NTW7.html", "LLEDO JEAN BERNARD")</f>
        <v>LLEDO JEAN BERNARD</v>
      </c>
      <c r="AE941" s="39"/>
      <c r="AF941" s="40"/>
      <c r="AG941" s="41"/>
      <c r="AH941" s="32" t="s">
        <v>179</v>
      </c>
      <c r="AI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XEY941" s="27"/>
      <c r="XEZ941" s="27"/>
      <c r="XFA941" s="27"/>
      <c r="XFB941" s="27"/>
      <c r="XFC941" s="27"/>
      <c r="XFD941" s="27"/>
    </row>
    <row r="942" s="42" customFormat="true" ht="14.15" hidden="false" customHeight="true" outlineLevel="0" collapsed="false">
      <c r="A942" s="28" t="s">
        <v>5833</v>
      </c>
      <c r="B942" s="29" t="s">
        <v>5834</v>
      </c>
      <c r="C942" s="29" t="s">
        <v>5835</v>
      </c>
      <c r="D942" s="30" t="s">
        <v>50</v>
      </c>
      <c r="E942" s="30" t="s">
        <v>5836</v>
      </c>
      <c r="F942" s="32" t="n">
        <v>74</v>
      </c>
      <c r="G942" s="31"/>
      <c r="H942" s="31" t="n">
        <v>1</v>
      </c>
      <c r="I942" s="31" t="s">
        <v>387</v>
      </c>
      <c r="J942" s="29"/>
      <c r="K942" s="29" t="s">
        <v>5837</v>
      </c>
      <c r="L942" s="32" t="n">
        <v>171</v>
      </c>
      <c r="M942" s="33" t="s">
        <v>5838</v>
      </c>
      <c r="N942" s="34" t="n">
        <v>75016</v>
      </c>
      <c r="O942" s="35" t="s">
        <v>55</v>
      </c>
      <c r="P942" s="36" t="s">
        <v>5839</v>
      </c>
      <c r="Q942" s="36" t="n">
        <v>1</v>
      </c>
      <c r="R942" s="32" t="n">
        <v>291</v>
      </c>
      <c r="S942" s="32" t="n">
        <v>1</v>
      </c>
      <c r="T942" s="32"/>
      <c r="U942" s="32"/>
      <c r="V942" s="37"/>
      <c r="W942" s="32"/>
      <c r="X942" s="34"/>
      <c r="Y942" s="34"/>
      <c r="Z942" s="36"/>
      <c r="AA942" s="32" t="s">
        <v>5840</v>
      </c>
      <c r="AB942" s="32"/>
      <c r="AC942" s="38" t="str">
        <f aca="false">HYPERLINK("https://biocodex6--c.vf.force.com/0014L00000KFg2rQAD", "SHOUKRY KAMEL")</f>
        <v>SHOUKRY KAMEL</v>
      </c>
      <c r="AD942" s="38"/>
      <c r="AE942" s="39"/>
      <c r="AF942" s="40"/>
      <c r="AG942" s="41"/>
      <c r="AH942" s="32" t="s">
        <v>179</v>
      </c>
      <c r="AI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XEY942" s="27"/>
      <c r="XEZ942" s="27"/>
      <c r="XFA942" s="27"/>
      <c r="XFB942" s="27"/>
      <c r="XFC942" s="27"/>
      <c r="XFD942" s="27"/>
    </row>
    <row r="943" s="42" customFormat="true" ht="14.15" hidden="false" customHeight="true" outlineLevel="0" collapsed="false">
      <c r="A943" s="28" t="s">
        <v>5841</v>
      </c>
      <c r="B943" s="29" t="s">
        <v>3690</v>
      </c>
      <c r="C943" s="29" t="s">
        <v>5842</v>
      </c>
      <c r="D943" s="30" t="s">
        <v>268</v>
      </c>
      <c r="E943" s="31"/>
      <c r="F943" s="32" t="n">
        <v>70</v>
      </c>
      <c r="G943" s="31" t="s">
        <v>215</v>
      </c>
      <c r="H943" s="31" t="n">
        <v>2</v>
      </c>
      <c r="I943" s="31" t="s">
        <v>173</v>
      </c>
      <c r="J943" s="29"/>
      <c r="K943" s="29" t="s">
        <v>5843</v>
      </c>
      <c r="L943" s="32" t="n">
        <v>3</v>
      </c>
      <c r="M943" s="33" t="s">
        <v>5844</v>
      </c>
      <c r="N943" s="34" t="n">
        <v>75016</v>
      </c>
      <c r="O943" s="35" t="s">
        <v>55</v>
      </c>
      <c r="P943" s="36" t="s">
        <v>5845</v>
      </c>
      <c r="Q943" s="36" t="n">
        <v>1</v>
      </c>
      <c r="R943" s="32" t="n">
        <v>291</v>
      </c>
      <c r="S943" s="32" t="n">
        <v>1</v>
      </c>
      <c r="T943" s="32"/>
      <c r="U943" s="32"/>
      <c r="V943" s="37"/>
      <c r="W943" s="32"/>
      <c r="X943" s="34"/>
      <c r="Y943" s="34"/>
      <c r="Z943" s="32"/>
      <c r="AA943" s="32" t="s">
        <v>5846</v>
      </c>
      <c r="AB943" s="32" t="s">
        <v>5847</v>
      </c>
      <c r="AC943" s="38" t="str">
        <f aca="false">HYPERLINK("https://biocodex6--c.vf.force.com/0014L00000KFkVJQA1", "KANAAN YANN")</f>
        <v>KANAAN YANN</v>
      </c>
      <c r="AD943" s="38" t="str">
        <f aca="false">HYPERLINK("https://annuairesante.ameli.fr/professionnels-de-sante/recherche/fiche-detaillee-B7c1ljUxODu7.html", "KANAAN YANN")</f>
        <v>KANAAN YANN</v>
      </c>
      <c r="AE943" s="39"/>
      <c r="AF943" s="40"/>
      <c r="AG943" s="41"/>
      <c r="AH943" s="32"/>
      <c r="AI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XEY943" s="27"/>
      <c r="XEZ943" s="27"/>
      <c r="XFA943" s="27"/>
      <c r="XFB943" s="27"/>
      <c r="XFC943" s="27"/>
      <c r="XFD943" s="27"/>
    </row>
    <row r="944" s="42" customFormat="true" ht="14.15" hidden="false" customHeight="true" outlineLevel="0" collapsed="false">
      <c r="A944" s="28" t="s">
        <v>5848</v>
      </c>
      <c r="B944" s="29" t="s">
        <v>3674</v>
      </c>
      <c r="C944" s="29" t="s">
        <v>5849</v>
      </c>
      <c r="D944" s="30" t="s">
        <v>50</v>
      </c>
      <c r="E944" s="31"/>
      <c r="F944" s="32" t="n">
        <v>69</v>
      </c>
      <c r="G944" s="31"/>
      <c r="H944" s="31" t="n">
        <v>1</v>
      </c>
      <c r="I944" s="31" t="s">
        <v>435</v>
      </c>
      <c r="J944" s="29"/>
      <c r="K944" s="29" t="s">
        <v>5850</v>
      </c>
      <c r="L944" s="32" t="n">
        <v>37</v>
      </c>
      <c r="M944" s="33" t="s">
        <v>5851</v>
      </c>
      <c r="N944" s="34" t="n">
        <v>75016</v>
      </c>
      <c r="O944" s="35" t="s">
        <v>55</v>
      </c>
      <c r="P944" s="36" t="s">
        <v>5852</v>
      </c>
      <c r="Q944" s="36" t="n">
        <v>1</v>
      </c>
      <c r="R944" s="32" t="n">
        <v>290</v>
      </c>
      <c r="S944" s="32" t="n">
        <v>1</v>
      </c>
      <c r="T944" s="32"/>
      <c r="U944" s="32"/>
      <c r="V944" s="37"/>
      <c r="W944" s="32"/>
      <c r="X944" s="34"/>
      <c r="Y944" s="34"/>
      <c r="Z944" s="36"/>
      <c r="AA944" s="32" t="s">
        <v>5853</v>
      </c>
      <c r="AB944" s="32"/>
      <c r="AC944" s="38" t="str">
        <f aca="false">HYPERLINK("https://biocodex6--c.vf.force.com/0014L00000KFkuGQAT", "KOLLEN JEAN MICHEL")</f>
        <v>KOLLEN JEAN MICHEL</v>
      </c>
      <c r="AD944" s="38"/>
      <c r="AE944" s="39"/>
      <c r="AF944" s="40"/>
      <c r="AG944" s="41"/>
      <c r="AH944" s="32" t="s">
        <v>179</v>
      </c>
      <c r="AI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XEY944" s="27"/>
      <c r="XEZ944" s="27"/>
      <c r="XFA944" s="27"/>
      <c r="XFB944" s="27"/>
      <c r="XFC944" s="27"/>
      <c r="XFD944" s="27"/>
    </row>
    <row r="945" s="42" customFormat="true" ht="14.15" hidden="false" customHeight="true" outlineLevel="0" collapsed="false">
      <c r="A945" s="28" t="s">
        <v>5854</v>
      </c>
      <c r="B945" s="29" t="s">
        <v>5855</v>
      </c>
      <c r="C945" s="29" t="s">
        <v>5856</v>
      </c>
      <c r="D945" s="30" t="s">
        <v>244</v>
      </c>
      <c r="E945" s="31"/>
      <c r="F945" s="32" t="n">
        <v>34</v>
      </c>
      <c r="G945" s="31"/>
      <c r="H945" s="31" t="n">
        <v>1</v>
      </c>
      <c r="I945" s="31" t="s">
        <v>51</v>
      </c>
      <c r="J945" s="29" t="s">
        <v>3812</v>
      </c>
      <c r="K945" s="29" t="s">
        <v>3813</v>
      </c>
      <c r="L945" s="32" t="n">
        <v>17</v>
      </c>
      <c r="M945" s="33" t="s">
        <v>3814</v>
      </c>
      <c r="N945" s="34" t="n">
        <v>75015</v>
      </c>
      <c r="O945" s="35" t="s">
        <v>55</v>
      </c>
      <c r="P945" s="36" t="s">
        <v>3815</v>
      </c>
      <c r="Q945" s="36" t="n">
        <v>5</v>
      </c>
      <c r="R945" s="32" t="n">
        <v>289</v>
      </c>
      <c r="S945" s="32" t="n">
        <v>1</v>
      </c>
      <c r="T945" s="32"/>
      <c r="U945" s="32"/>
      <c r="V945" s="37"/>
      <c r="W945" s="32"/>
      <c r="X945" s="34"/>
      <c r="Y945" s="34"/>
      <c r="Z945" s="36"/>
      <c r="AA945" s="32" t="s">
        <v>5857</v>
      </c>
      <c r="AB945" s="32"/>
      <c r="AC945" s="38" t="str">
        <f aca="false">HYPERLINK("https://biocodex6--c.vf.force.com/0014L00000KGEE8QAP", "MASSEE CHARLINE")</f>
        <v>MASSEE CHARLINE</v>
      </c>
      <c r="AD945" s="38"/>
      <c r="AE945" s="39" t="n">
        <v>45264.6041666667</v>
      </c>
      <c r="AF945" s="40" t="s">
        <v>5858</v>
      </c>
      <c r="AG945" s="41"/>
      <c r="AH945" s="32" t="s">
        <v>179</v>
      </c>
      <c r="AI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XEY945" s="27"/>
      <c r="XEZ945" s="27"/>
      <c r="XFA945" s="27"/>
      <c r="XFB945" s="27"/>
      <c r="XFC945" s="27"/>
      <c r="XFD945" s="27"/>
    </row>
    <row r="946" s="42" customFormat="true" ht="14.15" hidden="false" customHeight="true" outlineLevel="0" collapsed="false">
      <c r="A946" s="28" t="s">
        <v>3115</v>
      </c>
      <c r="B946" s="29" t="s">
        <v>5859</v>
      </c>
      <c r="C946" s="29" t="s">
        <v>5860</v>
      </c>
      <c r="D946" s="30" t="s">
        <v>50</v>
      </c>
      <c r="E946" s="30" t="s">
        <v>5861</v>
      </c>
      <c r="F946" s="32" t="n">
        <v>77</v>
      </c>
      <c r="G946" s="31" t="s">
        <v>61</v>
      </c>
      <c r="H946" s="31" t="n">
        <v>1</v>
      </c>
      <c r="I946" s="31" t="s">
        <v>99</v>
      </c>
      <c r="J946" s="29"/>
      <c r="K946" s="29" t="s">
        <v>5862</v>
      </c>
      <c r="L946" s="32" t="n">
        <v>12</v>
      </c>
      <c r="M946" s="33" t="s">
        <v>5281</v>
      </c>
      <c r="N946" s="34" t="n">
        <v>75015</v>
      </c>
      <c r="O946" s="35" t="s">
        <v>55</v>
      </c>
      <c r="P946" s="36" t="s">
        <v>5863</v>
      </c>
      <c r="Q946" s="36" t="n">
        <v>2</v>
      </c>
      <c r="R946" s="32" t="n">
        <v>288</v>
      </c>
      <c r="S946" s="32" t="n">
        <v>1</v>
      </c>
      <c r="T946" s="32"/>
      <c r="U946" s="32" t="n">
        <v>3</v>
      </c>
      <c r="V946" s="37" t="n">
        <v>3</v>
      </c>
      <c r="W946" s="32" t="n">
        <v>3</v>
      </c>
      <c r="X946" s="34" t="n">
        <v>1</v>
      </c>
      <c r="Y946" s="34" t="n">
        <v>3</v>
      </c>
      <c r="Z946" s="32"/>
      <c r="AA946" s="32" t="s">
        <v>5864</v>
      </c>
      <c r="AB946" s="32" t="s">
        <v>5865</v>
      </c>
      <c r="AC946" s="38" t="str">
        <f aca="false">HYPERLINK("https://biocodex6--c.vf.force.com/0014L00000KFp3mQAD", "LUMBROSO JULIANE")</f>
        <v>LUMBROSO JULIANE</v>
      </c>
      <c r="AD946" s="38" t="str">
        <f aca="false">HYPERLINK("https://annuairesante.ameli.fr/professionnels-de-sante/recherche/fiche-detaillee-B7c1kTA3Nza3.html", "LUMBROSO JULIANE")</f>
        <v>LUMBROSO JULIANE</v>
      </c>
      <c r="AE946" s="39" t="n">
        <v>45372.5625</v>
      </c>
      <c r="AF946" s="40" t="s">
        <v>5866</v>
      </c>
      <c r="AG946" s="41"/>
      <c r="AH946" s="32"/>
      <c r="AI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43" t="s">
        <v>866</v>
      </c>
      <c r="XEY946" s="27"/>
      <c r="XEZ946" s="27"/>
      <c r="XFA946" s="27"/>
      <c r="XFB946" s="27"/>
      <c r="XFC946" s="27"/>
      <c r="XFD946" s="27"/>
    </row>
    <row r="947" s="42" customFormat="true" ht="14.15" hidden="false" customHeight="true" outlineLevel="0" collapsed="false">
      <c r="A947" s="28" t="s">
        <v>5867</v>
      </c>
      <c r="B947" s="29" t="s">
        <v>332</v>
      </c>
      <c r="C947" s="29" t="s">
        <v>5868</v>
      </c>
      <c r="D947" s="30" t="s">
        <v>50</v>
      </c>
      <c r="E947" s="31"/>
      <c r="F947" s="32" t="n">
        <v>50</v>
      </c>
      <c r="G947" s="31" t="s">
        <v>98</v>
      </c>
      <c r="H947" s="31" t="n">
        <v>1</v>
      </c>
      <c r="I947" s="31" t="s">
        <v>99</v>
      </c>
      <c r="J947" s="29"/>
      <c r="K947" s="29" t="s">
        <v>5869</v>
      </c>
      <c r="L947" s="32" t="n">
        <v>12</v>
      </c>
      <c r="M947" s="33" t="s">
        <v>3849</v>
      </c>
      <c r="N947" s="34" t="n">
        <v>75015</v>
      </c>
      <c r="O947" s="35" t="s">
        <v>55</v>
      </c>
      <c r="P947" s="36" t="s">
        <v>5870</v>
      </c>
      <c r="Q947" s="36" t="n">
        <v>2</v>
      </c>
      <c r="R947" s="32" t="n">
        <v>288</v>
      </c>
      <c r="S947" s="32" t="n">
        <v>1</v>
      </c>
      <c r="T947" s="32"/>
      <c r="U947" s="32"/>
      <c r="V947" s="37"/>
      <c r="W947" s="32"/>
      <c r="X947" s="34"/>
      <c r="Y947" s="34"/>
      <c r="Z947" s="36"/>
      <c r="AA947" s="32" t="s">
        <v>5871</v>
      </c>
      <c r="AB947" s="32" t="s">
        <v>5872</v>
      </c>
      <c r="AC947" s="38" t="str">
        <f aca="false">HYPERLINK("https://biocodex6--c.vf.force.com/0014L00000KG1uvQAD", "SFAR KHATOUNIAN CATHERINE")</f>
        <v>SFAR KHATOUNIAN CATHERINE</v>
      </c>
      <c r="AD947" s="38" t="str">
        <f aca="false">HYPERLINK("https://annuairesante.ameli.fr/professionnels-de-sante/recherche/fiche-detaillee-B7c1mzE4MDuz.html", "SFAR KHATOUNIAN CATHERINE")</f>
        <v>SFAR KHATOUNIAN CATHERINE</v>
      </c>
      <c r="AE947" s="39"/>
      <c r="AF947" s="40"/>
      <c r="AG947" s="41"/>
      <c r="AH947" s="32" t="s">
        <v>179</v>
      </c>
      <c r="AI947" s="32"/>
      <c r="AL947" s="43" t="s">
        <v>822</v>
      </c>
      <c r="AM947" s="43" t="s">
        <v>661</v>
      </c>
      <c r="AN947" s="43" t="s">
        <v>5873</v>
      </c>
      <c r="AO947" s="43" t="s">
        <v>2464</v>
      </c>
      <c r="AP947" s="43" t="s">
        <v>657</v>
      </c>
      <c r="AQ947" s="43" t="s">
        <v>1443</v>
      </c>
      <c r="AR947" s="43" t="s">
        <v>5873</v>
      </c>
      <c r="AS947" s="43" t="s">
        <v>5874</v>
      </c>
      <c r="AT947" s="43" t="s">
        <v>85</v>
      </c>
      <c r="AU947" s="43" t="s">
        <v>5875</v>
      </c>
      <c r="XEY947" s="27"/>
      <c r="XEZ947" s="27"/>
      <c r="XFA947" s="27"/>
      <c r="XFB947" s="27"/>
      <c r="XFC947" s="27"/>
      <c r="XFD947" s="27"/>
    </row>
    <row r="948" s="42" customFormat="true" ht="14.15" hidden="false" customHeight="true" outlineLevel="0" collapsed="false">
      <c r="A948" s="28" t="s">
        <v>1134</v>
      </c>
      <c r="B948" s="29" t="s">
        <v>4407</v>
      </c>
      <c r="C948" s="29" t="s">
        <v>5876</v>
      </c>
      <c r="D948" s="30" t="s">
        <v>75</v>
      </c>
      <c r="E948" s="30" t="s">
        <v>245</v>
      </c>
      <c r="F948" s="32" t="n">
        <v>72</v>
      </c>
      <c r="G948" s="31"/>
      <c r="H948" s="31" t="n">
        <v>1</v>
      </c>
      <c r="I948" s="31" t="s">
        <v>295</v>
      </c>
      <c r="J948" s="29" t="s">
        <v>489</v>
      </c>
      <c r="K948" s="29" t="s">
        <v>1183</v>
      </c>
      <c r="L948" s="32" t="n">
        <v>4</v>
      </c>
      <c r="M948" s="33" t="s">
        <v>297</v>
      </c>
      <c r="N948" s="34" t="n">
        <v>92300</v>
      </c>
      <c r="O948" s="35" t="s">
        <v>298</v>
      </c>
      <c r="P948" s="36" t="s">
        <v>2134</v>
      </c>
      <c r="Q948" s="36" t="n">
        <v>27</v>
      </c>
      <c r="R948" s="32" t="n">
        <v>288</v>
      </c>
      <c r="S948" s="32" t="n">
        <v>1</v>
      </c>
      <c r="T948" s="32"/>
      <c r="U948" s="32"/>
      <c r="V948" s="37"/>
      <c r="W948" s="32"/>
      <c r="X948" s="34"/>
      <c r="Y948" s="34"/>
      <c r="Z948" s="36"/>
      <c r="AA948" s="32" t="s">
        <v>5877</v>
      </c>
      <c r="AB948" s="32"/>
      <c r="AC948" s="38" t="str">
        <f aca="false">HYPERLINK("https://biocodex6--c.vf.force.com/0014L00000KFX2XQAX", "COHEN SIMON")</f>
        <v>COHEN SIMON</v>
      </c>
      <c r="AD948" s="38"/>
      <c r="AE948" s="39"/>
      <c r="AF948" s="40"/>
      <c r="AG948" s="41"/>
      <c r="AH948" s="32" t="s">
        <v>179</v>
      </c>
      <c r="AI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XEY948" s="27"/>
      <c r="XEZ948" s="27"/>
      <c r="XFA948" s="27"/>
      <c r="XFB948" s="27"/>
      <c r="XFC948" s="27"/>
      <c r="XFD948" s="27"/>
    </row>
    <row r="949" s="42" customFormat="true" ht="14.15" hidden="false" customHeight="true" outlineLevel="0" collapsed="false">
      <c r="A949" s="28" t="s">
        <v>2433</v>
      </c>
      <c r="B949" s="29" t="s">
        <v>5389</v>
      </c>
      <c r="C949" s="29" t="s">
        <v>5878</v>
      </c>
      <c r="D949" s="30" t="s">
        <v>50</v>
      </c>
      <c r="E949" s="31"/>
      <c r="F949" s="32" t="n">
        <v>44</v>
      </c>
      <c r="G949" s="31" t="s">
        <v>61</v>
      </c>
      <c r="H949" s="31" t="n">
        <v>1</v>
      </c>
      <c r="I949" s="31" t="s">
        <v>387</v>
      </c>
      <c r="J949" s="29"/>
      <c r="K949" s="29" t="s">
        <v>5821</v>
      </c>
      <c r="L949" s="32" t="n">
        <v>34</v>
      </c>
      <c r="M949" s="33" t="s">
        <v>5822</v>
      </c>
      <c r="N949" s="34" t="n">
        <v>75016</v>
      </c>
      <c r="O949" s="35" t="s">
        <v>55</v>
      </c>
      <c r="P949" s="36" t="s">
        <v>5823</v>
      </c>
      <c r="Q949" s="36" t="n">
        <v>2</v>
      </c>
      <c r="R949" s="32" t="n">
        <v>287</v>
      </c>
      <c r="S949" s="32" t="n">
        <v>1</v>
      </c>
      <c r="T949" s="32"/>
      <c r="U949" s="32"/>
      <c r="V949" s="37"/>
      <c r="W949" s="32"/>
      <c r="X949" s="34"/>
      <c r="Y949" s="34"/>
      <c r="Z949" s="36"/>
      <c r="AA949" s="32" t="s">
        <v>5879</v>
      </c>
      <c r="AB949" s="32" t="s">
        <v>5880</v>
      </c>
      <c r="AC949" s="38" t="str">
        <f aca="false">HYPERLINK("https://biocodex6--c.vf.force.com/0014L00000KFT4jQAH", "BERNARD SANDRA")</f>
        <v>BERNARD SANDRA</v>
      </c>
      <c r="AD949" s="38" t="str">
        <f aca="false">HYPERLINK("https://annuairesante.ameli.fr/professionnels-de-sante/recherche/fiche-detaillee-B7c1kzA0MDCw.html", "BERNARD SANDRA")</f>
        <v>BERNARD SANDRA</v>
      </c>
      <c r="AE949" s="39"/>
      <c r="AF949" s="40"/>
      <c r="AG949" s="41"/>
      <c r="AH949" s="32" t="s">
        <v>179</v>
      </c>
      <c r="AI949" s="32"/>
      <c r="AL949" s="32"/>
      <c r="AM949" s="32"/>
      <c r="AN949" s="43" t="s">
        <v>657</v>
      </c>
      <c r="AO949" s="43" t="s">
        <v>137</v>
      </c>
      <c r="AP949" s="32"/>
      <c r="AQ949" s="43" t="s">
        <v>137</v>
      </c>
      <c r="AR949" s="32"/>
      <c r="AS949" s="32"/>
      <c r="AT949" s="43" t="s">
        <v>5881</v>
      </c>
      <c r="AU949" s="32"/>
      <c r="XEY949" s="27"/>
      <c r="XEZ949" s="27"/>
      <c r="XFA949" s="27"/>
      <c r="XFB949" s="27"/>
      <c r="XFC949" s="27"/>
      <c r="XFD949" s="27"/>
    </row>
    <row r="950" s="42" customFormat="true" ht="14.15" hidden="false" customHeight="true" outlineLevel="0" collapsed="false">
      <c r="A950" s="28" t="s">
        <v>5882</v>
      </c>
      <c r="B950" s="29" t="s">
        <v>304</v>
      </c>
      <c r="C950" s="29" t="s">
        <v>5883</v>
      </c>
      <c r="D950" s="30" t="s">
        <v>244</v>
      </c>
      <c r="E950" s="30" t="s">
        <v>5884</v>
      </c>
      <c r="F950" s="32" t="n">
        <v>44</v>
      </c>
      <c r="G950" s="31" t="s">
        <v>215</v>
      </c>
      <c r="H950" s="31" t="n">
        <v>1</v>
      </c>
      <c r="I950" s="31" t="s">
        <v>62</v>
      </c>
      <c r="J950" s="29"/>
      <c r="K950" s="29" t="s">
        <v>5885</v>
      </c>
      <c r="L950" s="32" t="n">
        <v>123</v>
      </c>
      <c r="M950" s="33" t="s">
        <v>646</v>
      </c>
      <c r="N950" s="34" t="n">
        <v>75017</v>
      </c>
      <c r="O950" s="35" t="s">
        <v>55</v>
      </c>
      <c r="P950" s="36" t="s">
        <v>5886</v>
      </c>
      <c r="Q950" s="36" t="n">
        <v>2</v>
      </c>
      <c r="R950" s="32" t="n">
        <v>285</v>
      </c>
      <c r="S950" s="32" t="n">
        <v>1</v>
      </c>
      <c r="T950" s="32"/>
      <c r="U950" s="32"/>
      <c r="V950" s="37"/>
      <c r="W950" s="32"/>
      <c r="X950" s="34"/>
      <c r="Y950" s="34"/>
      <c r="Z950" s="36" t="s">
        <v>5887</v>
      </c>
      <c r="AA950" s="32" t="s">
        <v>5888</v>
      </c>
      <c r="AB950" s="32" t="s">
        <v>5889</v>
      </c>
      <c r="AC950" s="38" t="str">
        <f aca="false">HYPERLINK("https://biocodex6--c.vf.force.com/0014L00000KFQ1WQAX", "EL BEZ COHEN SCALI SANDRINE")</f>
        <v>EL BEZ COHEN SCALI SANDRINE</v>
      </c>
      <c r="AD950" s="38" t="str">
        <f aca="false">HYPERLINK("https://annuairesante.ameli.fr/professionnels-de-sante/recherche/fiche-detaillee-B7c1lTE0NjSx.html", "EL BEZ COHEN SCALI SANDRINE")</f>
        <v>EL BEZ COHEN SCALI SANDRINE</v>
      </c>
      <c r="AE950" s="39" t="n">
        <v>45356.3958333333</v>
      </c>
      <c r="AF950" s="40"/>
      <c r="AG950" s="41"/>
      <c r="AH950" s="32" t="s">
        <v>179</v>
      </c>
      <c r="AI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XEY950" s="27"/>
      <c r="XEZ950" s="27"/>
      <c r="XFA950" s="27"/>
      <c r="XFB950" s="27"/>
      <c r="XFC950" s="27"/>
      <c r="XFD950" s="27"/>
    </row>
    <row r="951" s="42" customFormat="true" ht="14.15" hidden="false" customHeight="true" outlineLevel="0" collapsed="false">
      <c r="A951" s="28" t="s">
        <v>5890</v>
      </c>
      <c r="B951" s="29" t="s">
        <v>419</v>
      </c>
      <c r="C951" s="29" t="s">
        <v>5891</v>
      </c>
      <c r="D951" s="30" t="s">
        <v>50</v>
      </c>
      <c r="E951" s="31"/>
      <c r="F951" s="32" t="n">
        <v>53</v>
      </c>
      <c r="G951" s="31" t="s">
        <v>98</v>
      </c>
      <c r="H951" s="31" t="n">
        <v>1</v>
      </c>
      <c r="I951" s="31" t="s">
        <v>233</v>
      </c>
      <c r="J951" s="29"/>
      <c r="K951" s="29" t="s">
        <v>3642</v>
      </c>
      <c r="L951" s="32" t="n">
        <v>39</v>
      </c>
      <c r="M951" s="33" t="s">
        <v>2788</v>
      </c>
      <c r="N951" s="34" t="n">
        <v>75015</v>
      </c>
      <c r="O951" s="35" t="s">
        <v>55</v>
      </c>
      <c r="P951" s="36" t="s">
        <v>5892</v>
      </c>
      <c r="Q951" s="36" t="n">
        <v>2</v>
      </c>
      <c r="R951" s="32" t="n">
        <v>283</v>
      </c>
      <c r="S951" s="32" t="n">
        <v>1</v>
      </c>
      <c r="T951" s="32"/>
      <c r="U951" s="32"/>
      <c r="V951" s="37"/>
      <c r="W951" s="32"/>
      <c r="X951" s="34"/>
      <c r="Y951" s="34"/>
      <c r="Z951" s="36"/>
      <c r="AA951" s="32" t="s">
        <v>5893</v>
      </c>
      <c r="AB951" s="32" t="s">
        <v>5894</v>
      </c>
      <c r="AC951" s="38" t="str">
        <f aca="false">HYPERLINK("https://biocodex6--c.vf.force.com/0014L00000KFzrxQAD", "ROLLAND FLORENCE")</f>
        <v>ROLLAND FLORENCE</v>
      </c>
      <c r="AD951" s="38" t="str">
        <f aca="false">HYPERLINK("https://annuairesante.ameli.fr/professionnels-de-sante/recherche/fiche-detaillee-B7c1lDc2OTW2.html", "ROLLAND FLORENCE")</f>
        <v>ROLLAND FLORENCE</v>
      </c>
      <c r="AE951" s="39"/>
      <c r="AF951" s="40"/>
      <c r="AG951" s="41"/>
      <c r="AH951" s="32" t="s">
        <v>179</v>
      </c>
      <c r="AI951" s="32"/>
      <c r="AL951" s="43" t="s">
        <v>5895</v>
      </c>
      <c r="AM951" s="43" t="s">
        <v>5896</v>
      </c>
      <c r="AN951" s="43" t="s">
        <v>5897</v>
      </c>
      <c r="AO951" s="43" t="s">
        <v>5898</v>
      </c>
      <c r="AP951" s="43" t="s">
        <v>5895</v>
      </c>
      <c r="AQ951" s="43" t="s">
        <v>5896</v>
      </c>
      <c r="AR951" s="43" t="s">
        <v>5897</v>
      </c>
      <c r="AS951" s="43" t="s">
        <v>5898</v>
      </c>
      <c r="AT951" s="43" t="s">
        <v>5895</v>
      </c>
      <c r="AU951" s="43" t="s">
        <v>5899</v>
      </c>
      <c r="XEY951" s="27"/>
      <c r="XEZ951" s="27"/>
      <c r="XFA951" s="27"/>
      <c r="XFB951" s="27"/>
      <c r="XFC951" s="27"/>
      <c r="XFD951" s="27"/>
    </row>
    <row r="952" s="42" customFormat="true" ht="14.15" hidden="false" customHeight="true" outlineLevel="0" collapsed="false">
      <c r="A952" s="28" t="s">
        <v>5900</v>
      </c>
      <c r="B952" s="29" t="s">
        <v>727</v>
      </c>
      <c r="C952" s="29" t="s">
        <v>5901</v>
      </c>
      <c r="D952" s="30" t="s">
        <v>50</v>
      </c>
      <c r="E952" s="31"/>
      <c r="F952" s="32"/>
      <c r="G952" s="31" t="s">
        <v>98</v>
      </c>
      <c r="H952" s="31" t="n">
        <v>1</v>
      </c>
      <c r="I952" s="31" t="s">
        <v>77</v>
      </c>
      <c r="J952" s="29"/>
      <c r="K952" s="29" t="s">
        <v>5902</v>
      </c>
      <c r="L952" s="32" t="n">
        <v>1</v>
      </c>
      <c r="M952" s="33" t="s">
        <v>5903</v>
      </c>
      <c r="N952" s="34" t="n">
        <v>92200</v>
      </c>
      <c r="O952" s="35" t="s">
        <v>298</v>
      </c>
      <c r="P952" s="36" t="s">
        <v>5904</v>
      </c>
      <c r="Q952" s="36" t="n">
        <v>2</v>
      </c>
      <c r="R952" s="32" t="n">
        <v>283</v>
      </c>
      <c r="S952" s="32" t="n">
        <v>1</v>
      </c>
      <c r="T952" s="32"/>
      <c r="U952" s="32"/>
      <c r="V952" s="37"/>
      <c r="W952" s="32"/>
      <c r="X952" s="34"/>
      <c r="Y952" s="34"/>
      <c r="Z952" s="36"/>
      <c r="AA952" s="32" t="s">
        <v>5905</v>
      </c>
      <c r="AB952" s="32" t="s">
        <v>5906</v>
      </c>
      <c r="AC952" s="38" t="str">
        <f aca="false">HYPERLINK("https://biocodex6--c.vf.force.com/0014L00000KFjp8QAD", "COHEN ROUAH DEBORAH")</f>
        <v>COHEN ROUAH DEBORAH</v>
      </c>
      <c r="AD952" s="38" t="str">
        <f aca="false">HYPERLINK("https://annuairesante.ameli.fr/professionnels-de-sante/recherche/fiche-detaillee-CbA1kDMzNDG1.html", "COHEN ROUAH DEBORAH")</f>
        <v>COHEN ROUAH DEBORAH</v>
      </c>
      <c r="AE952" s="39"/>
      <c r="AF952" s="40"/>
      <c r="AG952" s="41"/>
      <c r="AH952" s="32" t="s">
        <v>179</v>
      </c>
      <c r="AI952" s="32"/>
      <c r="AJ952" s="42" t="s">
        <v>5907</v>
      </c>
      <c r="AL952" s="43" t="s">
        <v>338</v>
      </c>
      <c r="AM952" s="32"/>
      <c r="AN952" s="43" t="s">
        <v>657</v>
      </c>
      <c r="AO952" s="43" t="s">
        <v>137</v>
      </c>
      <c r="AP952" s="32"/>
      <c r="AQ952" s="43" t="s">
        <v>924</v>
      </c>
      <c r="AR952" s="43" t="s">
        <v>657</v>
      </c>
      <c r="AS952" s="43" t="s">
        <v>137</v>
      </c>
      <c r="AT952" s="43" t="s">
        <v>657</v>
      </c>
      <c r="AU952" s="43" t="s">
        <v>518</v>
      </c>
      <c r="XEY952" s="27"/>
      <c r="XEZ952" s="27"/>
      <c r="XFA952" s="27"/>
      <c r="XFB952" s="27"/>
      <c r="XFC952" s="27"/>
      <c r="XFD952" s="27"/>
    </row>
    <row r="953" s="42" customFormat="true" ht="14.15" hidden="false" customHeight="true" outlineLevel="0" collapsed="false">
      <c r="A953" s="28" t="s">
        <v>5908</v>
      </c>
      <c r="B953" s="29" t="s">
        <v>1101</v>
      </c>
      <c r="C953" s="29" t="s">
        <v>5909</v>
      </c>
      <c r="D953" s="30" t="s">
        <v>50</v>
      </c>
      <c r="E953" s="31"/>
      <c r="F953" s="32" t="n">
        <v>61</v>
      </c>
      <c r="G953" s="31" t="s">
        <v>98</v>
      </c>
      <c r="H953" s="31" t="n">
        <v>1</v>
      </c>
      <c r="I953" s="31" t="s">
        <v>233</v>
      </c>
      <c r="J953" s="29"/>
      <c r="K953" s="29" t="s">
        <v>1497</v>
      </c>
      <c r="L953" s="32" t="n">
        <v>175</v>
      </c>
      <c r="M953" s="33" t="s">
        <v>1002</v>
      </c>
      <c r="N953" s="34" t="n">
        <v>75015</v>
      </c>
      <c r="O953" s="35" t="s">
        <v>55</v>
      </c>
      <c r="P953" s="36" t="s">
        <v>1498</v>
      </c>
      <c r="Q953" s="36" t="n">
        <v>2</v>
      </c>
      <c r="R953" s="32" t="n">
        <v>282</v>
      </c>
      <c r="S953" s="32" t="n">
        <v>1</v>
      </c>
      <c r="T953" s="32"/>
      <c r="U953" s="32"/>
      <c r="V953" s="37"/>
      <c r="W953" s="32"/>
      <c r="X953" s="34"/>
      <c r="Y953" s="34"/>
      <c r="Z953" s="36"/>
      <c r="AA953" s="32" t="s">
        <v>5910</v>
      </c>
      <c r="AB953" s="32" t="s">
        <v>5911</v>
      </c>
      <c r="AC953" s="38" t="str">
        <f aca="false">HYPERLINK("https://biocodex6--c.vf.force.com/0014L00000KFUMlQAP", "BILLY ISABELLE")</f>
        <v>BILLY ISABELLE</v>
      </c>
      <c r="AD953" s="38" t="str">
        <f aca="false">HYPERLINK("https://annuairesante.ameli.fr/professionnels-de-sante/recherche/fiche-detaillee-B7c1lDMzNzK0.html", "BILLY ISABELLE")</f>
        <v>BILLY ISABELLE</v>
      </c>
      <c r="AE953" s="39"/>
      <c r="AF953" s="40"/>
      <c r="AG953" s="41"/>
      <c r="AH953" s="32" t="s">
        <v>179</v>
      </c>
      <c r="AI953" s="32"/>
      <c r="AL953" s="43" t="s">
        <v>508</v>
      </c>
      <c r="AM953" s="43" t="s">
        <v>5330</v>
      </c>
      <c r="AN953" s="32"/>
      <c r="AO953" s="43" t="s">
        <v>3168</v>
      </c>
      <c r="AP953" s="43" t="s">
        <v>657</v>
      </c>
      <c r="AQ953" s="43" t="s">
        <v>534</v>
      </c>
      <c r="AR953" s="32"/>
      <c r="AS953" s="32"/>
      <c r="AT953" s="43" t="s">
        <v>1301</v>
      </c>
      <c r="AU953" s="43" t="s">
        <v>5912</v>
      </c>
      <c r="XEY953" s="27"/>
      <c r="XEZ953" s="27"/>
      <c r="XFA953" s="27"/>
      <c r="XFB953" s="27"/>
      <c r="XFC953" s="27"/>
      <c r="XFD953" s="27"/>
    </row>
    <row r="954" s="42" customFormat="true" ht="14.15" hidden="false" customHeight="true" outlineLevel="0" collapsed="false">
      <c r="A954" s="28" t="s">
        <v>5913</v>
      </c>
      <c r="B954" s="29" t="s">
        <v>4324</v>
      </c>
      <c r="C954" s="29" t="s">
        <v>5914</v>
      </c>
      <c r="D954" s="30" t="s">
        <v>50</v>
      </c>
      <c r="E954" s="31"/>
      <c r="F954" s="32" t="n">
        <v>76</v>
      </c>
      <c r="G954" s="31"/>
      <c r="H954" s="31" t="n">
        <v>1</v>
      </c>
      <c r="I954" s="31" t="s">
        <v>435</v>
      </c>
      <c r="J954" s="29"/>
      <c r="K954" s="29" t="s">
        <v>5915</v>
      </c>
      <c r="L954" s="32" t="n">
        <v>49</v>
      </c>
      <c r="M954" s="33" t="s">
        <v>2883</v>
      </c>
      <c r="N954" s="34" t="n">
        <v>75016</v>
      </c>
      <c r="O954" s="35" t="s">
        <v>55</v>
      </c>
      <c r="P954" s="36" t="s">
        <v>5916</v>
      </c>
      <c r="Q954" s="36" t="n">
        <v>1</v>
      </c>
      <c r="R954" s="32" t="n">
        <v>281</v>
      </c>
      <c r="S954" s="32" t="n">
        <v>1</v>
      </c>
      <c r="T954" s="32"/>
      <c r="U954" s="32"/>
      <c r="V954" s="37"/>
      <c r="W954" s="32"/>
      <c r="X954" s="34"/>
      <c r="Y954" s="34"/>
      <c r="Z954" s="36"/>
      <c r="AA954" s="32" t="s">
        <v>5917</v>
      </c>
      <c r="AB954" s="32"/>
      <c r="AC954" s="38" t="str">
        <f aca="false">HYPERLINK("https://biocodex6--c.vf.force.com/0014L00000KFZ2IQAX", "DE BERC HUGUES")</f>
        <v>DE BERC HUGUES</v>
      </c>
      <c r="AD954" s="38"/>
      <c r="AE954" s="39"/>
      <c r="AF954" s="40"/>
      <c r="AG954" s="41"/>
      <c r="AH954" s="32" t="s">
        <v>179</v>
      </c>
      <c r="AI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XEY954" s="27"/>
      <c r="XEZ954" s="27"/>
      <c r="XFA954" s="27"/>
      <c r="XFB954" s="27"/>
      <c r="XFC954" s="27"/>
      <c r="XFD954" s="27"/>
    </row>
    <row r="955" s="42" customFormat="true" ht="14.15" hidden="false" customHeight="true" outlineLevel="0" collapsed="false">
      <c r="A955" s="28" t="s">
        <v>5918</v>
      </c>
      <c r="B955" s="29" t="s">
        <v>3439</v>
      </c>
      <c r="C955" s="29" t="s">
        <v>5919</v>
      </c>
      <c r="D955" s="30" t="s">
        <v>112</v>
      </c>
      <c r="E955" s="31"/>
      <c r="F955" s="32" t="n">
        <v>64</v>
      </c>
      <c r="G955" s="31" t="s">
        <v>215</v>
      </c>
      <c r="H955" s="31" t="n">
        <v>1</v>
      </c>
      <c r="I955" s="31" t="s">
        <v>51</v>
      </c>
      <c r="J955" s="29"/>
      <c r="K955" s="29" t="s">
        <v>5920</v>
      </c>
      <c r="L955" s="32" t="n">
        <v>68</v>
      </c>
      <c r="M955" s="33" t="s">
        <v>5921</v>
      </c>
      <c r="N955" s="34" t="n">
        <v>75015</v>
      </c>
      <c r="O955" s="35" t="s">
        <v>55</v>
      </c>
      <c r="P955" s="36" t="s">
        <v>5922</v>
      </c>
      <c r="Q955" s="36" t="n">
        <v>1</v>
      </c>
      <c r="R955" s="32" t="n">
        <v>280</v>
      </c>
      <c r="S955" s="32" t="n">
        <v>1</v>
      </c>
      <c r="T955" s="32"/>
      <c r="U955" s="32"/>
      <c r="V955" s="37"/>
      <c r="W955" s="32"/>
      <c r="X955" s="34"/>
      <c r="Y955" s="34"/>
      <c r="Z955" s="36"/>
      <c r="AA955" s="32" t="s">
        <v>5923</v>
      </c>
      <c r="AB955" s="32" t="s">
        <v>5924</v>
      </c>
      <c r="AC955" s="38" t="str">
        <f aca="false">HYPERLINK("https://biocodex6--c.vf.force.com/0014L00000KFT9QQAX", "BERTEROTTIERE PASCALE")</f>
        <v>BERTEROTTIERE PASCALE</v>
      </c>
      <c r="AD955" s="38" t="str">
        <f aca="false">HYPERLINK("https://annuairesante.ameli.fr/professionnels-de-sante/recherche/fiche-detaillee-B7c1lDAxOTK1.html", "BERTEROTTIERE PASCALE")</f>
        <v>BERTEROTTIERE PASCALE</v>
      </c>
      <c r="AE955" s="39"/>
      <c r="AF955" s="40"/>
      <c r="AG955" s="41"/>
      <c r="AH955" s="32" t="s">
        <v>179</v>
      </c>
      <c r="AI955" s="32"/>
      <c r="AL955" s="43" t="s">
        <v>1301</v>
      </c>
      <c r="AM955" s="43" t="s">
        <v>137</v>
      </c>
      <c r="AN955" s="43" t="s">
        <v>1301</v>
      </c>
      <c r="AO955" s="43" t="s">
        <v>137</v>
      </c>
      <c r="AP955" s="43" t="s">
        <v>1301</v>
      </c>
      <c r="AQ955" s="43" t="s">
        <v>137</v>
      </c>
      <c r="AR955" s="43" t="s">
        <v>1301</v>
      </c>
      <c r="AS955" s="43" t="s">
        <v>5925</v>
      </c>
      <c r="AT955" s="43" t="s">
        <v>1301</v>
      </c>
      <c r="AU955" s="43" t="s">
        <v>137</v>
      </c>
      <c r="XEY955" s="27"/>
      <c r="XEZ955" s="27"/>
      <c r="XFA955" s="27"/>
      <c r="XFB955" s="27"/>
      <c r="XFC955" s="27"/>
      <c r="XFD955" s="27"/>
    </row>
    <row r="956" s="42" customFormat="true" ht="14.15" hidden="false" customHeight="true" outlineLevel="0" collapsed="false">
      <c r="A956" s="28" t="s">
        <v>5926</v>
      </c>
      <c r="B956" s="29" t="s">
        <v>182</v>
      </c>
      <c r="C956" s="29" t="s">
        <v>5927</v>
      </c>
      <c r="D956" s="30" t="s">
        <v>50</v>
      </c>
      <c r="E956" s="31"/>
      <c r="F956" s="32" t="n">
        <v>55</v>
      </c>
      <c r="G956" s="31" t="s">
        <v>98</v>
      </c>
      <c r="H956" s="31" t="n">
        <v>1</v>
      </c>
      <c r="I956" s="31" t="s">
        <v>62</v>
      </c>
      <c r="J956" s="29"/>
      <c r="K956" s="29" t="s">
        <v>5928</v>
      </c>
      <c r="L956" s="32" t="n">
        <v>21</v>
      </c>
      <c r="M956" s="33" t="s">
        <v>5929</v>
      </c>
      <c r="N956" s="34" t="n">
        <v>75017</v>
      </c>
      <c r="O956" s="35" t="s">
        <v>55</v>
      </c>
      <c r="P956" s="36" t="s">
        <v>5930</v>
      </c>
      <c r="Q956" s="36" t="n">
        <v>1</v>
      </c>
      <c r="R956" s="32" t="n">
        <v>279</v>
      </c>
      <c r="S956" s="32" t="n">
        <v>1</v>
      </c>
      <c r="T956" s="32"/>
      <c r="U956" s="32"/>
      <c r="V956" s="37"/>
      <c r="W956" s="32"/>
      <c r="X956" s="34"/>
      <c r="Y956" s="34"/>
      <c r="Z956" s="36"/>
      <c r="AA956" s="32" t="s">
        <v>5931</v>
      </c>
      <c r="AB956" s="32" t="s">
        <v>5932</v>
      </c>
      <c r="AC956" s="38" t="str">
        <f aca="false">HYPERLINK("https://biocodex6--c.vf.force.com/0014L00000KFSySQAX", "BERREBY LAURENT")</f>
        <v>BERREBY LAURENT</v>
      </c>
      <c r="AD956" s="38" t="str">
        <f aca="false">HYPERLINK("https://annuairesante.ameli.fr/professionnels-de-sante/recherche/fiche-detaillee-B7c1lzs3MjSx.html", "BERREBY LAURENT")</f>
        <v>BERREBY LAURENT</v>
      </c>
      <c r="AE956" s="39"/>
      <c r="AF956" s="40"/>
      <c r="AG956" s="41"/>
      <c r="AH956" s="32" t="s">
        <v>179</v>
      </c>
      <c r="AI956" s="32"/>
      <c r="AL956" s="43" t="s">
        <v>657</v>
      </c>
      <c r="AM956" s="43" t="s">
        <v>137</v>
      </c>
      <c r="AN956" s="43" t="s">
        <v>657</v>
      </c>
      <c r="AO956" s="43" t="s">
        <v>137</v>
      </c>
      <c r="AP956" s="43" t="s">
        <v>263</v>
      </c>
      <c r="AQ956" s="43" t="s">
        <v>137</v>
      </c>
      <c r="AR956" s="43" t="s">
        <v>263</v>
      </c>
      <c r="AS956" s="43" t="s">
        <v>137</v>
      </c>
      <c r="AT956" s="43" t="s">
        <v>263</v>
      </c>
      <c r="AU956" s="43" t="s">
        <v>137</v>
      </c>
      <c r="XEY956" s="27"/>
      <c r="XEZ956" s="27"/>
      <c r="XFA956" s="27"/>
      <c r="XFB956" s="27"/>
      <c r="XFC956" s="27"/>
      <c r="XFD956" s="27"/>
    </row>
    <row r="957" s="42" customFormat="true" ht="14.15" hidden="false" customHeight="true" outlineLevel="0" collapsed="false">
      <c r="A957" s="28" t="s">
        <v>5933</v>
      </c>
      <c r="B957" s="29" t="s">
        <v>2794</v>
      </c>
      <c r="C957" s="29" t="s">
        <v>5934</v>
      </c>
      <c r="D957" s="30" t="s">
        <v>50</v>
      </c>
      <c r="E957" s="30" t="s">
        <v>5935</v>
      </c>
      <c r="F957" s="32" t="n">
        <v>60</v>
      </c>
      <c r="G957" s="31" t="s">
        <v>98</v>
      </c>
      <c r="H957" s="31" t="n">
        <v>1</v>
      </c>
      <c r="I957" s="31" t="s">
        <v>233</v>
      </c>
      <c r="J957" s="29"/>
      <c r="K957" s="29" t="s">
        <v>5936</v>
      </c>
      <c r="L957" s="32" t="n">
        <v>2</v>
      </c>
      <c r="M957" s="33" t="s">
        <v>5937</v>
      </c>
      <c r="N957" s="34" t="n">
        <v>75015</v>
      </c>
      <c r="O957" s="35" t="s">
        <v>55</v>
      </c>
      <c r="P957" s="36" t="s">
        <v>5938</v>
      </c>
      <c r="Q957" s="36" t="n">
        <v>1</v>
      </c>
      <c r="R957" s="32" t="n">
        <v>279</v>
      </c>
      <c r="S957" s="32" t="n">
        <v>1</v>
      </c>
      <c r="T957" s="32"/>
      <c r="U957" s="32"/>
      <c r="V957" s="37"/>
      <c r="W957" s="32"/>
      <c r="X957" s="34"/>
      <c r="Y957" s="34"/>
      <c r="Z957" s="36"/>
      <c r="AA957" s="32" t="s">
        <v>5939</v>
      </c>
      <c r="AB957" s="32" t="s">
        <v>5940</v>
      </c>
      <c r="AC957" s="38" t="str">
        <f aca="false">HYPERLINK("https://biocodex6--c.vf.force.com/0014L00000KFpzFQAT", "MARIA BACHMEYER CLAIRE")</f>
        <v>MARIA BACHMEYER CLAIRE</v>
      </c>
      <c r="AD957" s="38" t="str">
        <f aca="false">HYPERLINK("https://annuairesante.ameli.fr/professionnels-de-sante/recherche/fiche-detaillee-B7c1lzQ0OTOw.html", "MARIA BACHMEYER CLAIRE")</f>
        <v>MARIA BACHMEYER CLAIRE</v>
      </c>
      <c r="AE957" s="39"/>
      <c r="AF957" s="40"/>
      <c r="AG957" s="41"/>
      <c r="AH957" s="32" t="s">
        <v>179</v>
      </c>
      <c r="AI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XEY957" s="27"/>
      <c r="XEZ957" s="27"/>
      <c r="XFA957" s="27"/>
      <c r="XFB957" s="27"/>
      <c r="XFC957" s="27"/>
      <c r="XFD957" s="27"/>
    </row>
    <row r="958" s="42" customFormat="true" ht="14.15" hidden="false" customHeight="true" outlineLevel="0" collapsed="false">
      <c r="A958" s="28" t="s">
        <v>5941</v>
      </c>
      <c r="B958" s="29" t="s">
        <v>466</v>
      </c>
      <c r="C958" s="29" t="s">
        <v>5942</v>
      </c>
      <c r="D958" s="30" t="s">
        <v>50</v>
      </c>
      <c r="E958" s="31"/>
      <c r="F958" s="32" t="n">
        <v>69</v>
      </c>
      <c r="G958" s="31"/>
      <c r="H958" s="31" t="n">
        <v>1</v>
      </c>
      <c r="I958" s="31" t="s">
        <v>51</v>
      </c>
      <c r="J958" s="29" t="s">
        <v>286</v>
      </c>
      <c r="K958" s="29" t="s">
        <v>287</v>
      </c>
      <c r="L958" s="32" t="n">
        <v>12</v>
      </c>
      <c r="M958" s="33" t="s">
        <v>288</v>
      </c>
      <c r="N958" s="34" t="n">
        <v>75015</v>
      </c>
      <c r="O958" s="35" t="s">
        <v>55</v>
      </c>
      <c r="P958" s="36" t="s">
        <v>289</v>
      </c>
      <c r="Q958" s="36" t="n">
        <v>14</v>
      </c>
      <c r="R958" s="32" t="n">
        <v>278</v>
      </c>
      <c r="S958" s="32" t="n">
        <v>1</v>
      </c>
      <c r="T958" s="32"/>
      <c r="U958" s="32"/>
      <c r="V958" s="37"/>
      <c r="W958" s="32"/>
      <c r="X958" s="34"/>
      <c r="Y958" s="34"/>
      <c r="Z958" s="32"/>
      <c r="AA958" s="32" t="s">
        <v>5943</v>
      </c>
      <c r="AB958" s="32"/>
      <c r="AC958" s="38" t="str">
        <f aca="false">HYPERLINK("https://biocodex6--c.vf.force.com/0014L00000KFYYgQAP", "DANEL HENRI")</f>
        <v>DANEL HENRI</v>
      </c>
      <c r="AD958" s="38"/>
      <c r="AE958" s="39" t="n">
        <v>45460.5208333333</v>
      </c>
      <c r="AF958" s="40" t="s">
        <v>5944</v>
      </c>
      <c r="AG958" s="41"/>
      <c r="AH958" s="32"/>
      <c r="AI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XEY958" s="27"/>
      <c r="XEZ958" s="27"/>
      <c r="XFA958" s="27"/>
      <c r="XFB958" s="27"/>
      <c r="XFC958" s="27"/>
      <c r="XFD958" s="27"/>
    </row>
    <row r="959" s="42" customFormat="true" ht="14.15" hidden="false" customHeight="true" outlineLevel="0" collapsed="false">
      <c r="A959" s="28" t="s">
        <v>5945</v>
      </c>
      <c r="B959" s="29" t="s">
        <v>5686</v>
      </c>
      <c r="C959" s="29" t="s">
        <v>5946</v>
      </c>
      <c r="D959" s="30" t="s">
        <v>50</v>
      </c>
      <c r="E959" s="30" t="s">
        <v>344</v>
      </c>
      <c r="F959" s="32"/>
      <c r="G959" s="31" t="s">
        <v>98</v>
      </c>
      <c r="H959" s="31" t="n">
        <v>2</v>
      </c>
      <c r="I959" s="31" t="s">
        <v>233</v>
      </c>
      <c r="J959" s="29"/>
      <c r="K959" s="29" t="s">
        <v>5947</v>
      </c>
      <c r="L959" s="32" t="n">
        <v>237</v>
      </c>
      <c r="M959" s="33" t="s">
        <v>2387</v>
      </c>
      <c r="N959" s="34" t="n">
        <v>75015</v>
      </c>
      <c r="O959" s="35" t="s">
        <v>55</v>
      </c>
      <c r="P959" s="36" t="s">
        <v>5948</v>
      </c>
      <c r="Q959" s="36" t="n">
        <v>4</v>
      </c>
      <c r="R959" s="32" t="n">
        <v>278</v>
      </c>
      <c r="S959" s="32" t="n">
        <v>1</v>
      </c>
      <c r="T959" s="32"/>
      <c r="U959" s="32"/>
      <c r="V959" s="37"/>
      <c r="W959" s="32"/>
      <c r="X959" s="34"/>
      <c r="Y959" s="34"/>
      <c r="Z959" s="32"/>
      <c r="AA959" s="32" t="s">
        <v>5949</v>
      </c>
      <c r="AB959" s="32" t="s">
        <v>5950</v>
      </c>
      <c r="AC959" s="38" t="str">
        <f aca="false">HYPERLINK("https://biocodex6--c.vf.force.com/0014L00000KFaJqQAL", "FENECH NOEMIE")</f>
        <v>FENECH NOEMIE</v>
      </c>
      <c r="AD959" s="38" t="str">
        <f aca="false">HYPERLINK("https://annuairesante.ameli.fr/professionnels-de-sante/recherche/fiche-detaillee-B7c1kjE0NzG2.html", "FENECH NOEMIE")</f>
        <v>FENECH NOEMIE</v>
      </c>
      <c r="AE959" s="39"/>
      <c r="AF959" s="40"/>
      <c r="AG959" s="41"/>
      <c r="AH959" s="32"/>
      <c r="AI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XEY959" s="27"/>
      <c r="XEZ959" s="27"/>
      <c r="XFA959" s="27"/>
      <c r="XFB959" s="27"/>
      <c r="XFC959" s="27"/>
      <c r="XFD959" s="27"/>
    </row>
    <row r="960" s="42" customFormat="true" ht="14.15" hidden="false" customHeight="true" outlineLevel="0" collapsed="false">
      <c r="A960" s="28" t="s">
        <v>5951</v>
      </c>
      <c r="B960" s="29" t="s">
        <v>5952</v>
      </c>
      <c r="C960" s="29" t="s">
        <v>5953</v>
      </c>
      <c r="D960" s="30" t="s">
        <v>50</v>
      </c>
      <c r="E960" s="30" t="s">
        <v>421</v>
      </c>
      <c r="F960" s="32" t="n">
        <v>81</v>
      </c>
      <c r="G960" s="31"/>
      <c r="H960" s="31" t="n">
        <v>1</v>
      </c>
      <c r="I960" s="31" t="s">
        <v>435</v>
      </c>
      <c r="J960" s="29"/>
      <c r="K960" s="29" t="s">
        <v>5954</v>
      </c>
      <c r="L960" s="32" t="n">
        <v>94</v>
      </c>
      <c r="M960" s="33" t="s">
        <v>1412</v>
      </c>
      <c r="N960" s="34" t="n">
        <v>75016</v>
      </c>
      <c r="O960" s="35" t="s">
        <v>55</v>
      </c>
      <c r="P960" s="36" t="s">
        <v>5955</v>
      </c>
      <c r="Q960" s="36" t="n">
        <v>1</v>
      </c>
      <c r="R960" s="32" t="n">
        <v>277</v>
      </c>
      <c r="S960" s="32" t="n">
        <v>1</v>
      </c>
      <c r="T960" s="32"/>
      <c r="U960" s="32"/>
      <c r="V960" s="37"/>
      <c r="W960" s="32"/>
      <c r="X960" s="34"/>
      <c r="Y960" s="34"/>
      <c r="Z960" s="36"/>
      <c r="AA960" s="32" t="s">
        <v>5956</v>
      </c>
      <c r="AB960" s="32"/>
      <c r="AC960" s="38" t="str">
        <f aca="false">HYPERLINK("https://biocodex6--c.vf.force.com/0014L00000KFj4yQAD", "HOUDRET JEAN CLAUDE")</f>
        <v>HOUDRET JEAN CLAUDE</v>
      </c>
      <c r="AD960" s="38"/>
      <c r="AE960" s="39"/>
      <c r="AF960" s="40"/>
      <c r="AG960" s="41"/>
      <c r="AH960" s="32" t="s">
        <v>179</v>
      </c>
      <c r="AI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XEY960" s="27"/>
      <c r="XEZ960" s="27"/>
      <c r="XFA960" s="27"/>
      <c r="XFB960" s="27"/>
      <c r="XFC960" s="27"/>
      <c r="XFD960" s="27"/>
    </row>
    <row r="961" s="42" customFormat="true" ht="14.15" hidden="false" customHeight="true" outlineLevel="0" collapsed="false">
      <c r="A961" s="28" t="s">
        <v>2947</v>
      </c>
      <c r="B961" s="29" t="s">
        <v>183</v>
      </c>
      <c r="C961" s="29" t="s">
        <v>5957</v>
      </c>
      <c r="D961" s="30" t="s">
        <v>112</v>
      </c>
      <c r="E961" s="31"/>
      <c r="F961" s="32" t="n">
        <v>73</v>
      </c>
      <c r="G961" s="31" t="s">
        <v>61</v>
      </c>
      <c r="H961" s="31" t="n">
        <v>2</v>
      </c>
      <c r="I961" s="31" t="s">
        <v>119</v>
      </c>
      <c r="J961" s="29"/>
      <c r="K961" s="29" t="s">
        <v>553</v>
      </c>
      <c r="L961" s="32" t="n">
        <v>2</v>
      </c>
      <c r="M961" s="33" t="s">
        <v>554</v>
      </c>
      <c r="N961" s="34" t="n">
        <v>75007</v>
      </c>
      <c r="O961" s="35" t="s">
        <v>55</v>
      </c>
      <c r="P961" s="36"/>
      <c r="Q961" s="36" t="n">
        <v>5</v>
      </c>
      <c r="R961" s="32" t="n">
        <v>275</v>
      </c>
      <c r="S961" s="32" t="n">
        <v>1</v>
      </c>
      <c r="T961" s="32"/>
      <c r="U961" s="32"/>
      <c r="V961" s="37"/>
      <c r="W961" s="32"/>
      <c r="X961" s="34"/>
      <c r="Y961" s="34"/>
      <c r="Z961" s="32"/>
      <c r="AA961" s="32" t="s">
        <v>5958</v>
      </c>
      <c r="AB961" s="32" t="s">
        <v>5959</v>
      </c>
      <c r="AC961" s="38" t="str">
        <f aca="false">HYPERLINK("https://biocodex6--c.vf.force.com/0014L00000KG265QAD", "SPITZ CHRISTIAN")</f>
        <v>SPITZ CHRISTIAN</v>
      </c>
      <c r="AD961" s="38" t="str">
        <f aca="false">HYPERLINK("https://annuairesante.ameli.fr/professionnels-de-sante/recherche/fiche-detaillee-B7c1mjExODu2.html", "SPITZ CHRISTIAN")</f>
        <v>SPITZ CHRISTIAN</v>
      </c>
      <c r="AE961" s="39" t="n">
        <v>45208.6458333333</v>
      </c>
      <c r="AF961" s="40"/>
      <c r="AG961" s="41"/>
      <c r="AH961" s="32"/>
      <c r="AI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XEY961" s="27"/>
      <c r="XEZ961" s="27"/>
      <c r="XFA961" s="27"/>
      <c r="XFB961" s="27"/>
      <c r="XFC961" s="27"/>
      <c r="XFD961" s="27"/>
    </row>
    <row r="962" s="42" customFormat="true" ht="14.15" hidden="false" customHeight="true" outlineLevel="0" collapsed="false">
      <c r="A962" s="28" t="s">
        <v>5960</v>
      </c>
      <c r="B962" s="29" t="s">
        <v>429</v>
      </c>
      <c r="C962" s="29" t="s">
        <v>5961</v>
      </c>
      <c r="D962" s="30" t="s">
        <v>75</v>
      </c>
      <c r="E962" s="30" t="s">
        <v>112</v>
      </c>
      <c r="F962" s="32" t="n">
        <v>70</v>
      </c>
      <c r="G962" s="31" t="s">
        <v>61</v>
      </c>
      <c r="H962" s="31" t="n">
        <v>1</v>
      </c>
      <c r="I962" s="31" t="s">
        <v>119</v>
      </c>
      <c r="J962" s="29"/>
      <c r="K962" s="29" t="s">
        <v>5962</v>
      </c>
      <c r="L962" s="32" t="n">
        <v>31</v>
      </c>
      <c r="M962" s="33" t="s">
        <v>1716</v>
      </c>
      <c r="N962" s="34" t="n">
        <v>75007</v>
      </c>
      <c r="O962" s="35" t="s">
        <v>55</v>
      </c>
      <c r="P962" s="36" t="s">
        <v>5963</v>
      </c>
      <c r="Q962" s="36" t="n">
        <v>1</v>
      </c>
      <c r="R962" s="32" t="n">
        <v>275</v>
      </c>
      <c r="S962" s="32" t="n">
        <v>1</v>
      </c>
      <c r="T962" s="32"/>
      <c r="U962" s="32"/>
      <c r="V962" s="37"/>
      <c r="W962" s="32"/>
      <c r="X962" s="34"/>
      <c r="Y962" s="34"/>
      <c r="Z962" s="36"/>
      <c r="AA962" s="32" t="s">
        <v>5964</v>
      </c>
      <c r="AB962" s="32" t="s">
        <v>5965</v>
      </c>
      <c r="AC962" s="38" t="str">
        <f aca="false">HYPERLINK("https://biocodex6--c.vf.force.com/0014L00000KFVSzQAP", "CARGILL GUILLAUME")</f>
        <v>CARGILL GUILLAUME</v>
      </c>
      <c r="AD962" s="38" t="str">
        <f aca="false">HYPERLINK("https://annuairesante.ameli.fr/professionnels-de-sante/recherche/fiche-detaillee-B7c1kTs0NzGw.html", "CARGILL GUILLAUME")</f>
        <v>CARGILL GUILLAUME</v>
      </c>
      <c r="AE962" s="39"/>
      <c r="AF962" s="40"/>
      <c r="AG962" s="41"/>
      <c r="AH962" s="32" t="s">
        <v>179</v>
      </c>
      <c r="AI962" s="32"/>
      <c r="AL962" s="43" t="s">
        <v>1067</v>
      </c>
      <c r="AM962" s="43" t="s">
        <v>534</v>
      </c>
      <c r="AN962" s="43" t="s">
        <v>1067</v>
      </c>
      <c r="AO962" s="32"/>
      <c r="AP962" s="43" t="s">
        <v>1067</v>
      </c>
      <c r="AQ962" s="43" t="s">
        <v>534</v>
      </c>
      <c r="AR962" s="43" t="s">
        <v>1067</v>
      </c>
      <c r="AS962" s="43" t="s">
        <v>534</v>
      </c>
      <c r="AT962" s="43" t="s">
        <v>1067</v>
      </c>
      <c r="AU962" s="43" t="s">
        <v>534</v>
      </c>
      <c r="XEY962" s="27"/>
      <c r="XEZ962" s="27"/>
      <c r="XFA962" s="27"/>
      <c r="XFB962" s="27"/>
      <c r="XFC962" s="27"/>
      <c r="XFD962" s="27"/>
    </row>
    <row r="963" s="42" customFormat="true" ht="14.15" hidden="false" customHeight="true" outlineLevel="0" collapsed="false">
      <c r="A963" s="28" t="s">
        <v>5966</v>
      </c>
      <c r="B963" s="29" t="s">
        <v>1502</v>
      </c>
      <c r="C963" s="29" t="s">
        <v>5967</v>
      </c>
      <c r="D963" s="30" t="s">
        <v>50</v>
      </c>
      <c r="E963" s="30" t="s">
        <v>386</v>
      </c>
      <c r="F963" s="32" t="n">
        <v>75</v>
      </c>
      <c r="G963" s="31" t="s">
        <v>215</v>
      </c>
      <c r="H963" s="31" t="n">
        <v>1</v>
      </c>
      <c r="I963" s="31" t="s">
        <v>435</v>
      </c>
      <c r="J963" s="29"/>
      <c r="K963" s="29" t="s">
        <v>5968</v>
      </c>
      <c r="L963" s="32" t="n">
        <v>192</v>
      </c>
      <c r="M963" s="33" t="s">
        <v>175</v>
      </c>
      <c r="N963" s="34" t="n">
        <v>75016</v>
      </c>
      <c r="O963" s="35" t="s">
        <v>55</v>
      </c>
      <c r="P963" s="36" t="s">
        <v>5969</v>
      </c>
      <c r="Q963" s="36" t="n">
        <v>1</v>
      </c>
      <c r="R963" s="32" t="n">
        <v>275</v>
      </c>
      <c r="S963" s="32" t="n">
        <v>1</v>
      </c>
      <c r="T963" s="32"/>
      <c r="U963" s="32"/>
      <c r="V963" s="37"/>
      <c r="W963" s="32"/>
      <c r="X963" s="34"/>
      <c r="Y963" s="34"/>
      <c r="Z963" s="36"/>
      <c r="AA963" s="32" t="s">
        <v>5970</v>
      </c>
      <c r="AB963" s="32" t="s">
        <v>5971</v>
      </c>
      <c r="AC963" s="38" t="str">
        <f aca="false">HYPERLINK("https://biocodex6--c.vf.force.com/0014L00000KFz4OQAT", "ROGER JEAN LUC")</f>
        <v>ROGER JEAN LUC</v>
      </c>
      <c r="AD963" s="38" t="str">
        <f aca="false">HYPERLINK("https://annuairesante.ameli.fr/professionnels-de-sante/recherche/fiche-detaillee-B7c1ljAwNjC7.html", "ROGER JEAN LUC")</f>
        <v>ROGER JEAN LUC</v>
      </c>
      <c r="AE963" s="39"/>
      <c r="AF963" s="40"/>
      <c r="AG963" s="41"/>
      <c r="AH963" s="32" t="s">
        <v>179</v>
      </c>
      <c r="AI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XEY963" s="27"/>
      <c r="XEZ963" s="27"/>
      <c r="XFA963" s="27"/>
      <c r="XFB963" s="27"/>
      <c r="XFC963" s="27"/>
      <c r="XFD963" s="27"/>
    </row>
    <row r="964" s="42" customFormat="true" ht="14.15" hidden="false" customHeight="true" outlineLevel="0" collapsed="false">
      <c r="A964" s="28" t="s">
        <v>5972</v>
      </c>
      <c r="B964" s="29" t="s">
        <v>117</v>
      </c>
      <c r="C964" s="29" t="s">
        <v>5973</v>
      </c>
      <c r="D964" s="30" t="s">
        <v>50</v>
      </c>
      <c r="E964" s="30" t="s">
        <v>776</v>
      </c>
      <c r="F964" s="32" t="n">
        <v>75</v>
      </c>
      <c r="G964" s="31" t="s">
        <v>215</v>
      </c>
      <c r="H964" s="31" t="n">
        <v>1</v>
      </c>
      <c r="I964" s="31" t="s">
        <v>387</v>
      </c>
      <c r="J964" s="29"/>
      <c r="K964" s="29" t="s">
        <v>3790</v>
      </c>
      <c r="L964" s="32" t="n">
        <v>6</v>
      </c>
      <c r="M964" s="33" t="s">
        <v>3791</v>
      </c>
      <c r="N964" s="34" t="n">
        <v>75016</v>
      </c>
      <c r="O964" s="35" t="s">
        <v>55</v>
      </c>
      <c r="P964" s="36" t="s">
        <v>5974</v>
      </c>
      <c r="Q964" s="36" t="n">
        <v>5</v>
      </c>
      <c r="R964" s="32" t="n">
        <v>274</v>
      </c>
      <c r="S964" s="32" t="n">
        <v>1</v>
      </c>
      <c r="T964" s="32"/>
      <c r="U964" s="32"/>
      <c r="V964" s="37"/>
      <c r="W964" s="32"/>
      <c r="X964" s="34"/>
      <c r="Y964" s="34"/>
      <c r="Z964" s="36"/>
      <c r="AA964" s="32" t="s">
        <v>5975</v>
      </c>
      <c r="AB964" s="32" t="s">
        <v>5976</v>
      </c>
      <c r="AC964" s="38" t="str">
        <f aca="false">HYPERLINK("https://biocodex6--c.vf.force.com/0014L00000KFsiAQAT", "MORISSET DOMINIQUE")</f>
        <v>MORISSET DOMINIQUE</v>
      </c>
      <c r="AD964" s="38" t="str">
        <f aca="false">HYPERLINK("https://annuairesante.ameli.fr/professionnels-de-sante/recherche/fiche-detaillee-B7c1ljU0MTOw.html", "MORISSET DOMINIQUE")</f>
        <v>MORISSET DOMINIQUE</v>
      </c>
      <c r="AE964" s="39"/>
      <c r="AF964" s="40"/>
      <c r="AG964" s="41"/>
      <c r="AH964" s="32" t="s">
        <v>179</v>
      </c>
      <c r="AI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XEY964" s="27"/>
      <c r="XEZ964" s="27"/>
      <c r="XFA964" s="27"/>
      <c r="XFB964" s="27"/>
      <c r="XFC964" s="27"/>
      <c r="XFD964" s="27"/>
    </row>
    <row r="965" s="42" customFormat="true" ht="14.15" hidden="false" customHeight="true" outlineLevel="0" collapsed="false">
      <c r="A965" s="28" t="s">
        <v>5977</v>
      </c>
      <c r="B965" s="29" t="s">
        <v>3255</v>
      </c>
      <c r="C965" s="29" t="s">
        <v>5978</v>
      </c>
      <c r="D965" s="30" t="s">
        <v>244</v>
      </c>
      <c r="E965" s="30" t="s">
        <v>245</v>
      </c>
      <c r="F965" s="32" t="n">
        <v>72</v>
      </c>
      <c r="G965" s="31" t="s">
        <v>215</v>
      </c>
      <c r="H965" s="31" t="n">
        <v>1</v>
      </c>
      <c r="I965" s="31" t="s">
        <v>62</v>
      </c>
      <c r="J965" s="29"/>
      <c r="K965" s="29" t="s">
        <v>5979</v>
      </c>
      <c r="L965" s="32" t="n">
        <v>13</v>
      </c>
      <c r="M965" s="33" t="s">
        <v>5980</v>
      </c>
      <c r="N965" s="34" t="n">
        <v>75017</v>
      </c>
      <c r="O965" s="35" t="s">
        <v>55</v>
      </c>
      <c r="P965" s="36" t="s">
        <v>5981</v>
      </c>
      <c r="Q965" s="36" t="n">
        <v>2</v>
      </c>
      <c r="R965" s="32" t="n">
        <v>274</v>
      </c>
      <c r="S965" s="32" t="n">
        <v>1</v>
      </c>
      <c r="T965" s="32"/>
      <c r="U965" s="32"/>
      <c r="V965" s="37"/>
      <c r="W965" s="32"/>
      <c r="X965" s="34"/>
      <c r="Y965" s="34"/>
      <c r="Z965" s="36" t="s">
        <v>5982</v>
      </c>
      <c r="AA965" s="32" t="s">
        <v>5983</v>
      </c>
      <c r="AB965" s="32" t="s">
        <v>5984</v>
      </c>
      <c r="AC965" s="38" t="str">
        <f aca="false">HYPERLINK("https://biocodex6--c.vf.force.com/0014L00000KFYYHQA5", "DANAN DENIS")</f>
        <v>DANAN DENIS</v>
      </c>
      <c r="AD965" s="38" t="str">
        <f aca="false">HYPERLINK("https://annuairesante.ameli.fr/professionnels-de-sante/recherche/fiche-detaillee-B7c1ljU1OTqw.html", "DANAN DENIS")</f>
        <v>DANAN DENIS</v>
      </c>
      <c r="AE965" s="39"/>
      <c r="AF965" s="40"/>
      <c r="AG965" s="41"/>
      <c r="AH965" s="32" t="s">
        <v>179</v>
      </c>
      <c r="AI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XEY965" s="27"/>
      <c r="XEZ965" s="27"/>
      <c r="XFA965" s="27"/>
      <c r="XFB965" s="27"/>
      <c r="XFC965" s="27"/>
      <c r="XFD965" s="27"/>
    </row>
    <row r="966" s="42" customFormat="true" ht="14.15" hidden="false" customHeight="true" outlineLevel="0" collapsed="false">
      <c r="A966" s="28" t="s">
        <v>5985</v>
      </c>
      <c r="B966" s="29" t="s">
        <v>543</v>
      </c>
      <c r="C966" s="29" t="s">
        <v>5986</v>
      </c>
      <c r="D966" s="30" t="s">
        <v>50</v>
      </c>
      <c r="E966" s="31"/>
      <c r="F966" s="32" t="n">
        <v>37</v>
      </c>
      <c r="G966" s="31" t="s">
        <v>98</v>
      </c>
      <c r="H966" s="31" t="n">
        <v>1</v>
      </c>
      <c r="I966" s="31" t="s">
        <v>295</v>
      </c>
      <c r="J966" s="29"/>
      <c r="K966" s="29" t="s">
        <v>5382</v>
      </c>
      <c r="L966" s="32" t="n">
        <v>40</v>
      </c>
      <c r="M966" s="33" t="s">
        <v>1050</v>
      </c>
      <c r="N966" s="34" t="n">
        <v>92300</v>
      </c>
      <c r="O966" s="35" t="s">
        <v>298</v>
      </c>
      <c r="P966" s="36" t="s">
        <v>5987</v>
      </c>
      <c r="Q966" s="36" t="n">
        <v>3</v>
      </c>
      <c r="R966" s="32" t="n">
        <v>274</v>
      </c>
      <c r="S966" s="32" t="n">
        <v>1</v>
      </c>
      <c r="T966" s="32"/>
      <c r="U966" s="32"/>
      <c r="V966" s="37"/>
      <c r="W966" s="32"/>
      <c r="X966" s="34"/>
      <c r="Y966" s="34"/>
      <c r="Z966" s="36"/>
      <c r="AA966" s="32" t="s">
        <v>5988</v>
      </c>
      <c r="AB966" s="32" t="s">
        <v>5989</v>
      </c>
      <c r="AC966" s="38" t="str">
        <f aca="false">HYPERLINK("https://biocodex6--c.vf.force.com/0014L00000KG8EiQAL", "BRIDET TARI CHRISTINE")</f>
        <v>BRIDET TARI CHRISTINE</v>
      </c>
      <c r="AD966" s="38" t="str">
        <f aca="false">HYPERLINK("https://annuairesante.ameli.fr/professionnels-de-sante/recherche/fiche-detaillee-CbA1kDE0MDe1.html", "BRIDET TARI CHRISTINE")</f>
        <v>BRIDET TARI CHRISTINE</v>
      </c>
      <c r="AE966" s="39"/>
      <c r="AF966" s="40"/>
      <c r="AG966" s="41"/>
      <c r="AH966" s="32" t="s">
        <v>179</v>
      </c>
      <c r="AI966" s="32"/>
      <c r="AL966" s="43" t="s">
        <v>338</v>
      </c>
      <c r="AM966" s="43" t="s">
        <v>5990</v>
      </c>
      <c r="AN966" s="43" t="s">
        <v>338</v>
      </c>
      <c r="AO966" s="43" t="s">
        <v>5990</v>
      </c>
      <c r="AP966" s="32"/>
      <c r="AQ966" s="43" t="s">
        <v>2764</v>
      </c>
      <c r="AR966" s="43" t="s">
        <v>5991</v>
      </c>
      <c r="AS966" s="32"/>
      <c r="AT966" s="43" t="s">
        <v>3889</v>
      </c>
      <c r="AU966" s="43" t="s">
        <v>192</v>
      </c>
      <c r="XEY966" s="27"/>
      <c r="XEZ966" s="27"/>
      <c r="XFA966" s="27"/>
      <c r="XFB966" s="27"/>
      <c r="XFC966" s="27"/>
      <c r="XFD966" s="27"/>
    </row>
    <row r="967" s="42" customFormat="true" ht="14.15" hidden="false" customHeight="true" outlineLevel="0" collapsed="false">
      <c r="A967" s="28" t="s">
        <v>3128</v>
      </c>
      <c r="B967" s="29" t="s">
        <v>195</v>
      </c>
      <c r="C967" s="29" t="s">
        <v>5992</v>
      </c>
      <c r="D967" s="30" t="s">
        <v>75</v>
      </c>
      <c r="E967" s="31"/>
      <c r="F967" s="32" t="n">
        <v>73</v>
      </c>
      <c r="G967" s="31"/>
      <c r="H967" s="31" t="n">
        <v>2</v>
      </c>
      <c r="I967" s="31" t="s">
        <v>99</v>
      </c>
      <c r="J967" s="29"/>
      <c r="K967" s="29" t="s">
        <v>5993</v>
      </c>
      <c r="L967" s="32" t="n">
        <v>6</v>
      </c>
      <c r="M967" s="33" t="s">
        <v>5994</v>
      </c>
      <c r="N967" s="34" t="n">
        <v>75015</v>
      </c>
      <c r="O967" s="35" t="s">
        <v>55</v>
      </c>
      <c r="P967" s="36" t="s">
        <v>5995</v>
      </c>
      <c r="Q967" s="36" t="n">
        <v>1</v>
      </c>
      <c r="R967" s="32" t="n">
        <v>273</v>
      </c>
      <c r="S967" s="32" t="n">
        <v>1</v>
      </c>
      <c r="T967" s="32"/>
      <c r="U967" s="32"/>
      <c r="V967" s="37"/>
      <c r="W967" s="32"/>
      <c r="X967" s="34"/>
      <c r="Y967" s="34"/>
      <c r="Z967" s="32"/>
      <c r="AA967" s="32" t="s">
        <v>5996</v>
      </c>
      <c r="AB967" s="32"/>
      <c r="AC967" s="38" t="str">
        <f aca="false">HYPERLINK("https://biocodex6--c.vf.force.com/0014L00000KFTI1QAP", "BICLET PHILIPPE")</f>
        <v>BICLET PHILIPPE</v>
      </c>
      <c r="AD967" s="38"/>
      <c r="AE967" s="39"/>
      <c r="AF967" s="40"/>
      <c r="AG967" s="41"/>
      <c r="AH967" s="32"/>
      <c r="AI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XEY967" s="27"/>
      <c r="XEZ967" s="27"/>
      <c r="XFA967" s="27"/>
      <c r="XFB967" s="27"/>
      <c r="XFC967" s="27"/>
      <c r="XFD967" s="27"/>
    </row>
    <row r="968" s="42" customFormat="true" ht="14.15" hidden="false" customHeight="true" outlineLevel="0" collapsed="false">
      <c r="A968" s="28" t="s">
        <v>5997</v>
      </c>
      <c r="B968" s="29" t="s">
        <v>320</v>
      </c>
      <c r="C968" s="29" t="s">
        <v>5998</v>
      </c>
      <c r="D968" s="30" t="s">
        <v>50</v>
      </c>
      <c r="E968" s="31"/>
      <c r="F968" s="32" t="n">
        <v>71</v>
      </c>
      <c r="G968" s="31" t="s">
        <v>61</v>
      </c>
      <c r="H968" s="31" t="n">
        <v>1</v>
      </c>
      <c r="I968" s="31" t="s">
        <v>51</v>
      </c>
      <c r="J968" s="29"/>
      <c r="K968" s="29" t="s">
        <v>5999</v>
      </c>
      <c r="L968" s="32" t="n">
        <v>156</v>
      </c>
      <c r="M968" s="33" t="s">
        <v>852</v>
      </c>
      <c r="N968" s="34" t="n">
        <v>75015</v>
      </c>
      <c r="O968" s="35" t="s">
        <v>55</v>
      </c>
      <c r="P968" s="36" t="s">
        <v>6000</v>
      </c>
      <c r="Q968" s="36" t="n">
        <v>1</v>
      </c>
      <c r="R968" s="32" t="n">
        <v>273</v>
      </c>
      <c r="S968" s="32" t="n">
        <v>1</v>
      </c>
      <c r="T968" s="32"/>
      <c r="U968" s="32"/>
      <c r="V968" s="37"/>
      <c r="W968" s="32"/>
      <c r="X968" s="34"/>
      <c r="Y968" s="34"/>
      <c r="Z968" s="36"/>
      <c r="AA968" s="32" t="s">
        <v>6001</v>
      </c>
      <c r="AB968" s="32" t="s">
        <v>6002</v>
      </c>
      <c r="AC968" s="38" t="str">
        <f aca="false">HYPERLINK("https://biocodex6--c.vf.force.com/0014L00000KFfwTQAT", "GILBERG SERGE")</f>
        <v>GILBERG SERGE</v>
      </c>
      <c r="AD968" s="38" t="str">
        <f aca="false">HYPERLINK("https://annuairesante.ameli.fr/professionnels-de-sante/recherche/fiche-detaillee-B7c1kTU0Njax.html", "GILBERG SERGE")</f>
        <v>GILBERG SERGE</v>
      </c>
      <c r="AE968" s="39"/>
      <c r="AF968" s="40"/>
      <c r="AG968" s="41"/>
      <c r="AH968" s="32" t="s">
        <v>179</v>
      </c>
      <c r="AI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XEY968" s="27"/>
      <c r="XEZ968" s="27"/>
      <c r="XFA968" s="27"/>
      <c r="XFB968" s="27"/>
      <c r="XFC968" s="27"/>
      <c r="XFD968" s="27"/>
    </row>
    <row r="969" s="42" customFormat="true" ht="14.15" hidden="false" customHeight="true" outlineLevel="0" collapsed="false">
      <c r="A969" s="28" t="s">
        <v>6003</v>
      </c>
      <c r="B969" s="29" t="s">
        <v>1218</v>
      </c>
      <c r="C969" s="29" t="s">
        <v>6004</v>
      </c>
      <c r="D969" s="30" t="s">
        <v>50</v>
      </c>
      <c r="E969" s="31"/>
      <c r="F969" s="32" t="n">
        <v>77</v>
      </c>
      <c r="G969" s="31" t="s">
        <v>345</v>
      </c>
      <c r="H969" s="31" t="n">
        <v>1</v>
      </c>
      <c r="I969" s="31" t="s">
        <v>435</v>
      </c>
      <c r="J969" s="29"/>
      <c r="K969" s="29" t="s">
        <v>3081</v>
      </c>
      <c r="L969" s="32" t="n">
        <v>77</v>
      </c>
      <c r="M969" s="33" t="s">
        <v>2100</v>
      </c>
      <c r="N969" s="34" t="n">
        <v>75016</v>
      </c>
      <c r="O969" s="35" t="s">
        <v>55</v>
      </c>
      <c r="P969" s="50" t="s">
        <v>6005</v>
      </c>
      <c r="Q969" s="36" t="n">
        <v>4</v>
      </c>
      <c r="R969" s="32" t="n">
        <v>273</v>
      </c>
      <c r="S969" s="32" t="n">
        <v>1</v>
      </c>
      <c r="T969" s="32"/>
      <c r="U969" s="32"/>
      <c r="V969" s="37"/>
      <c r="W969" s="32"/>
      <c r="X969" s="34"/>
      <c r="Y969" s="34"/>
      <c r="Z969" s="36"/>
      <c r="AA969" s="32" t="s">
        <v>6006</v>
      </c>
      <c r="AB969" s="32" t="s">
        <v>6007</v>
      </c>
      <c r="AC969" s="38" t="str">
        <f aca="false">HYPERLINK("https://biocodex6--c.vf.force.com/0014L00000KFWIFQA5", "CHAUCHARD CLAUDE")</f>
        <v>CHAUCHARD CLAUDE</v>
      </c>
      <c r="AD969" s="38" t="str">
        <f aca="false">HYPERLINK("https://annuairesante.ameli.fr/professionnels-de-sante/recherche/fiche-detaillee-B7c1kTE4NTK6.html", "CHAUCHARD CLAUDE")</f>
        <v>CHAUCHARD CLAUDE</v>
      </c>
      <c r="AE969" s="39"/>
      <c r="AF969" s="40"/>
      <c r="AG969" s="41"/>
      <c r="AH969" s="32" t="s">
        <v>179</v>
      </c>
      <c r="AI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XEY969" s="27"/>
      <c r="XEZ969" s="27"/>
      <c r="XFA969" s="27"/>
      <c r="XFB969" s="27"/>
      <c r="XFC969" s="27"/>
      <c r="XFD969" s="27"/>
    </row>
    <row r="970" s="42" customFormat="true" ht="14.15" hidden="false" customHeight="true" outlineLevel="0" collapsed="false">
      <c r="A970" s="28" t="s">
        <v>6008</v>
      </c>
      <c r="B970" s="29" t="s">
        <v>643</v>
      </c>
      <c r="C970" s="29" t="s">
        <v>6009</v>
      </c>
      <c r="D970" s="30" t="s">
        <v>50</v>
      </c>
      <c r="E970" s="31"/>
      <c r="F970" s="32" t="n">
        <v>0</v>
      </c>
      <c r="G970" s="31"/>
      <c r="H970" s="31" t="n">
        <v>1</v>
      </c>
      <c r="I970" s="31" t="s">
        <v>435</v>
      </c>
      <c r="J970" s="29"/>
      <c r="K970" s="29" t="s">
        <v>6010</v>
      </c>
      <c r="L970" s="32" t="n">
        <v>11</v>
      </c>
      <c r="M970" s="33" t="s">
        <v>1041</v>
      </c>
      <c r="N970" s="34" t="n">
        <v>75016</v>
      </c>
      <c r="O970" s="35" t="s">
        <v>55</v>
      </c>
      <c r="P970" s="36" t="s">
        <v>6011</v>
      </c>
      <c r="Q970" s="36" t="n">
        <v>1</v>
      </c>
      <c r="R970" s="32" t="n">
        <v>273</v>
      </c>
      <c r="S970" s="32" t="n">
        <v>1</v>
      </c>
      <c r="T970" s="32"/>
      <c r="U970" s="32"/>
      <c r="V970" s="37"/>
      <c r="W970" s="32"/>
      <c r="X970" s="34"/>
      <c r="Y970" s="34"/>
      <c r="Z970" s="36"/>
      <c r="AA970" s="32"/>
      <c r="AB970" s="32"/>
      <c r="AC970" s="38"/>
      <c r="AD970" s="38"/>
      <c r="AE970" s="39"/>
      <c r="AF970" s="40"/>
      <c r="AG970" s="45"/>
      <c r="AH970" s="32" t="s">
        <v>179</v>
      </c>
      <c r="AI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XEY970" s="27"/>
      <c r="XEZ970" s="27"/>
      <c r="XFA970" s="27"/>
      <c r="XFB970" s="27"/>
      <c r="XFC970" s="27"/>
      <c r="XFD970" s="27"/>
    </row>
    <row r="971" s="42" customFormat="true" ht="14.15" hidden="false" customHeight="true" outlineLevel="0" collapsed="false">
      <c r="A971" s="28" t="s">
        <v>6012</v>
      </c>
      <c r="B971" s="29" t="s">
        <v>195</v>
      </c>
      <c r="C971" s="29" t="s">
        <v>6013</v>
      </c>
      <c r="D971" s="30" t="s">
        <v>50</v>
      </c>
      <c r="E971" s="31"/>
      <c r="F971" s="32" t="n">
        <v>58</v>
      </c>
      <c r="G971" s="31" t="s">
        <v>98</v>
      </c>
      <c r="H971" s="31" t="n">
        <v>1</v>
      </c>
      <c r="I971" s="31" t="s">
        <v>51</v>
      </c>
      <c r="J971" s="29"/>
      <c r="K971" s="29" t="s">
        <v>6014</v>
      </c>
      <c r="L971" s="32" t="n">
        <v>52</v>
      </c>
      <c r="M971" s="33" t="s">
        <v>224</v>
      </c>
      <c r="N971" s="34" t="n">
        <v>75015</v>
      </c>
      <c r="O971" s="35" t="s">
        <v>55</v>
      </c>
      <c r="P971" s="36" t="s">
        <v>6015</v>
      </c>
      <c r="Q971" s="36" t="n">
        <v>1</v>
      </c>
      <c r="R971" s="32" t="n">
        <v>272</v>
      </c>
      <c r="S971" s="32" t="n">
        <v>1</v>
      </c>
      <c r="T971" s="32"/>
      <c r="U971" s="32"/>
      <c r="V971" s="37"/>
      <c r="W971" s="32"/>
      <c r="X971" s="34"/>
      <c r="Y971" s="34"/>
      <c r="Z971" s="36"/>
      <c r="AA971" s="32" t="s">
        <v>6016</v>
      </c>
      <c r="AB971" s="32" t="s">
        <v>6017</v>
      </c>
      <c r="AC971" s="38" t="str">
        <f aca="false">HYPERLINK("https://biocodex6--c.vf.force.com/0014L00000KFWVmQAP", "CHIAVERINI PHILIPPE")</f>
        <v>CHIAVERINI PHILIPPE</v>
      </c>
      <c r="AD971" s="38" t="str">
        <f aca="false">HYPERLINK("https://annuairesante.ameli.fr/professionnels-de-sante/recherche/fiche-detaillee-B7c1lDI1MTaz.html", "CHIAVERINI PHILIPPE")</f>
        <v>CHIAVERINI PHILIPPE</v>
      </c>
      <c r="AE971" s="39"/>
      <c r="AF971" s="40"/>
      <c r="AG971" s="41"/>
      <c r="AH971" s="32" t="s">
        <v>179</v>
      </c>
      <c r="AI971" s="32"/>
      <c r="AL971" s="43" t="s">
        <v>6018</v>
      </c>
      <c r="AM971" s="43" t="s">
        <v>126</v>
      </c>
      <c r="AN971" s="43" t="s">
        <v>6018</v>
      </c>
      <c r="AO971" s="43" t="s">
        <v>126</v>
      </c>
      <c r="AP971" s="43" t="s">
        <v>6018</v>
      </c>
      <c r="AQ971" s="43" t="s">
        <v>126</v>
      </c>
      <c r="AR971" s="43" t="s">
        <v>6018</v>
      </c>
      <c r="AS971" s="43" t="s">
        <v>126</v>
      </c>
      <c r="AT971" s="43" t="s">
        <v>966</v>
      </c>
      <c r="AU971" s="43" t="s">
        <v>6019</v>
      </c>
      <c r="XEY971" s="27"/>
      <c r="XEZ971" s="27"/>
      <c r="XFA971" s="27"/>
      <c r="XFB971" s="27"/>
      <c r="XFC971" s="27"/>
      <c r="XFD971" s="27"/>
    </row>
    <row r="972" s="42" customFormat="true" ht="14.15" hidden="false" customHeight="true" outlineLevel="0" collapsed="false">
      <c r="A972" s="28" t="s">
        <v>6020</v>
      </c>
      <c r="B972" s="29" t="s">
        <v>4746</v>
      </c>
      <c r="C972" s="29" t="s">
        <v>6021</v>
      </c>
      <c r="D972" s="30" t="s">
        <v>50</v>
      </c>
      <c r="E972" s="30" t="s">
        <v>255</v>
      </c>
      <c r="F972" s="32" t="n">
        <v>51</v>
      </c>
      <c r="G972" s="31"/>
      <c r="H972" s="31" t="n">
        <v>3</v>
      </c>
      <c r="I972" s="31" t="s">
        <v>387</v>
      </c>
      <c r="J972" s="29" t="s">
        <v>777</v>
      </c>
      <c r="K972" s="29" t="s">
        <v>3138</v>
      </c>
      <c r="L972" s="32" t="n">
        <v>95</v>
      </c>
      <c r="M972" s="33" t="s">
        <v>2778</v>
      </c>
      <c r="N972" s="34" t="n">
        <v>75016</v>
      </c>
      <c r="O972" s="35" t="s">
        <v>55</v>
      </c>
      <c r="P972" s="36" t="s">
        <v>6022</v>
      </c>
      <c r="Q972" s="36" t="n">
        <v>7</v>
      </c>
      <c r="R972" s="32" t="n">
        <v>271</v>
      </c>
      <c r="S972" s="32" t="n">
        <v>1</v>
      </c>
      <c r="T972" s="32"/>
      <c r="U972" s="32"/>
      <c r="V972" s="37"/>
      <c r="W972" s="32"/>
      <c r="X972" s="34"/>
      <c r="Y972" s="34"/>
      <c r="Z972" s="36"/>
      <c r="AA972" s="32" t="s">
        <v>6023</v>
      </c>
      <c r="AB972" s="32"/>
      <c r="AC972" s="38" t="str">
        <f aca="false">HYPERLINK("https://biocodex6--c.vf.force.com/0014L00000KFUJJQA5", "BINET ORTEGA VIRGINIE")</f>
        <v>BINET ORTEGA VIRGINIE</v>
      </c>
      <c r="AD972" s="38"/>
      <c r="AE972" s="39"/>
      <c r="AF972" s="40"/>
      <c r="AG972" s="41"/>
      <c r="AH972" s="32" t="s">
        <v>179</v>
      </c>
      <c r="AI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XEY972" s="27"/>
      <c r="XEZ972" s="27"/>
      <c r="XFA972" s="27"/>
      <c r="XFB972" s="27"/>
      <c r="XFC972" s="27"/>
      <c r="XFD972" s="27"/>
    </row>
    <row r="973" s="42" customFormat="true" ht="14.15" hidden="false" customHeight="true" outlineLevel="0" collapsed="false">
      <c r="A973" s="28" t="s">
        <v>6024</v>
      </c>
      <c r="B973" s="29" t="s">
        <v>183</v>
      </c>
      <c r="C973" s="29" t="s">
        <v>6025</v>
      </c>
      <c r="D973" s="30" t="s">
        <v>50</v>
      </c>
      <c r="E973" s="30" t="s">
        <v>421</v>
      </c>
      <c r="F973" s="32" t="n">
        <v>75</v>
      </c>
      <c r="G973" s="31" t="s">
        <v>215</v>
      </c>
      <c r="H973" s="31" t="n">
        <v>1</v>
      </c>
      <c r="I973" s="31" t="s">
        <v>435</v>
      </c>
      <c r="J973" s="29"/>
      <c r="K973" s="29" t="s">
        <v>6026</v>
      </c>
      <c r="L973" s="32" t="n">
        <v>47</v>
      </c>
      <c r="M973" s="33" t="s">
        <v>2100</v>
      </c>
      <c r="N973" s="34" t="n">
        <v>75016</v>
      </c>
      <c r="O973" s="35" t="s">
        <v>55</v>
      </c>
      <c r="P973" s="36" t="s">
        <v>6027</v>
      </c>
      <c r="Q973" s="36" t="n">
        <v>1</v>
      </c>
      <c r="R973" s="32" t="n">
        <v>271</v>
      </c>
      <c r="S973" s="32" t="n">
        <v>1</v>
      </c>
      <c r="T973" s="32"/>
      <c r="U973" s="32"/>
      <c r="V973" s="37"/>
      <c r="W973" s="32"/>
      <c r="X973" s="34"/>
      <c r="Y973" s="34"/>
      <c r="Z973" s="36"/>
      <c r="AA973" s="32" t="s">
        <v>6028</v>
      </c>
      <c r="AB973" s="32" t="s">
        <v>6029</v>
      </c>
      <c r="AC973" s="38" t="str">
        <f aca="false">HYPERLINK("https://biocodex6--c.vf.force.com/0014L00000KFW3mQAH", "CHAMPION CHRISTIAN")</f>
        <v>CHAMPION CHRISTIAN</v>
      </c>
      <c r="AD973" s="38" t="str">
        <f aca="false">HYPERLINK("https://annuairesante.ameli.fr/professionnels-de-sante/recherche/fiche-detaillee-B7c1lDMzOTSz.html", "CHAMPION CHRISTIAN")</f>
        <v>CHAMPION CHRISTIAN</v>
      </c>
      <c r="AE973" s="39"/>
      <c r="AF973" s="40"/>
      <c r="AG973" s="41"/>
      <c r="AH973" s="32" t="s">
        <v>179</v>
      </c>
      <c r="AI973" s="32"/>
      <c r="AL973" s="43" t="s">
        <v>657</v>
      </c>
      <c r="AM973" s="43" t="s">
        <v>661</v>
      </c>
      <c r="AN973" s="43" t="s">
        <v>657</v>
      </c>
      <c r="AO973" s="43" t="s">
        <v>661</v>
      </c>
      <c r="AP973" s="43" t="s">
        <v>657</v>
      </c>
      <c r="AQ973" s="43" t="s">
        <v>661</v>
      </c>
      <c r="AR973" s="32"/>
      <c r="AS973" s="32"/>
      <c r="AT973" s="32"/>
      <c r="AU973" s="32"/>
      <c r="XEY973" s="27"/>
      <c r="XEZ973" s="27"/>
      <c r="XFA973" s="27"/>
      <c r="XFB973" s="27"/>
      <c r="XFC973" s="27"/>
      <c r="XFD973" s="27"/>
    </row>
    <row r="974" s="42" customFormat="true" ht="14.15" hidden="false" customHeight="true" outlineLevel="0" collapsed="false">
      <c r="A974" s="28" t="s">
        <v>6030</v>
      </c>
      <c r="B974" s="29" t="s">
        <v>6031</v>
      </c>
      <c r="C974" s="29" t="s">
        <v>6032</v>
      </c>
      <c r="D974" s="30" t="s">
        <v>50</v>
      </c>
      <c r="E974" s="30" t="s">
        <v>6033</v>
      </c>
      <c r="F974" s="32" t="n">
        <v>69</v>
      </c>
      <c r="G974" s="31" t="s">
        <v>215</v>
      </c>
      <c r="H974" s="31" t="n">
        <v>1</v>
      </c>
      <c r="I974" s="31" t="s">
        <v>435</v>
      </c>
      <c r="J974" s="29"/>
      <c r="K974" s="29" t="s">
        <v>6034</v>
      </c>
      <c r="L974" s="32" t="n">
        <v>31</v>
      </c>
      <c r="M974" s="33" t="s">
        <v>1041</v>
      </c>
      <c r="N974" s="34" t="n">
        <v>75016</v>
      </c>
      <c r="O974" s="35" t="s">
        <v>55</v>
      </c>
      <c r="P974" s="36" t="s">
        <v>6035</v>
      </c>
      <c r="Q974" s="36" t="n">
        <v>1</v>
      </c>
      <c r="R974" s="32" t="n">
        <v>271</v>
      </c>
      <c r="S974" s="32" t="n">
        <v>1</v>
      </c>
      <c r="T974" s="32"/>
      <c r="U974" s="32"/>
      <c r="V974" s="37"/>
      <c r="W974" s="32"/>
      <c r="X974" s="34"/>
      <c r="Y974" s="34"/>
      <c r="Z974" s="32"/>
      <c r="AA974" s="32" t="s">
        <v>6036</v>
      </c>
      <c r="AB974" s="32" t="s">
        <v>6037</v>
      </c>
      <c r="AC974" s="38" t="str">
        <f aca="false">HYPERLINK("https://biocodex6--c.vf.force.com/0014L00000KG4SwQAL", "VASRAM MOUSTAFA")</f>
        <v>VASRAM MOUSTAFA</v>
      </c>
      <c r="AD974" s="38" t="str">
        <f aca="false">HYPERLINK("https://annuairesante.ameli.fr/professionnels-de-sante/recherche/fiche-detaillee-B7c1mzE1ODOz.html", "VASRAM MOUSTAFA")</f>
        <v>VASRAM MOUSTAFA</v>
      </c>
      <c r="AE974" s="39"/>
      <c r="AF974" s="40"/>
      <c r="AG974" s="41"/>
      <c r="AH974" s="32"/>
      <c r="AI974" s="32"/>
      <c r="AL974" s="43" t="s">
        <v>639</v>
      </c>
      <c r="AM974" s="43" t="s">
        <v>137</v>
      </c>
      <c r="AN974" s="43" t="s">
        <v>639</v>
      </c>
      <c r="AO974" s="43" t="s">
        <v>4053</v>
      </c>
      <c r="AP974" s="32"/>
      <c r="AQ974" s="32"/>
      <c r="AR974" s="32"/>
      <c r="AS974" s="32"/>
      <c r="AT974" s="43" t="s">
        <v>396</v>
      </c>
      <c r="AU974" s="43" t="s">
        <v>1443</v>
      </c>
      <c r="XEY974" s="27"/>
      <c r="XEZ974" s="27"/>
      <c r="XFA974" s="27"/>
      <c r="XFB974" s="27"/>
      <c r="XFC974" s="27"/>
      <c r="XFD974" s="27"/>
    </row>
    <row r="975" s="42" customFormat="true" ht="14.15" hidden="false" customHeight="true" outlineLevel="0" collapsed="false">
      <c r="A975" s="28" t="s">
        <v>6038</v>
      </c>
      <c r="B975" s="29" t="s">
        <v>1968</v>
      </c>
      <c r="C975" s="29" t="s">
        <v>6039</v>
      </c>
      <c r="D975" s="30" t="s">
        <v>50</v>
      </c>
      <c r="E975" s="31"/>
      <c r="F975" s="32" t="n">
        <v>69</v>
      </c>
      <c r="G975" s="31"/>
      <c r="H975" s="31" t="n">
        <v>1</v>
      </c>
      <c r="I975" s="31" t="s">
        <v>173</v>
      </c>
      <c r="J975" s="29"/>
      <c r="K975" s="29" t="s">
        <v>6040</v>
      </c>
      <c r="L975" s="32" t="n">
        <v>2</v>
      </c>
      <c r="M975" s="33" t="s">
        <v>6041</v>
      </c>
      <c r="N975" s="34" t="n">
        <v>75016</v>
      </c>
      <c r="O975" s="35" t="s">
        <v>55</v>
      </c>
      <c r="P975" s="36" t="s">
        <v>6042</v>
      </c>
      <c r="Q975" s="36" t="n">
        <v>1</v>
      </c>
      <c r="R975" s="32" t="n">
        <v>270</v>
      </c>
      <c r="S975" s="32" t="n">
        <v>1</v>
      </c>
      <c r="T975" s="32"/>
      <c r="U975" s="32"/>
      <c r="V975" s="37"/>
      <c r="W975" s="32"/>
      <c r="X975" s="34"/>
      <c r="Y975" s="34"/>
      <c r="Z975" s="36"/>
      <c r="AA975" s="32" t="s">
        <v>6043</v>
      </c>
      <c r="AB975" s="32"/>
      <c r="AC975" s="38" t="str">
        <f aca="false">HYPERLINK("https://biocodex6--c.vf.force.com/0014L00000KFfDSQA1", "GARROS SEBASTIEN")</f>
        <v>GARROS SEBASTIEN</v>
      </c>
      <c r="AD975" s="38"/>
      <c r="AE975" s="39"/>
      <c r="AF975" s="40"/>
      <c r="AG975" s="41"/>
      <c r="AH975" s="32" t="s">
        <v>179</v>
      </c>
      <c r="AI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XEY975" s="27"/>
      <c r="XEZ975" s="27"/>
      <c r="XFA975" s="27"/>
      <c r="XFB975" s="27"/>
      <c r="XFC975" s="27"/>
      <c r="XFD975" s="27"/>
    </row>
    <row r="976" s="42" customFormat="true" ht="14.15" hidden="false" customHeight="true" outlineLevel="0" collapsed="false">
      <c r="A976" s="28" t="s">
        <v>6044</v>
      </c>
      <c r="B976" s="29" t="s">
        <v>1101</v>
      </c>
      <c r="C976" s="29" t="s">
        <v>6045</v>
      </c>
      <c r="D976" s="30" t="s">
        <v>50</v>
      </c>
      <c r="E976" s="31"/>
      <c r="F976" s="32" t="n">
        <v>44</v>
      </c>
      <c r="G976" s="31"/>
      <c r="H976" s="31" t="n">
        <v>1</v>
      </c>
      <c r="I976" s="31" t="s">
        <v>295</v>
      </c>
      <c r="J976" s="29"/>
      <c r="K976" s="29" t="s">
        <v>1425</v>
      </c>
      <c r="L976" s="32" t="n">
        <v>9</v>
      </c>
      <c r="M976" s="33" t="s">
        <v>1426</v>
      </c>
      <c r="N976" s="34" t="n">
        <v>92300</v>
      </c>
      <c r="O976" s="35" t="s">
        <v>298</v>
      </c>
      <c r="P976" s="36"/>
      <c r="Q976" s="36" t="n">
        <v>4</v>
      </c>
      <c r="R976" s="32" t="n">
        <v>270</v>
      </c>
      <c r="S976" s="32" t="n">
        <v>1</v>
      </c>
      <c r="T976" s="32"/>
      <c r="U976" s="32"/>
      <c r="V976" s="37"/>
      <c r="W976" s="32"/>
      <c r="X976" s="34"/>
      <c r="Y976" s="34"/>
      <c r="Z976" s="36"/>
      <c r="AA976" s="32" t="s">
        <v>6046</v>
      </c>
      <c r="AB976" s="32"/>
      <c r="AC976" s="38" t="str">
        <f aca="false">HYPERLINK("https://biocodex6--c.vf.force.com/0014L00000KFWcrQAH", "MAJOU DE LA DEBUTRIE ISABELLE")</f>
        <v>MAJOU DE LA DEBUTRIE ISABELLE</v>
      </c>
      <c r="AD976" s="38"/>
      <c r="AE976" s="39"/>
      <c r="AF976" s="40"/>
      <c r="AG976" s="41"/>
      <c r="AH976" s="32" t="s">
        <v>179</v>
      </c>
      <c r="AI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XEY976" s="27"/>
      <c r="XEZ976" s="27"/>
      <c r="XFA976" s="27"/>
      <c r="XFB976" s="27"/>
      <c r="XFC976" s="27"/>
      <c r="XFD976" s="27"/>
    </row>
    <row r="977" s="42" customFormat="true" ht="14.15" hidden="false" customHeight="true" outlineLevel="0" collapsed="false">
      <c r="A977" s="28" t="s">
        <v>6047</v>
      </c>
      <c r="B977" s="29" t="s">
        <v>6048</v>
      </c>
      <c r="C977" s="29" t="s">
        <v>6049</v>
      </c>
      <c r="D977" s="30" t="s">
        <v>244</v>
      </c>
      <c r="E977" s="30" t="s">
        <v>6050</v>
      </c>
      <c r="F977" s="32" t="n">
        <v>67</v>
      </c>
      <c r="G977" s="31" t="s">
        <v>215</v>
      </c>
      <c r="H977" s="31" t="n">
        <v>2</v>
      </c>
      <c r="I977" s="31" t="s">
        <v>435</v>
      </c>
      <c r="J977" s="29" t="s">
        <v>3117</v>
      </c>
      <c r="K977" s="29" t="s">
        <v>3118</v>
      </c>
      <c r="L977" s="32" t="n">
        <v>46</v>
      </c>
      <c r="M977" s="33" t="s">
        <v>1450</v>
      </c>
      <c r="N977" s="34" t="n">
        <v>75016</v>
      </c>
      <c r="O977" s="35" t="s">
        <v>55</v>
      </c>
      <c r="P977" s="36" t="s">
        <v>3119</v>
      </c>
      <c r="Q977" s="36" t="n">
        <v>14</v>
      </c>
      <c r="R977" s="32" t="n">
        <v>269</v>
      </c>
      <c r="S977" s="32" t="n">
        <v>1</v>
      </c>
      <c r="T977" s="32"/>
      <c r="U977" s="32"/>
      <c r="V977" s="37"/>
      <c r="W977" s="32"/>
      <c r="X977" s="34" t="n">
        <v>1</v>
      </c>
      <c r="Y977" s="34"/>
      <c r="Z977" s="32"/>
      <c r="AA977" s="32" t="s">
        <v>6051</v>
      </c>
      <c r="AB977" s="32" t="s">
        <v>6052</v>
      </c>
      <c r="AC977" s="38" t="str">
        <f aca="false">HYPERLINK("https://biocodex6--c.vf.force.com/0014L00000KFUI2QAP", "BOUJENAH ARRY")</f>
        <v>BOUJENAH ARRY</v>
      </c>
      <c r="AD977" s="38" t="str">
        <f aca="false">HYPERLINK("https://annuairesante.ameli.fr/professionnels-de-sante/recherche/fiche-detaillee-B7c1mjI3OTez.html", "BOUJENAH ARRY")</f>
        <v>BOUJENAH ARRY</v>
      </c>
      <c r="AE977" s="39" t="n">
        <v>45188.625</v>
      </c>
      <c r="AF977" s="40"/>
      <c r="AG977" s="41"/>
      <c r="AH977" s="32"/>
      <c r="AI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XEY977" s="27"/>
      <c r="XEZ977" s="27"/>
      <c r="XFA977" s="27"/>
      <c r="XFB977" s="27"/>
      <c r="XFC977" s="27"/>
      <c r="XFD977" s="27"/>
    </row>
    <row r="978" s="42" customFormat="true" ht="14.15" hidden="false" customHeight="true" outlineLevel="0" collapsed="false">
      <c r="A978" s="28" t="s">
        <v>6053</v>
      </c>
      <c r="B978" s="29" t="s">
        <v>2038</v>
      </c>
      <c r="C978" s="29" t="s">
        <v>6054</v>
      </c>
      <c r="D978" s="30" t="s">
        <v>50</v>
      </c>
      <c r="E978" s="30" t="s">
        <v>6055</v>
      </c>
      <c r="F978" s="32" t="n">
        <v>79</v>
      </c>
      <c r="G978" s="31" t="s">
        <v>61</v>
      </c>
      <c r="H978" s="31" t="n">
        <v>1</v>
      </c>
      <c r="I978" s="31" t="s">
        <v>99</v>
      </c>
      <c r="J978" s="29"/>
      <c r="K978" s="29" t="s">
        <v>6056</v>
      </c>
      <c r="L978" s="32" t="n">
        <v>109</v>
      </c>
      <c r="M978" s="33" t="s">
        <v>1146</v>
      </c>
      <c r="N978" s="34" t="n">
        <v>75015</v>
      </c>
      <c r="O978" s="35" t="s">
        <v>55</v>
      </c>
      <c r="P978" s="36" t="s">
        <v>6057</v>
      </c>
      <c r="Q978" s="36" t="n">
        <v>1</v>
      </c>
      <c r="R978" s="32" t="n">
        <v>269</v>
      </c>
      <c r="S978" s="32" t="n">
        <v>1</v>
      </c>
      <c r="T978" s="32"/>
      <c r="U978" s="32"/>
      <c r="V978" s="37"/>
      <c r="W978" s="32"/>
      <c r="X978" s="34"/>
      <c r="Y978" s="34"/>
      <c r="Z978" s="36"/>
      <c r="AA978" s="32" t="s">
        <v>6058</v>
      </c>
      <c r="AB978" s="32" t="s">
        <v>6059</v>
      </c>
      <c r="AC978" s="38" t="str">
        <f aca="false">HYPERLINK("https://biocodex6--c.vf.force.com/0014L00000KFRC3QAP", "AZUELOS ANNIE")</f>
        <v>AZUELOS ANNIE</v>
      </c>
      <c r="AD978" s="38" t="str">
        <f aca="false">HYPERLINK("https://annuairesante.ameli.fr/professionnels-de-sante/recherche/fiche-detaillee-B7c1kTcxMTe6.html", "AZUELOS ANNIE")</f>
        <v>AZUELOS ANNIE</v>
      </c>
      <c r="AE978" s="39"/>
      <c r="AF978" s="40"/>
      <c r="AG978" s="41"/>
      <c r="AH978" s="32" t="s">
        <v>179</v>
      </c>
      <c r="AI978" s="32"/>
      <c r="AL978" s="43" t="s">
        <v>657</v>
      </c>
      <c r="AM978" s="43" t="s">
        <v>534</v>
      </c>
      <c r="AN978" s="43" t="s">
        <v>657</v>
      </c>
      <c r="AO978" s="43" t="s">
        <v>534</v>
      </c>
      <c r="AP978" s="43" t="s">
        <v>657</v>
      </c>
      <c r="AQ978" s="43" t="s">
        <v>534</v>
      </c>
      <c r="AR978" s="43" t="s">
        <v>657</v>
      </c>
      <c r="AS978" s="43" t="s">
        <v>534</v>
      </c>
      <c r="AT978" s="43" t="s">
        <v>657</v>
      </c>
      <c r="AU978" s="43" t="s">
        <v>534</v>
      </c>
      <c r="XEY978" s="27"/>
      <c r="XEZ978" s="27"/>
      <c r="XFA978" s="27"/>
      <c r="XFB978" s="27"/>
      <c r="XFC978" s="27"/>
      <c r="XFD978" s="27"/>
    </row>
    <row r="979" s="42" customFormat="true" ht="14.15" hidden="false" customHeight="true" outlineLevel="0" collapsed="false">
      <c r="A979" s="28" t="s">
        <v>6060</v>
      </c>
      <c r="B979" s="29" t="s">
        <v>6061</v>
      </c>
      <c r="C979" s="29" t="s">
        <v>6062</v>
      </c>
      <c r="D979" s="30" t="s">
        <v>75</v>
      </c>
      <c r="E979" s="31"/>
      <c r="F979" s="32" t="n">
        <v>55</v>
      </c>
      <c r="G979" s="31"/>
      <c r="H979" s="31" t="n">
        <v>1</v>
      </c>
      <c r="I979" s="31" t="s">
        <v>119</v>
      </c>
      <c r="J979" s="29" t="s">
        <v>3456</v>
      </c>
      <c r="K979" s="29" t="s">
        <v>3457</v>
      </c>
      <c r="L979" s="32" t="n">
        <v>2</v>
      </c>
      <c r="M979" s="33" t="s">
        <v>3458</v>
      </c>
      <c r="N979" s="34" t="n">
        <v>75007</v>
      </c>
      <c r="O979" s="35" t="s">
        <v>55</v>
      </c>
      <c r="P979" s="36" t="s">
        <v>4668</v>
      </c>
      <c r="Q979" s="36" t="n">
        <v>5</v>
      </c>
      <c r="R979" s="32" t="n">
        <v>269</v>
      </c>
      <c r="S979" s="32" t="n">
        <v>1</v>
      </c>
      <c r="T979" s="32"/>
      <c r="U979" s="32"/>
      <c r="V979" s="37"/>
      <c r="W979" s="32"/>
      <c r="X979" s="34"/>
      <c r="Y979" s="34"/>
      <c r="Z979" s="36"/>
      <c r="AA979" s="32" t="s">
        <v>6063</v>
      </c>
      <c r="AB979" s="32"/>
      <c r="AC979" s="38" t="str">
        <f aca="false">HYPERLINK("https://biocodex6--c.vf.force.com/0014L00000KFX6gQAH", "DEMIRCI SELMA CHRISTINE")</f>
        <v>DEMIRCI SELMA CHRISTINE</v>
      </c>
      <c r="AD979" s="38"/>
      <c r="AE979" s="39"/>
      <c r="AF979" s="40"/>
      <c r="AG979" s="41"/>
      <c r="AH979" s="32" t="s">
        <v>179</v>
      </c>
      <c r="AI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XEY979" s="27"/>
      <c r="XEZ979" s="27"/>
      <c r="XFA979" s="27"/>
      <c r="XFB979" s="27"/>
      <c r="XFC979" s="27"/>
      <c r="XFD979" s="27"/>
    </row>
    <row r="980" s="42" customFormat="true" ht="14.15" hidden="false" customHeight="true" outlineLevel="0" collapsed="false">
      <c r="A980" s="28" t="s">
        <v>6064</v>
      </c>
      <c r="B980" s="29" t="s">
        <v>399</v>
      </c>
      <c r="C980" s="29" t="s">
        <v>6065</v>
      </c>
      <c r="D980" s="30" t="s">
        <v>244</v>
      </c>
      <c r="E980" s="30" t="s">
        <v>245</v>
      </c>
      <c r="F980" s="32" t="n">
        <v>68</v>
      </c>
      <c r="G980" s="31" t="s">
        <v>215</v>
      </c>
      <c r="H980" s="31" t="n">
        <v>3</v>
      </c>
      <c r="I980" s="31" t="s">
        <v>435</v>
      </c>
      <c r="J980" s="29" t="s">
        <v>3117</v>
      </c>
      <c r="K980" s="29" t="s">
        <v>3118</v>
      </c>
      <c r="L980" s="32" t="n">
        <v>46</v>
      </c>
      <c r="M980" s="33" t="s">
        <v>1450</v>
      </c>
      <c r="N980" s="34" t="n">
        <v>75016</v>
      </c>
      <c r="O980" s="35" t="s">
        <v>55</v>
      </c>
      <c r="P980" s="36" t="s">
        <v>6066</v>
      </c>
      <c r="Q980" s="36" t="n">
        <v>14</v>
      </c>
      <c r="R980" s="32" t="n">
        <v>269</v>
      </c>
      <c r="S980" s="32" t="n">
        <v>1</v>
      </c>
      <c r="T980" s="32"/>
      <c r="U980" s="32"/>
      <c r="V980" s="37"/>
      <c r="W980" s="32"/>
      <c r="X980" s="34"/>
      <c r="Y980" s="34"/>
      <c r="Z980" s="36"/>
      <c r="AA980" s="32" t="s">
        <v>6067</v>
      </c>
      <c r="AB980" s="32" t="s">
        <v>6068</v>
      </c>
      <c r="AC980" s="38" t="str">
        <f aca="false">HYPERLINK("https://biocodex6--c.vf.force.com/0014L00000KFWUoQAP", "CHEVALLIER OLIVIER")</f>
        <v>CHEVALLIER OLIVIER</v>
      </c>
      <c r="AD980" s="38" t="str">
        <f aca="false">HYPERLINK("https://annuairesante.ameli.fr/professionnels-de-sante/recherche/fiche-detaillee-B7c1lzAwMjq1.html", "CHEVALLIER OLIVIER")</f>
        <v>CHEVALLIER OLIVIER</v>
      </c>
      <c r="AE980" s="39"/>
      <c r="AF980" s="40"/>
      <c r="AG980" s="41"/>
      <c r="AH980" s="32" t="s">
        <v>179</v>
      </c>
      <c r="AI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XEY980" s="27"/>
      <c r="XEZ980" s="27"/>
      <c r="XFA980" s="27"/>
      <c r="XFB980" s="27"/>
      <c r="XFC980" s="27"/>
      <c r="XFD980" s="27"/>
    </row>
    <row r="981" s="42" customFormat="true" ht="14.15" hidden="false" customHeight="true" outlineLevel="0" collapsed="false">
      <c r="A981" s="28" t="s">
        <v>6069</v>
      </c>
      <c r="B981" s="29" t="s">
        <v>6070</v>
      </c>
      <c r="C981" s="29" t="s">
        <v>6071</v>
      </c>
      <c r="D981" s="30" t="s">
        <v>50</v>
      </c>
      <c r="E981" s="30" t="s">
        <v>112</v>
      </c>
      <c r="F981" s="32" t="n">
        <v>58</v>
      </c>
      <c r="G981" s="31"/>
      <c r="H981" s="31" t="n">
        <v>2</v>
      </c>
      <c r="I981" s="31" t="s">
        <v>119</v>
      </c>
      <c r="J981" s="29" t="s">
        <v>4143</v>
      </c>
      <c r="K981" s="29" t="s">
        <v>4144</v>
      </c>
      <c r="L981" s="32" t="n">
        <v>6</v>
      </c>
      <c r="M981" s="33" t="s">
        <v>3713</v>
      </c>
      <c r="N981" s="34" t="n">
        <v>75007</v>
      </c>
      <c r="O981" s="35" t="s">
        <v>55</v>
      </c>
      <c r="P981" s="36" t="s">
        <v>6072</v>
      </c>
      <c r="Q981" s="36" t="n">
        <v>6</v>
      </c>
      <c r="R981" s="32" t="n">
        <v>268</v>
      </c>
      <c r="S981" s="32" t="n">
        <v>1</v>
      </c>
      <c r="T981" s="32"/>
      <c r="U981" s="32"/>
      <c r="V981" s="37"/>
      <c r="W981" s="32"/>
      <c r="X981" s="34"/>
      <c r="Y981" s="34"/>
      <c r="Z981" s="36"/>
      <c r="AA981" s="32" t="s">
        <v>6073</v>
      </c>
      <c r="AB981" s="32"/>
      <c r="AC981" s="38" t="str">
        <f aca="false">HYPERLINK("https://biocodex6--c.vf.force.com/0014L00000KFlKkQAL", "CHHIN SIRANE")</f>
        <v>CHHIN SIRANE</v>
      </c>
      <c r="AD981" s="38"/>
      <c r="AE981" s="39"/>
      <c r="AF981" s="40"/>
      <c r="AG981" s="41"/>
      <c r="AH981" s="32" t="s">
        <v>179</v>
      </c>
      <c r="AI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XEY981" s="27"/>
      <c r="XEZ981" s="27"/>
      <c r="XFA981" s="27"/>
      <c r="XFB981" s="27"/>
      <c r="XFC981" s="27"/>
      <c r="XFD981" s="27"/>
    </row>
    <row r="982" s="42" customFormat="true" ht="14.15" hidden="false" customHeight="true" outlineLevel="0" collapsed="false">
      <c r="A982" s="28" t="s">
        <v>6074</v>
      </c>
      <c r="B982" s="29" t="s">
        <v>6075</v>
      </c>
      <c r="C982" s="29" t="s">
        <v>6076</v>
      </c>
      <c r="D982" s="30" t="s">
        <v>50</v>
      </c>
      <c r="E982" s="30" t="s">
        <v>916</v>
      </c>
      <c r="F982" s="32" t="n">
        <v>51</v>
      </c>
      <c r="G982" s="31" t="s">
        <v>345</v>
      </c>
      <c r="H982" s="31" t="n">
        <v>1</v>
      </c>
      <c r="I982" s="31" t="s">
        <v>119</v>
      </c>
      <c r="J982" s="29"/>
      <c r="K982" s="29" t="s">
        <v>6077</v>
      </c>
      <c r="L982" s="32" t="n">
        <v>5</v>
      </c>
      <c r="M982" s="33" t="s">
        <v>6078</v>
      </c>
      <c r="N982" s="34" t="n">
        <v>75007</v>
      </c>
      <c r="O982" s="35" t="s">
        <v>55</v>
      </c>
      <c r="P982" s="36" t="s">
        <v>6079</v>
      </c>
      <c r="Q982" s="36" t="n">
        <v>1</v>
      </c>
      <c r="R982" s="32" t="n">
        <v>268</v>
      </c>
      <c r="S982" s="32" t="n">
        <v>1</v>
      </c>
      <c r="T982" s="32"/>
      <c r="U982" s="32"/>
      <c r="V982" s="37"/>
      <c r="W982" s="32"/>
      <c r="X982" s="34"/>
      <c r="Y982" s="34"/>
      <c r="Z982" s="36"/>
      <c r="AA982" s="32" t="s">
        <v>6080</v>
      </c>
      <c r="AB982" s="32" t="s">
        <v>6081</v>
      </c>
      <c r="AC982" s="38" t="str">
        <f aca="false">HYPERLINK("https://biocodex6--c.vf.force.com/0014L00000KFoucQAD", "LIZON AU CIRE VANESSA")</f>
        <v>LIZON AU CIRE VANESSA</v>
      </c>
      <c r="AD982" s="38" t="str">
        <f aca="false">HYPERLINK("https://annuairesante.ameli.fr/professionnels-de-sante/recherche/fiche-detaillee-B7c1lDUzNTG0.html", "LIZON AU CIRE VANESSA")</f>
        <v>LIZON AU CIRE VANESSA</v>
      </c>
      <c r="AE982" s="39"/>
      <c r="AF982" s="40"/>
      <c r="AG982" s="41"/>
      <c r="AH982" s="32" t="s">
        <v>179</v>
      </c>
      <c r="AI982" s="32"/>
      <c r="AL982" s="43" t="s">
        <v>657</v>
      </c>
      <c r="AM982" s="43" t="s">
        <v>126</v>
      </c>
      <c r="AN982" s="43" t="s">
        <v>657</v>
      </c>
      <c r="AO982" s="43" t="s">
        <v>126</v>
      </c>
      <c r="AP982" s="43" t="s">
        <v>657</v>
      </c>
      <c r="AQ982" s="43" t="s">
        <v>126</v>
      </c>
      <c r="AR982" s="43" t="s">
        <v>657</v>
      </c>
      <c r="AS982" s="43" t="s">
        <v>126</v>
      </c>
      <c r="AT982" s="32"/>
      <c r="AU982" s="32"/>
      <c r="XEY982" s="27"/>
      <c r="XEZ982" s="27"/>
      <c r="XFA982" s="27"/>
      <c r="XFB982" s="27"/>
      <c r="XFC982" s="27"/>
      <c r="XFD982" s="27"/>
    </row>
    <row r="983" s="42" customFormat="true" ht="14.15" hidden="false" customHeight="true" outlineLevel="0" collapsed="false">
      <c r="A983" s="28" t="s">
        <v>3984</v>
      </c>
      <c r="B983" s="29" t="s">
        <v>195</v>
      </c>
      <c r="C983" s="29" t="s">
        <v>6082</v>
      </c>
      <c r="D983" s="30" t="s">
        <v>50</v>
      </c>
      <c r="E983" s="30" t="s">
        <v>386</v>
      </c>
      <c r="F983" s="32" t="n">
        <v>68</v>
      </c>
      <c r="G983" s="31" t="s">
        <v>215</v>
      </c>
      <c r="H983" s="31" t="n">
        <v>1</v>
      </c>
      <c r="I983" s="31" t="s">
        <v>435</v>
      </c>
      <c r="J983" s="29"/>
      <c r="K983" s="29" t="s">
        <v>3081</v>
      </c>
      <c r="L983" s="32" t="n">
        <v>77</v>
      </c>
      <c r="M983" s="33" t="s">
        <v>2100</v>
      </c>
      <c r="N983" s="34" t="n">
        <v>75016</v>
      </c>
      <c r="O983" s="35" t="s">
        <v>55</v>
      </c>
      <c r="P983" s="50" t="s">
        <v>6083</v>
      </c>
      <c r="Q983" s="36" t="n">
        <v>4</v>
      </c>
      <c r="R983" s="32" t="n">
        <v>268</v>
      </c>
      <c r="S983" s="32" t="n">
        <v>1</v>
      </c>
      <c r="T983" s="32"/>
      <c r="U983" s="32"/>
      <c r="V983" s="37"/>
      <c r="W983" s="32"/>
      <c r="X983" s="34"/>
      <c r="Y983" s="34"/>
      <c r="Z983" s="36"/>
      <c r="AA983" s="32" t="s">
        <v>6084</v>
      </c>
      <c r="AB983" s="32" t="s">
        <v>6085</v>
      </c>
      <c r="AC983" s="38" t="str">
        <f aca="false">HYPERLINK("https://biocodex6--c.vf.force.com/0014L00000KFoL8QAL", "LEVY PHILIPPE")</f>
        <v>LEVY PHILIPPE</v>
      </c>
      <c r="AD983" s="38" t="str">
        <f aca="false">HYPERLINK("https://annuairesante.ameli.fr/professionnels-de-sante/recherche/fiche-detaillee-B7c1lDA5ODO7.html", "LEVY PHILIPPE")</f>
        <v>LEVY PHILIPPE</v>
      </c>
      <c r="AE983" s="39"/>
      <c r="AF983" s="40"/>
      <c r="AG983" s="41"/>
      <c r="AH983" s="32" t="s">
        <v>179</v>
      </c>
      <c r="AI983" s="32"/>
      <c r="AL983" s="43" t="s">
        <v>263</v>
      </c>
      <c r="AM983" s="43" t="s">
        <v>126</v>
      </c>
      <c r="AN983" s="43" t="s">
        <v>263</v>
      </c>
      <c r="AO983" s="43" t="s">
        <v>126</v>
      </c>
      <c r="AP983" s="43" t="s">
        <v>263</v>
      </c>
      <c r="AQ983" s="43" t="s">
        <v>126</v>
      </c>
      <c r="AR983" s="43" t="s">
        <v>263</v>
      </c>
      <c r="AS983" s="43" t="s">
        <v>126</v>
      </c>
      <c r="AT983" s="43" t="s">
        <v>263</v>
      </c>
      <c r="AU983" s="43" t="s">
        <v>126</v>
      </c>
      <c r="XEY983" s="27"/>
      <c r="XEZ983" s="27"/>
      <c r="XFA983" s="27"/>
      <c r="XFB983" s="27"/>
      <c r="XFC983" s="27"/>
      <c r="XFD983" s="27"/>
    </row>
    <row r="984" s="42" customFormat="true" ht="14.15" hidden="false" customHeight="true" outlineLevel="0" collapsed="false">
      <c r="A984" s="28" t="s">
        <v>6086</v>
      </c>
      <c r="B984" s="29" t="s">
        <v>1403</v>
      </c>
      <c r="C984" s="29" t="s">
        <v>6087</v>
      </c>
      <c r="D984" s="30" t="s">
        <v>50</v>
      </c>
      <c r="E984" s="31"/>
      <c r="F984" s="32" t="n">
        <v>0</v>
      </c>
      <c r="G984" s="31" t="s">
        <v>98</v>
      </c>
      <c r="H984" s="31" t="n">
        <v>1</v>
      </c>
      <c r="I984" s="31" t="s">
        <v>435</v>
      </c>
      <c r="J984" s="29"/>
      <c r="K984" s="29" t="s">
        <v>6088</v>
      </c>
      <c r="L984" s="32" t="n">
        <v>17</v>
      </c>
      <c r="M984" s="33" t="s">
        <v>1340</v>
      </c>
      <c r="N984" s="34" t="n">
        <v>75016</v>
      </c>
      <c r="O984" s="35" t="s">
        <v>55</v>
      </c>
      <c r="P984" s="36" t="s">
        <v>6089</v>
      </c>
      <c r="Q984" s="36" t="n">
        <v>3</v>
      </c>
      <c r="R984" s="32" t="n">
        <v>268</v>
      </c>
      <c r="S984" s="32" t="n">
        <v>1</v>
      </c>
      <c r="T984" s="32"/>
      <c r="U984" s="32"/>
      <c r="V984" s="37"/>
      <c r="W984" s="32"/>
      <c r="X984" s="34"/>
      <c r="Y984" s="34"/>
      <c r="Z984" s="36"/>
      <c r="AA984" s="32" t="s">
        <v>6090</v>
      </c>
      <c r="AB984" s="32" t="s">
        <v>6091</v>
      </c>
      <c r="AC984" s="38" t="str">
        <f aca="false">HYPERLINK("https://biocodex6--c.vf.force.com/0014L00000KGB2hQAH", "MENAHEM MILHAU BRIGITTE")</f>
        <v>MENAHEM MILHAU BRIGITTE</v>
      </c>
      <c r="AD984" s="38" t="str">
        <f aca="false">HYPERLINK("https://annuairesante.ameli.fr/professionnels-de-sante/recherche/fiche-detaillee-B7c1lTM1NjC1.html", "MENAHEM MILHAU BRIGITTE")</f>
        <v>MENAHEM MILHAU BRIGITTE</v>
      </c>
      <c r="AE984" s="39"/>
      <c r="AF984" s="40"/>
      <c r="AG984" s="41"/>
      <c r="AH984" s="32" t="s">
        <v>179</v>
      </c>
      <c r="AI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XEY984" s="27"/>
      <c r="XEZ984" s="27"/>
      <c r="XFA984" s="27"/>
      <c r="XFB984" s="27"/>
      <c r="XFC984" s="27"/>
      <c r="XFD984" s="27"/>
    </row>
    <row r="985" s="42" customFormat="true" ht="14.15" hidden="false" customHeight="true" outlineLevel="0" collapsed="false">
      <c r="A985" s="28" t="s">
        <v>6092</v>
      </c>
      <c r="B985" s="29" t="s">
        <v>839</v>
      </c>
      <c r="C985" s="29" t="s">
        <v>6093</v>
      </c>
      <c r="D985" s="30" t="s">
        <v>50</v>
      </c>
      <c r="E985" s="31"/>
      <c r="F985" s="32" t="n">
        <v>0</v>
      </c>
      <c r="G985" s="31" t="s">
        <v>98</v>
      </c>
      <c r="H985" s="31" t="n">
        <v>1</v>
      </c>
      <c r="I985" s="31" t="s">
        <v>51</v>
      </c>
      <c r="J985" s="29"/>
      <c r="K985" s="29" t="s">
        <v>6094</v>
      </c>
      <c r="L985" s="32" t="n">
        <v>199</v>
      </c>
      <c r="M985" s="33" t="s">
        <v>852</v>
      </c>
      <c r="N985" s="34" t="n">
        <v>75015</v>
      </c>
      <c r="O985" s="35" t="s">
        <v>55</v>
      </c>
      <c r="P985" s="36" t="s">
        <v>6095</v>
      </c>
      <c r="Q985" s="36" t="n">
        <v>2</v>
      </c>
      <c r="R985" s="32" t="n">
        <v>267</v>
      </c>
      <c r="S985" s="32" t="n">
        <v>1</v>
      </c>
      <c r="T985" s="32"/>
      <c r="U985" s="32"/>
      <c r="V985" s="37"/>
      <c r="W985" s="32"/>
      <c r="X985" s="34"/>
      <c r="Y985" s="34"/>
      <c r="Z985" s="32"/>
      <c r="AA985" s="32" t="s">
        <v>6096</v>
      </c>
      <c r="AB985" s="32" t="s">
        <v>6097</v>
      </c>
      <c r="AC985" s="38" t="str">
        <f aca="false">HYPERLINK("https://biocodex6--c.vf.force.com/0014L00000KFey7QAD", "CHAMPIER GILLES")</f>
        <v>CHAMPIER GILLES</v>
      </c>
      <c r="AD985" s="38" t="str">
        <f aca="false">HYPERLINK("https://annuairesante.ameli.fr/professionnels-de-sante/recherche/fiche-detaillee-B7c1kjA4NzC7.html", "CHAMPIER GILLES")</f>
        <v>CHAMPIER GILLES</v>
      </c>
      <c r="AE985" s="39"/>
      <c r="AF985" s="40"/>
      <c r="AG985" s="41"/>
      <c r="AH985" s="32"/>
      <c r="AI985" s="32"/>
      <c r="AL985" s="43" t="s">
        <v>1301</v>
      </c>
      <c r="AM985" s="43" t="s">
        <v>262</v>
      </c>
      <c r="AN985" s="43" t="s">
        <v>1301</v>
      </c>
      <c r="AO985" s="43" t="s">
        <v>262</v>
      </c>
      <c r="AP985" s="43" t="s">
        <v>1301</v>
      </c>
      <c r="AQ985" s="43" t="s">
        <v>262</v>
      </c>
      <c r="AR985" s="43" t="s">
        <v>1301</v>
      </c>
      <c r="AS985" s="43" t="s">
        <v>262</v>
      </c>
      <c r="AT985" s="43" t="s">
        <v>1301</v>
      </c>
      <c r="AU985" s="43" t="s">
        <v>262</v>
      </c>
      <c r="XEY985" s="27"/>
      <c r="XEZ985" s="27"/>
      <c r="XFA985" s="27"/>
      <c r="XFB985" s="27"/>
      <c r="XFC985" s="27"/>
      <c r="XFD985" s="27"/>
    </row>
    <row r="986" s="42" customFormat="true" ht="14.15" hidden="false" customHeight="true" outlineLevel="0" collapsed="false">
      <c r="A986" s="28" t="s">
        <v>6098</v>
      </c>
      <c r="B986" s="29" t="s">
        <v>829</v>
      </c>
      <c r="C986" s="29" t="s">
        <v>6099</v>
      </c>
      <c r="D986" s="30" t="s">
        <v>244</v>
      </c>
      <c r="E986" s="30" t="s">
        <v>245</v>
      </c>
      <c r="F986" s="32" t="n">
        <v>67</v>
      </c>
      <c r="G986" s="31" t="s">
        <v>215</v>
      </c>
      <c r="H986" s="31" t="n">
        <v>1</v>
      </c>
      <c r="I986" s="31" t="s">
        <v>435</v>
      </c>
      <c r="J986" s="29" t="s">
        <v>3117</v>
      </c>
      <c r="K986" s="29" t="s">
        <v>3118</v>
      </c>
      <c r="L986" s="32" t="n">
        <v>46</v>
      </c>
      <c r="M986" s="33" t="s">
        <v>1450</v>
      </c>
      <c r="N986" s="34" t="n">
        <v>75016</v>
      </c>
      <c r="O986" s="35" t="s">
        <v>55</v>
      </c>
      <c r="P986" s="36" t="s">
        <v>6100</v>
      </c>
      <c r="Q986" s="36" t="n">
        <v>14</v>
      </c>
      <c r="R986" s="32" t="n">
        <v>267</v>
      </c>
      <c r="S986" s="32" t="n">
        <v>1</v>
      </c>
      <c r="T986" s="32"/>
      <c r="U986" s="32"/>
      <c r="V986" s="37"/>
      <c r="W986" s="32"/>
      <c r="X986" s="34"/>
      <c r="Y986" s="34"/>
      <c r="Z986" s="36"/>
      <c r="AA986" s="32" t="s">
        <v>6101</v>
      </c>
      <c r="AB986" s="32" t="s">
        <v>6102</v>
      </c>
      <c r="AC986" s="38" t="str">
        <f aca="false">HYPERLINK("https://biocodex6--c.vf.force.com/0014L00000KFxZOQA1", "RAMBAUD DIDIER")</f>
        <v>RAMBAUD DIDIER</v>
      </c>
      <c r="AD986" s="38" t="str">
        <f aca="false">HYPERLINK("https://annuairesante.ameli.fr/professionnels-de-sante/recherche/fiche-detaillee-B7c1ljozNTWz.html", "RAMBAUD DIDIER")</f>
        <v>RAMBAUD DIDIER</v>
      </c>
      <c r="AE986" s="39"/>
      <c r="AF986" s="40"/>
      <c r="AG986" s="41"/>
      <c r="AH986" s="32" t="s">
        <v>179</v>
      </c>
      <c r="AI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XEY986" s="27"/>
      <c r="XEZ986" s="27"/>
      <c r="XFA986" s="27"/>
      <c r="XFB986" s="27"/>
      <c r="XFC986" s="27"/>
      <c r="XFD986" s="27"/>
    </row>
    <row r="987" s="42" customFormat="true" ht="14.15" hidden="false" customHeight="true" outlineLevel="0" collapsed="false">
      <c r="A987" s="28" t="s">
        <v>6103</v>
      </c>
      <c r="B987" s="29" t="s">
        <v>2433</v>
      </c>
      <c r="C987" s="29" t="s">
        <v>6104</v>
      </c>
      <c r="D987" s="30" t="s">
        <v>50</v>
      </c>
      <c r="E987" s="31"/>
      <c r="F987" s="32" t="n">
        <v>63</v>
      </c>
      <c r="G987" s="31" t="s">
        <v>98</v>
      </c>
      <c r="H987" s="31" t="n">
        <v>1</v>
      </c>
      <c r="I987" s="31" t="s">
        <v>51</v>
      </c>
      <c r="J987" s="29"/>
      <c r="K987" s="29" t="s">
        <v>6105</v>
      </c>
      <c r="L987" s="32" t="n">
        <v>88</v>
      </c>
      <c r="M987" s="33" t="s">
        <v>236</v>
      </c>
      <c r="N987" s="34" t="n">
        <v>75015</v>
      </c>
      <c r="O987" s="35" t="s">
        <v>55</v>
      </c>
      <c r="P987" s="36" t="s">
        <v>6106</v>
      </c>
      <c r="Q987" s="36" t="n">
        <v>1</v>
      </c>
      <c r="R987" s="32" t="n">
        <v>266</v>
      </c>
      <c r="S987" s="32" t="n">
        <v>1</v>
      </c>
      <c r="T987" s="32"/>
      <c r="U987" s="32"/>
      <c r="V987" s="37"/>
      <c r="W987" s="32"/>
      <c r="X987" s="34"/>
      <c r="Y987" s="34"/>
      <c r="Z987" s="36"/>
      <c r="AA987" s="32" t="s">
        <v>6107</v>
      </c>
      <c r="AB987" s="32" t="s">
        <v>6108</v>
      </c>
      <c r="AC987" s="38" t="str">
        <f aca="false">HYPERLINK("https://biocodex6--c.vf.force.com/0014L00000KG45UQAT", "VACQUIER BERNARD")</f>
        <v>VACQUIER BERNARD</v>
      </c>
      <c r="AD987" s="38" t="str">
        <f aca="false">HYPERLINK("https://annuairesante.ameli.fr/professionnels-de-sante/recherche/fiche-detaillee-B7c1lzY3NDaz.html", "VACQUIER BERNARD")</f>
        <v>VACQUIER BERNARD</v>
      </c>
      <c r="AE987" s="39"/>
      <c r="AF987" s="40"/>
      <c r="AG987" s="41"/>
      <c r="AH987" s="32" t="s">
        <v>179</v>
      </c>
      <c r="AI987" s="32"/>
      <c r="AL987" s="43" t="s">
        <v>6109</v>
      </c>
      <c r="AM987" s="43" t="s">
        <v>3168</v>
      </c>
      <c r="AN987" s="43" t="s">
        <v>6109</v>
      </c>
      <c r="AO987" s="43" t="s">
        <v>3168</v>
      </c>
      <c r="AP987" s="43" t="s">
        <v>6109</v>
      </c>
      <c r="AQ987" s="43" t="s">
        <v>3168</v>
      </c>
      <c r="AR987" s="43" t="s">
        <v>6109</v>
      </c>
      <c r="AS987" s="43" t="s">
        <v>3168</v>
      </c>
      <c r="AT987" s="43" t="s">
        <v>6109</v>
      </c>
      <c r="AU987" s="43" t="s">
        <v>3168</v>
      </c>
      <c r="XEY987" s="27"/>
      <c r="XEZ987" s="27"/>
      <c r="XFA987" s="27"/>
      <c r="XFB987" s="27"/>
      <c r="XFC987" s="27"/>
      <c r="XFD987" s="27"/>
    </row>
    <row r="988" s="42" customFormat="true" ht="14.15" hidden="false" customHeight="true" outlineLevel="0" collapsed="false">
      <c r="A988" s="28" t="s">
        <v>6110</v>
      </c>
      <c r="B988" s="29" t="s">
        <v>5052</v>
      </c>
      <c r="C988" s="29" t="s">
        <v>6111</v>
      </c>
      <c r="D988" s="30" t="s">
        <v>50</v>
      </c>
      <c r="E988" s="30" t="s">
        <v>776</v>
      </c>
      <c r="F988" s="32" t="n">
        <v>67</v>
      </c>
      <c r="G988" s="31" t="s">
        <v>61</v>
      </c>
      <c r="H988" s="31" t="n">
        <v>3</v>
      </c>
      <c r="I988" s="31" t="s">
        <v>62</v>
      </c>
      <c r="J988" s="29"/>
      <c r="K988" s="29" t="s">
        <v>6112</v>
      </c>
      <c r="L988" s="32" t="n">
        <v>68</v>
      </c>
      <c r="M988" s="33" t="s">
        <v>2804</v>
      </c>
      <c r="N988" s="34" t="n">
        <v>75017</v>
      </c>
      <c r="O988" s="35" t="s">
        <v>55</v>
      </c>
      <c r="P988" s="36" t="s">
        <v>6113</v>
      </c>
      <c r="Q988" s="36" t="n">
        <v>1</v>
      </c>
      <c r="R988" s="32" t="n">
        <v>265</v>
      </c>
      <c r="S988" s="32" t="n">
        <v>1</v>
      </c>
      <c r="T988" s="32"/>
      <c r="U988" s="32"/>
      <c r="V988" s="37"/>
      <c r="W988" s="32"/>
      <c r="X988" s="34"/>
      <c r="Y988" s="34"/>
      <c r="Z988" s="32"/>
      <c r="AA988" s="32" t="s">
        <v>6114</v>
      </c>
      <c r="AB988" s="32" t="s">
        <v>6115</v>
      </c>
      <c r="AC988" s="38" t="str">
        <f aca="false">HYPERLINK("https://biocodex6--c.vf.force.com/0014L00000KFszAQAT", "MOUTOT MAURICE")</f>
        <v>MOUTOT MAURICE</v>
      </c>
      <c r="AD988" s="38" t="str">
        <f aca="false">HYPERLINK("https://annuairesante.ameli.fr/professionnels-de-sante/recherche/fiche-detaillee-B7c1lzY0Mja3.html", "MOUTOT MAURICE")</f>
        <v>MOUTOT MAURICE</v>
      </c>
      <c r="AE988" s="39"/>
      <c r="AF988" s="40"/>
      <c r="AG988" s="41"/>
      <c r="AH988" s="32"/>
      <c r="AI988" s="32"/>
      <c r="AL988" s="43" t="s">
        <v>85</v>
      </c>
      <c r="AM988" s="43" t="s">
        <v>126</v>
      </c>
      <c r="AN988" s="43" t="s">
        <v>85</v>
      </c>
      <c r="AO988" s="43" t="s">
        <v>126</v>
      </c>
      <c r="AP988" s="43" t="s">
        <v>85</v>
      </c>
      <c r="AQ988" s="43" t="s">
        <v>126</v>
      </c>
      <c r="AR988" s="43" t="s">
        <v>85</v>
      </c>
      <c r="AS988" s="43" t="s">
        <v>126</v>
      </c>
      <c r="AT988" s="43" t="s">
        <v>85</v>
      </c>
      <c r="AU988" s="43" t="s">
        <v>126</v>
      </c>
      <c r="XEY988" s="27"/>
      <c r="XEZ988" s="27"/>
      <c r="XFA988" s="27"/>
      <c r="XFB988" s="27"/>
      <c r="XFC988" s="27"/>
      <c r="XFD988" s="27"/>
    </row>
    <row r="989" s="42" customFormat="true" ht="14.15" hidden="false" customHeight="true" outlineLevel="0" collapsed="false">
      <c r="A989" s="28" t="s">
        <v>6116</v>
      </c>
      <c r="B989" s="29" t="s">
        <v>6117</v>
      </c>
      <c r="C989" s="29" t="s">
        <v>6118</v>
      </c>
      <c r="D989" s="30" t="s">
        <v>206</v>
      </c>
      <c r="E989" s="30" t="s">
        <v>344</v>
      </c>
      <c r="F989" s="32" t="n">
        <v>54</v>
      </c>
      <c r="G989" s="31" t="s">
        <v>98</v>
      </c>
      <c r="H989" s="31" t="n">
        <v>1</v>
      </c>
      <c r="I989" s="31" t="s">
        <v>572</v>
      </c>
      <c r="J989" s="29"/>
      <c r="K989" s="29" t="s">
        <v>6119</v>
      </c>
      <c r="L989" s="32" t="n">
        <v>31</v>
      </c>
      <c r="M989" s="33" t="s">
        <v>3647</v>
      </c>
      <c r="N989" s="34" t="n">
        <v>75008</v>
      </c>
      <c r="O989" s="35" t="s">
        <v>55</v>
      </c>
      <c r="P989" s="36" t="s">
        <v>6120</v>
      </c>
      <c r="Q989" s="36" t="n">
        <v>3</v>
      </c>
      <c r="R989" s="32" t="n">
        <v>264</v>
      </c>
      <c r="S989" s="32" t="n">
        <v>1</v>
      </c>
      <c r="T989" s="32"/>
      <c r="U989" s="32" t="n">
        <v>3</v>
      </c>
      <c r="V989" s="37"/>
      <c r="W989" s="32" t="n">
        <v>2</v>
      </c>
      <c r="X989" s="34"/>
      <c r="Y989" s="34" t="n">
        <v>1</v>
      </c>
      <c r="Z989" s="36" t="s">
        <v>6121</v>
      </c>
      <c r="AA989" s="32" t="s">
        <v>6122</v>
      </c>
      <c r="AB989" s="44" t="s">
        <v>6123</v>
      </c>
      <c r="AC989" s="38" t="str">
        <f aca="false">HYPERLINK("https://biocodex6--c.vf.force.com/0014L00000KG5yJQAT", "VASSEUR GERALDINE")</f>
        <v>VASSEUR GERALDINE</v>
      </c>
      <c r="AD989" s="38" t="str">
        <f aca="false">HYPERLINK("https://annuairesante.ameli.fr/professionnels-de-sante/recherche/fiche-detaillee-B7c1kjI3NDq1.html", "VASSEUR GERALDINE")</f>
        <v>VASSEUR GERALDINE</v>
      </c>
      <c r="AE989" s="39" t="n">
        <v>45371.7291666667</v>
      </c>
      <c r="AF989" s="40" t="s">
        <v>6124</v>
      </c>
      <c r="AG989" s="41"/>
      <c r="AH989" s="32" t="s">
        <v>179</v>
      </c>
      <c r="AI989" s="32"/>
      <c r="AL989" s="43" t="s">
        <v>995</v>
      </c>
      <c r="AM989" s="43" t="s">
        <v>137</v>
      </c>
      <c r="AN989" s="43" t="s">
        <v>85</v>
      </c>
      <c r="AO989" s="32"/>
      <c r="AP989" s="43" t="s">
        <v>995</v>
      </c>
      <c r="AQ989" s="43" t="s">
        <v>137</v>
      </c>
      <c r="AR989" s="43" t="s">
        <v>995</v>
      </c>
      <c r="AS989" s="43" t="s">
        <v>137</v>
      </c>
      <c r="AT989" s="43" t="s">
        <v>85</v>
      </c>
      <c r="AU989" s="43" t="s">
        <v>866</v>
      </c>
      <c r="XEY989" s="27"/>
      <c r="XEZ989" s="27"/>
      <c r="XFA989" s="27"/>
      <c r="XFB989" s="27"/>
      <c r="XFC989" s="27"/>
      <c r="XFD989" s="27"/>
    </row>
    <row r="990" s="42" customFormat="true" ht="14.15" hidden="false" customHeight="true" outlineLevel="0" collapsed="false">
      <c r="A990" s="28" t="s">
        <v>6125</v>
      </c>
      <c r="B990" s="29" t="s">
        <v>6126</v>
      </c>
      <c r="C990" s="29" t="s">
        <v>6127</v>
      </c>
      <c r="D990" s="30" t="s">
        <v>50</v>
      </c>
      <c r="E990" s="31"/>
      <c r="F990" s="32" t="n">
        <v>50</v>
      </c>
      <c r="G990" s="31" t="s">
        <v>215</v>
      </c>
      <c r="H990" s="31" t="n">
        <v>1</v>
      </c>
      <c r="I990" s="31" t="s">
        <v>435</v>
      </c>
      <c r="J990" s="29"/>
      <c r="K990" s="29" t="s">
        <v>6128</v>
      </c>
      <c r="L990" s="32" t="n">
        <v>8</v>
      </c>
      <c r="M990" s="33" t="s">
        <v>6129</v>
      </c>
      <c r="N990" s="34" t="n">
        <v>75016</v>
      </c>
      <c r="O990" s="35" t="s">
        <v>55</v>
      </c>
      <c r="P990" s="36"/>
      <c r="Q990" s="36" t="n">
        <v>1</v>
      </c>
      <c r="R990" s="32" t="n">
        <v>263</v>
      </c>
      <c r="S990" s="32" t="n">
        <v>1</v>
      </c>
      <c r="T990" s="32"/>
      <c r="U990" s="32"/>
      <c r="V990" s="37"/>
      <c r="W990" s="32"/>
      <c r="X990" s="34"/>
      <c r="Y990" s="34"/>
      <c r="Z990" s="36"/>
      <c r="AA990" s="32" t="s">
        <v>6130</v>
      </c>
      <c r="AB990" s="32" t="s">
        <v>6131</v>
      </c>
      <c r="AC990" s="38" t="str">
        <f aca="false">HYPERLINK("https://biocodex6--c.vf.force.com/0014L00000KG3aeQAD", "TAKUN KHALIL")</f>
        <v>TAKUN KHALIL</v>
      </c>
      <c r="AD990" s="38" t="str">
        <f aca="false">HYPERLINK("https://annuairesante.ameli.fr/professionnels-de-sante/recherche/fiche-detaillee-B7c1lDQ2MTK0.html", "TAKUN KHALIL")</f>
        <v>TAKUN KHALIL</v>
      </c>
      <c r="AE990" s="39"/>
      <c r="AF990" s="40"/>
      <c r="AG990" s="41"/>
      <c r="AH990" s="32" t="s">
        <v>179</v>
      </c>
      <c r="AI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XEY990" s="27"/>
      <c r="XEZ990" s="27"/>
      <c r="XFA990" s="27"/>
      <c r="XFB990" s="27"/>
      <c r="XFC990" s="27"/>
      <c r="XFD990" s="27"/>
    </row>
    <row r="991" s="42" customFormat="true" ht="14.15" hidden="false" customHeight="true" outlineLevel="0" collapsed="false">
      <c r="A991" s="28" t="s">
        <v>6132</v>
      </c>
      <c r="B991" s="29" t="s">
        <v>3255</v>
      </c>
      <c r="C991" s="29" t="s">
        <v>6133</v>
      </c>
      <c r="D991" s="30" t="s">
        <v>50</v>
      </c>
      <c r="E991" s="31"/>
      <c r="F991" s="32" t="n">
        <v>61</v>
      </c>
      <c r="G991" s="31" t="s">
        <v>98</v>
      </c>
      <c r="H991" s="31" t="n">
        <v>1</v>
      </c>
      <c r="I991" s="31" t="s">
        <v>197</v>
      </c>
      <c r="J991" s="29"/>
      <c r="K991" s="29" t="s">
        <v>1177</v>
      </c>
      <c r="L991" s="32" t="n">
        <v>28</v>
      </c>
      <c r="M991" s="33" t="s">
        <v>1178</v>
      </c>
      <c r="N991" s="34" t="n">
        <v>75017</v>
      </c>
      <c r="O991" s="35" t="s">
        <v>55</v>
      </c>
      <c r="P991" s="36" t="s">
        <v>6134</v>
      </c>
      <c r="Q991" s="36" t="n">
        <v>3</v>
      </c>
      <c r="R991" s="32" t="n">
        <v>263</v>
      </c>
      <c r="S991" s="32" t="n">
        <v>1</v>
      </c>
      <c r="T991" s="32"/>
      <c r="U991" s="32"/>
      <c r="V991" s="37"/>
      <c r="W991" s="32"/>
      <c r="X991" s="34"/>
      <c r="Y991" s="34"/>
      <c r="Z991" s="36"/>
      <c r="AA991" s="32" t="s">
        <v>6135</v>
      </c>
      <c r="AB991" s="32" t="s">
        <v>6136</v>
      </c>
      <c r="AC991" s="38" t="str">
        <f aca="false">HYPERLINK("https://biocodex6--c.vf.force.com/0014L00000KFWjbQAH", "CHOUKROUN DENIS")</f>
        <v>CHOUKROUN DENIS</v>
      </c>
      <c r="AD991" s="38" t="str">
        <f aca="false">HYPERLINK("https://annuairesante.ameli.fr/professionnels-de-sante/recherche/fiche-detaillee-B7c1lTI2MjS0.html", "CHOUKROUN DENIS")</f>
        <v>CHOUKROUN DENIS</v>
      </c>
      <c r="AE991" s="39"/>
      <c r="AF991" s="40"/>
      <c r="AG991" s="41"/>
      <c r="AH991" s="32" t="s">
        <v>179</v>
      </c>
      <c r="AI991" s="32"/>
      <c r="AL991" s="32"/>
      <c r="AM991" s="43" t="s">
        <v>6137</v>
      </c>
      <c r="AN991" s="32"/>
      <c r="AO991" s="32"/>
      <c r="AP991" s="32"/>
      <c r="AQ991" s="43" t="s">
        <v>6137</v>
      </c>
      <c r="AR991" s="32"/>
      <c r="AS991" s="32"/>
      <c r="AT991" s="32"/>
      <c r="AU991" s="32"/>
      <c r="XEY991" s="27"/>
      <c r="XEZ991" s="27"/>
      <c r="XFA991" s="27"/>
      <c r="XFB991" s="27"/>
      <c r="XFC991" s="27"/>
      <c r="XFD991" s="27"/>
    </row>
    <row r="992" s="42" customFormat="true" ht="14.15" hidden="false" customHeight="true" outlineLevel="0" collapsed="false">
      <c r="A992" s="28" t="s">
        <v>6138</v>
      </c>
      <c r="B992" s="29" t="s">
        <v>3304</v>
      </c>
      <c r="C992" s="29" t="s">
        <v>6139</v>
      </c>
      <c r="D992" s="30" t="s">
        <v>50</v>
      </c>
      <c r="E992" s="30" t="s">
        <v>796</v>
      </c>
      <c r="F992" s="32" t="n">
        <v>66</v>
      </c>
      <c r="G992" s="31"/>
      <c r="H992" s="31" t="n">
        <v>1</v>
      </c>
      <c r="I992" s="31" t="s">
        <v>233</v>
      </c>
      <c r="J992" s="29"/>
      <c r="K992" s="29" t="s">
        <v>6140</v>
      </c>
      <c r="L992" s="32" t="n">
        <v>233</v>
      </c>
      <c r="M992" s="33" t="s">
        <v>2387</v>
      </c>
      <c r="N992" s="34" t="n">
        <v>75015</v>
      </c>
      <c r="O992" s="35" t="s">
        <v>55</v>
      </c>
      <c r="P992" s="36" t="s">
        <v>6141</v>
      </c>
      <c r="Q992" s="36" t="n">
        <v>1</v>
      </c>
      <c r="R992" s="32" t="n">
        <v>263</v>
      </c>
      <c r="S992" s="32" t="n">
        <v>1</v>
      </c>
      <c r="T992" s="32"/>
      <c r="U992" s="32"/>
      <c r="V992" s="37"/>
      <c r="W992" s="32"/>
      <c r="X992" s="34"/>
      <c r="Y992" s="34"/>
      <c r="Z992" s="32"/>
      <c r="AA992" s="32" t="s">
        <v>6142</v>
      </c>
      <c r="AB992" s="32"/>
      <c r="AC992" s="38" t="str">
        <f aca="false">HYPERLINK("https://biocodex6--c.vf.force.com/0014L00000KFnBgQAL", "LECART SYLVIE")</f>
        <v>LECART SYLVIE</v>
      </c>
      <c r="AD992" s="38"/>
      <c r="AE992" s="39"/>
      <c r="AF992" s="40"/>
      <c r="AG992" s="41"/>
      <c r="AH992" s="32"/>
      <c r="AI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XEY992" s="27"/>
      <c r="XEZ992" s="27"/>
      <c r="XFA992" s="27"/>
      <c r="XFB992" s="27"/>
      <c r="XFC992" s="27"/>
      <c r="XFD992" s="27"/>
    </row>
    <row r="993" s="42" customFormat="true" ht="14.15" hidden="false" customHeight="true" outlineLevel="0" collapsed="false">
      <c r="A993" s="28" t="s">
        <v>6143</v>
      </c>
      <c r="B993" s="29" t="s">
        <v>3881</v>
      </c>
      <c r="C993" s="29" t="s">
        <v>6144</v>
      </c>
      <c r="D993" s="30" t="s">
        <v>50</v>
      </c>
      <c r="E993" s="31"/>
      <c r="F993" s="32" t="n">
        <v>48</v>
      </c>
      <c r="G993" s="31" t="s">
        <v>98</v>
      </c>
      <c r="H993" s="31" t="n">
        <v>1</v>
      </c>
      <c r="I993" s="31" t="s">
        <v>51</v>
      </c>
      <c r="J993" s="29"/>
      <c r="K993" s="29" t="s">
        <v>6145</v>
      </c>
      <c r="L993" s="32" t="n">
        <v>32</v>
      </c>
      <c r="M993" s="33" t="s">
        <v>3814</v>
      </c>
      <c r="N993" s="34" t="n">
        <v>75015</v>
      </c>
      <c r="O993" s="35" t="s">
        <v>55</v>
      </c>
      <c r="P993" s="36" t="s">
        <v>6146</v>
      </c>
      <c r="Q993" s="36" t="n">
        <v>2</v>
      </c>
      <c r="R993" s="32" t="n">
        <v>262</v>
      </c>
      <c r="S993" s="32" t="n">
        <v>1</v>
      </c>
      <c r="T993" s="32"/>
      <c r="U993" s="32"/>
      <c r="V993" s="37"/>
      <c r="W993" s="32"/>
      <c r="X993" s="34"/>
      <c r="Y993" s="34"/>
      <c r="Z993" s="36"/>
      <c r="AA993" s="32" t="s">
        <v>6147</v>
      </c>
      <c r="AB993" s="32" t="s">
        <v>6148</v>
      </c>
      <c r="AC993" s="38" t="str">
        <f aca="false">HYPERLINK("https://biocodex6--c.vf.force.com/0014L00000KG6KZQA1", "WISSA JEAN LOUIS")</f>
        <v>WISSA JEAN LOUIS</v>
      </c>
      <c r="AD993" s="38" t="str">
        <f aca="false">HYPERLINK("https://annuairesante.ameli.fr/professionnels-de-sante/recherche/fiche-detaillee-B7c1lDQ3NDK3.html", "WISSA JEAN LOUIS")</f>
        <v>WISSA JEAN LOUIS</v>
      </c>
      <c r="AE993" s="39"/>
      <c r="AF993" s="40"/>
      <c r="AG993" s="41"/>
      <c r="AH993" s="32" t="s">
        <v>179</v>
      </c>
      <c r="AI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XEY993" s="27"/>
      <c r="XEZ993" s="27"/>
      <c r="XFA993" s="27"/>
      <c r="XFB993" s="27"/>
      <c r="XFC993" s="27"/>
      <c r="XFD993" s="27"/>
    </row>
    <row r="994" s="42" customFormat="true" ht="14.15" hidden="false" customHeight="true" outlineLevel="0" collapsed="false">
      <c r="A994" s="28" t="s">
        <v>6149</v>
      </c>
      <c r="B994" s="29" t="s">
        <v>6150</v>
      </c>
      <c r="C994" s="29" t="s">
        <v>6151</v>
      </c>
      <c r="D994" s="30" t="s">
        <v>244</v>
      </c>
      <c r="E994" s="30" t="s">
        <v>6152</v>
      </c>
      <c r="F994" s="32" t="n">
        <v>44</v>
      </c>
      <c r="G994" s="31" t="s">
        <v>345</v>
      </c>
      <c r="H994" s="31" t="n">
        <v>1</v>
      </c>
      <c r="I994" s="31" t="s">
        <v>435</v>
      </c>
      <c r="J994" s="29"/>
      <c r="K994" s="29" t="s">
        <v>2099</v>
      </c>
      <c r="L994" s="32" t="n">
        <v>80</v>
      </c>
      <c r="M994" s="33" t="s">
        <v>2100</v>
      </c>
      <c r="N994" s="34" t="n">
        <v>75016</v>
      </c>
      <c r="O994" s="35" t="s">
        <v>55</v>
      </c>
      <c r="P994" s="50" t="s">
        <v>6153</v>
      </c>
      <c r="Q994" s="36" t="n">
        <v>4</v>
      </c>
      <c r="R994" s="32" t="n">
        <v>262</v>
      </c>
      <c r="S994" s="32" t="n">
        <v>1</v>
      </c>
      <c r="T994" s="32"/>
      <c r="U994" s="32"/>
      <c r="V994" s="37"/>
      <c r="W994" s="32"/>
      <c r="X994" s="34"/>
      <c r="Y994" s="34"/>
      <c r="Z994" s="36"/>
      <c r="AA994" s="32" t="s">
        <v>6154</v>
      </c>
      <c r="AB994" s="32" t="s">
        <v>6155</v>
      </c>
      <c r="AC994" s="38" t="str">
        <f aca="false">HYPERLINK("https://biocodex6--c.vf.force.com/0014L00000KFbHsQAL", "NEVI CHRISTILLA")</f>
        <v>NEVI CHRISTILLA</v>
      </c>
      <c r="AD994" s="38" t="str">
        <f aca="false">HYPERLINK("https://annuairesante.ameli.fr/professionnels-de-sante/recherche/fiche-detaillee-B7c1mzEzMDG7.html", "NEVI CHRISTILLA")</f>
        <v>NEVI CHRISTILLA</v>
      </c>
      <c r="AE994" s="39"/>
      <c r="AF994" s="40"/>
      <c r="AG994" s="41"/>
      <c r="AH994" s="32" t="s">
        <v>179</v>
      </c>
      <c r="AI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XEY994" s="27"/>
      <c r="XEZ994" s="27"/>
      <c r="XFA994" s="27"/>
      <c r="XFB994" s="27"/>
      <c r="XFC994" s="27"/>
      <c r="XFD994" s="27"/>
    </row>
    <row r="995" s="42" customFormat="true" ht="14.15" hidden="false" customHeight="true" outlineLevel="0" collapsed="false">
      <c r="A995" s="28" t="s">
        <v>6156</v>
      </c>
      <c r="B995" s="29" t="s">
        <v>96</v>
      </c>
      <c r="C995" s="29" t="s">
        <v>6157</v>
      </c>
      <c r="D995" s="30" t="s">
        <v>50</v>
      </c>
      <c r="E995" s="31"/>
      <c r="F995" s="32" t="n">
        <v>42</v>
      </c>
      <c r="G995" s="31" t="s">
        <v>98</v>
      </c>
      <c r="H995" s="31" t="n">
        <v>1</v>
      </c>
      <c r="I995" s="31" t="s">
        <v>62</v>
      </c>
      <c r="J995" s="29"/>
      <c r="K995" s="29" t="s">
        <v>6158</v>
      </c>
      <c r="L995" s="32" t="n">
        <v>105</v>
      </c>
      <c r="M995" s="33" t="s">
        <v>1138</v>
      </c>
      <c r="N995" s="34" t="n">
        <v>75017</v>
      </c>
      <c r="O995" s="35" t="s">
        <v>55</v>
      </c>
      <c r="P995" s="36" t="s">
        <v>6159</v>
      </c>
      <c r="Q995" s="36" t="n">
        <v>2</v>
      </c>
      <c r="R995" s="32" t="n">
        <v>261</v>
      </c>
      <c r="S995" s="32" t="n">
        <v>1</v>
      </c>
      <c r="T995" s="32"/>
      <c r="U995" s="32"/>
      <c r="V995" s="37"/>
      <c r="W995" s="32"/>
      <c r="X995" s="34"/>
      <c r="Y995" s="34"/>
      <c r="Z995" s="36"/>
      <c r="AA995" s="32" t="s">
        <v>6160</v>
      </c>
      <c r="AB995" s="32" t="s">
        <v>6161</v>
      </c>
      <c r="AC995" s="38" t="str">
        <f aca="false">HYPERLINK("https://biocodex6--c.vf.force.com/0014L00000KFiNlQAL", "KADOUCH BENJAMIN")</f>
        <v>KADOUCH BENJAMIN</v>
      </c>
      <c r="AD995" s="38" t="str">
        <f aca="false">HYPERLINK("https://annuairesante.ameli.fr/professionnels-de-sante/recherche/fiche-detaillee-B7c1kjExODO6.html", "KADOUCH BENJAMIN")</f>
        <v>KADOUCH BENJAMIN</v>
      </c>
      <c r="AE995" s="39"/>
      <c r="AF995" s="40"/>
      <c r="AG995" s="41"/>
      <c r="AH995" s="32" t="s">
        <v>179</v>
      </c>
      <c r="AI995" s="32"/>
      <c r="AL995" s="43" t="s">
        <v>657</v>
      </c>
      <c r="AM995" s="43" t="s">
        <v>126</v>
      </c>
      <c r="AN995" s="43" t="s">
        <v>657</v>
      </c>
      <c r="AO995" s="43" t="s">
        <v>126</v>
      </c>
      <c r="AP995" s="43" t="s">
        <v>657</v>
      </c>
      <c r="AQ995" s="43" t="s">
        <v>126</v>
      </c>
      <c r="AR995" s="43" t="s">
        <v>657</v>
      </c>
      <c r="AS995" s="43" t="s">
        <v>126</v>
      </c>
      <c r="AT995" s="43" t="s">
        <v>657</v>
      </c>
      <c r="AU995" s="43" t="s">
        <v>126</v>
      </c>
      <c r="XEY995" s="27"/>
      <c r="XEZ995" s="27"/>
      <c r="XFA995" s="27"/>
      <c r="XFB995" s="27"/>
      <c r="XFC995" s="27"/>
      <c r="XFD995" s="27"/>
    </row>
    <row r="996" s="42" customFormat="true" ht="14.15" hidden="false" customHeight="true" outlineLevel="0" collapsed="false">
      <c r="A996" s="28" t="s">
        <v>6162</v>
      </c>
      <c r="B996" s="29" t="s">
        <v>5792</v>
      </c>
      <c r="C996" s="29" t="s">
        <v>6163</v>
      </c>
      <c r="D996" s="30" t="s">
        <v>50</v>
      </c>
      <c r="E996" s="31"/>
      <c r="F996" s="32" t="n">
        <v>46</v>
      </c>
      <c r="G996" s="31" t="s">
        <v>98</v>
      </c>
      <c r="H996" s="31" t="n">
        <v>1</v>
      </c>
      <c r="I996" s="31" t="s">
        <v>197</v>
      </c>
      <c r="J996" s="29"/>
      <c r="K996" s="29" t="s">
        <v>6164</v>
      </c>
      <c r="L996" s="32" t="n">
        <v>87</v>
      </c>
      <c r="M996" s="33" t="s">
        <v>2804</v>
      </c>
      <c r="N996" s="34" t="n">
        <v>75017</v>
      </c>
      <c r="O996" s="35" t="s">
        <v>55</v>
      </c>
      <c r="P996" s="36" t="s">
        <v>6165</v>
      </c>
      <c r="Q996" s="36" t="n">
        <v>1</v>
      </c>
      <c r="R996" s="32" t="n">
        <v>261</v>
      </c>
      <c r="S996" s="32" t="n">
        <v>1</v>
      </c>
      <c r="T996" s="32"/>
      <c r="U996" s="32"/>
      <c r="V996" s="37"/>
      <c r="W996" s="32"/>
      <c r="X996" s="34"/>
      <c r="Y996" s="34"/>
      <c r="Z996" s="36"/>
      <c r="AA996" s="32" t="s">
        <v>6166</v>
      </c>
      <c r="AB996" s="32" t="s">
        <v>6167</v>
      </c>
      <c r="AC996" s="38" t="str">
        <f aca="false">HYPERLINK("https://biocodex6--c.vf.force.com/0014L00000KFiD7QAL", "KANGA YVES")</f>
        <v>KANGA YVES</v>
      </c>
      <c r="AD996" s="38" t="str">
        <f aca="false">HYPERLINK("https://annuairesante.ameli.fr/professionnels-de-sante/recherche/fiche-detaillee-B7c1lDszMzKw.html", "KANGA YVES")</f>
        <v>KANGA YVES</v>
      </c>
      <c r="AE996" s="39"/>
      <c r="AF996" s="40"/>
      <c r="AG996" s="41"/>
      <c r="AH996" s="32" t="s">
        <v>179</v>
      </c>
      <c r="AI996" s="32"/>
      <c r="AL996" s="43" t="s">
        <v>338</v>
      </c>
      <c r="AM996" s="43" t="s">
        <v>137</v>
      </c>
      <c r="AN996" s="43" t="s">
        <v>338</v>
      </c>
      <c r="AO996" s="43" t="s">
        <v>137</v>
      </c>
      <c r="AP996" s="43" t="s">
        <v>338</v>
      </c>
      <c r="AQ996" s="43" t="s">
        <v>137</v>
      </c>
      <c r="AR996" s="43" t="s">
        <v>338</v>
      </c>
      <c r="AS996" s="43" t="s">
        <v>137</v>
      </c>
      <c r="AT996" s="43" t="s">
        <v>338</v>
      </c>
      <c r="AU996" s="43" t="s">
        <v>137</v>
      </c>
      <c r="XEY996" s="27"/>
      <c r="XEZ996" s="27"/>
      <c r="XFA996" s="27"/>
      <c r="XFB996" s="27"/>
      <c r="XFC996" s="27"/>
      <c r="XFD996" s="27"/>
    </row>
    <row r="997" s="42" customFormat="true" ht="14.15" hidden="false" customHeight="true" outlineLevel="0" collapsed="false">
      <c r="A997" s="28" t="s">
        <v>6168</v>
      </c>
      <c r="B997" s="29" t="s">
        <v>170</v>
      </c>
      <c r="C997" s="29" t="s">
        <v>6169</v>
      </c>
      <c r="D997" s="30" t="s">
        <v>50</v>
      </c>
      <c r="E997" s="31"/>
      <c r="F997" s="32" t="n">
        <v>39</v>
      </c>
      <c r="G997" s="31"/>
      <c r="H997" s="31" t="n">
        <v>1</v>
      </c>
      <c r="I997" s="31" t="s">
        <v>387</v>
      </c>
      <c r="J997" s="29"/>
      <c r="K997" s="29" t="s">
        <v>6170</v>
      </c>
      <c r="L997" s="32" t="n">
        <v>11</v>
      </c>
      <c r="M997" s="33" t="s">
        <v>6171</v>
      </c>
      <c r="N997" s="34" t="n">
        <v>75016</v>
      </c>
      <c r="O997" s="35" t="s">
        <v>55</v>
      </c>
      <c r="P997" s="36" t="s">
        <v>6172</v>
      </c>
      <c r="Q997" s="36" t="n">
        <v>2</v>
      </c>
      <c r="R997" s="32" t="n">
        <v>260</v>
      </c>
      <c r="S997" s="32" t="n">
        <v>1</v>
      </c>
      <c r="T997" s="32"/>
      <c r="U997" s="32"/>
      <c r="V997" s="37"/>
      <c r="W997" s="32"/>
      <c r="X997" s="34"/>
      <c r="Y997" s="34"/>
      <c r="Z997" s="36"/>
      <c r="AA997" s="32" t="s">
        <v>6173</v>
      </c>
      <c r="AB997" s="32"/>
      <c r="AC997" s="38" t="str">
        <f aca="false">HYPERLINK("https://biocodex6--c.vf.force.com/0014L00000KFQkMQAX", "ANGLADE CAROLE")</f>
        <v>ANGLADE CAROLE</v>
      </c>
      <c r="AD997" s="38"/>
      <c r="AE997" s="39"/>
      <c r="AF997" s="40"/>
      <c r="AG997" s="41"/>
      <c r="AH997" s="32" t="s">
        <v>179</v>
      </c>
      <c r="AI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XEY997" s="27"/>
      <c r="XEZ997" s="27"/>
      <c r="XFA997" s="27"/>
      <c r="XFB997" s="27"/>
      <c r="XFC997" s="27"/>
      <c r="XFD997" s="27"/>
    </row>
    <row r="998" s="42" customFormat="true" ht="14.15" hidden="false" customHeight="true" outlineLevel="0" collapsed="false">
      <c r="A998" s="28" t="s">
        <v>6174</v>
      </c>
      <c r="B998" s="29" t="s">
        <v>1736</v>
      </c>
      <c r="C998" s="29" t="s">
        <v>6175</v>
      </c>
      <c r="D998" s="30" t="s">
        <v>50</v>
      </c>
      <c r="E998" s="30" t="s">
        <v>421</v>
      </c>
      <c r="F998" s="32" t="n">
        <v>78</v>
      </c>
      <c r="G998" s="31"/>
      <c r="H998" s="31" t="n">
        <v>1</v>
      </c>
      <c r="I998" s="31" t="s">
        <v>51</v>
      </c>
      <c r="J998" s="29" t="s">
        <v>2010</v>
      </c>
      <c r="K998" s="29" t="s">
        <v>2011</v>
      </c>
      <c r="L998" s="32" t="n">
        <v>37</v>
      </c>
      <c r="M998" s="33" t="s">
        <v>2012</v>
      </c>
      <c r="N998" s="34" t="n">
        <v>75015</v>
      </c>
      <c r="O998" s="35" t="s">
        <v>55</v>
      </c>
      <c r="P998" s="36" t="s">
        <v>2013</v>
      </c>
      <c r="Q998" s="36" t="n">
        <v>19</v>
      </c>
      <c r="R998" s="32" t="n">
        <v>259</v>
      </c>
      <c r="S998" s="32" t="n">
        <v>1</v>
      </c>
      <c r="T998" s="32"/>
      <c r="U998" s="32"/>
      <c r="V998" s="37"/>
      <c r="W998" s="32"/>
      <c r="X998" s="34"/>
      <c r="Y998" s="34"/>
      <c r="Z998" s="36"/>
      <c r="AA998" s="32" t="s">
        <v>6176</v>
      </c>
      <c r="AB998" s="32"/>
      <c r="AC998" s="38" t="str">
        <f aca="false">HYPERLINK("https://biocodex6--c.vf.force.com/0014L00000KFTKTQA5", "BILLOT JEAN PAUL")</f>
        <v>BILLOT JEAN PAUL</v>
      </c>
      <c r="AD998" s="38"/>
      <c r="AE998" s="39"/>
      <c r="AF998" s="40"/>
      <c r="AG998" s="41"/>
      <c r="AH998" s="32" t="s">
        <v>179</v>
      </c>
      <c r="AI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XEY998" s="27"/>
      <c r="XEZ998" s="27"/>
      <c r="XFA998" s="27"/>
      <c r="XFB998" s="27"/>
      <c r="XFC998" s="27"/>
      <c r="XFD998" s="27"/>
    </row>
    <row r="999" s="42" customFormat="true" ht="14.15" hidden="false" customHeight="true" outlineLevel="0" collapsed="false">
      <c r="A999" s="28" t="s">
        <v>6177</v>
      </c>
      <c r="B999" s="29" t="s">
        <v>195</v>
      </c>
      <c r="C999" s="29" t="s">
        <v>6178</v>
      </c>
      <c r="D999" s="30" t="s">
        <v>50</v>
      </c>
      <c r="E999" s="31"/>
      <c r="F999" s="32" t="n">
        <v>69</v>
      </c>
      <c r="G999" s="31" t="s">
        <v>215</v>
      </c>
      <c r="H999" s="31" t="n">
        <v>1</v>
      </c>
      <c r="I999" s="31" t="s">
        <v>62</v>
      </c>
      <c r="J999" s="29"/>
      <c r="K999" s="29" t="s">
        <v>6179</v>
      </c>
      <c r="L999" s="32" t="n">
        <v>2</v>
      </c>
      <c r="M999" s="33" t="s">
        <v>1752</v>
      </c>
      <c r="N999" s="34" t="n">
        <v>75017</v>
      </c>
      <c r="O999" s="35" t="s">
        <v>55</v>
      </c>
      <c r="P999" s="36" t="s">
        <v>6180</v>
      </c>
      <c r="Q999" s="36" t="n">
        <v>1</v>
      </c>
      <c r="R999" s="32" t="n">
        <v>259</v>
      </c>
      <c r="S999" s="32" t="n">
        <v>1</v>
      </c>
      <c r="T999" s="32"/>
      <c r="U999" s="32"/>
      <c r="V999" s="37"/>
      <c r="W999" s="32"/>
      <c r="X999" s="34"/>
      <c r="Y999" s="34"/>
      <c r="Z999" s="36"/>
      <c r="AA999" s="32" t="s">
        <v>6181</v>
      </c>
      <c r="AB999" s="32" t="s">
        <v>6182</v>
      </c>
      <c r="AC999" s="38" t="str">
        <f aca="false">HYPERLINK("https://biocodex6--c.vf.force.com/0014L00000KFPGCQA5", "ADAME PHILIPPE")</f>
        <v>ADAME PHILIPPE</v>
      </c>
      <c r="AD999" s="38" t="str">
        <f aca="false">HYPERLINK("https://annuairesante.ameli.fr/professionnels-de-sante/recherche/fiche-detaillee-B7c1ljA5MDCy.html", "ADAME PHILIPPE")</f>
        <v>ADAME PHILIPPE</v>
      </c>
      <c r="AE999" s="39"/>
      <c r="AF999" s="40"/>
      <c r="AG999" s="41"/>
      <c r="AH999" s="32" t="s">
        <v>179</v>
      </c>
      <c r="AI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XEY999" s="27"/>
      <c r="XEZ999" s="27"/>
      <c r="XFA999" s="27"/>
      <c r="XFB999" s="27"/>
      <c r="XFC999" s="27"/>
      <c r="XFD999" s="27"/>
    </row>
    <row r="1000" s="42" customFormat="true" ht="14.15" hidden="false" customHeight="true" outlineLevel="0" collapsed="false">
      <c r="A1000" s="28" t="s">
        <v>6183</v>
      </c>
      <c r="B1000" s="29" t="s">
        <v>6184</v>
      </c>
      <c r="C1000" s="29" t="s">
        <v>6185</v>
      </c>
      <c r="D1000" s="30" t="s">
        <v>50</v>
      </c>
      <c r="E1000" s="30" t="s">
        <v>6186</v>
      </c>
      <c r="F1000" s="32" t="n">
        <v>39</v>
      </c>
      <c r="G1000" s="31" t="s">
        <v>98</v>
      </c>
      <c r="H1000" s="31" t="n">
        <v>3</v>
      </c>
      <c r="I1000" s="31" t="s">
        <v>99</v>
      </c>
      <c r="J1000" s="29"/>
      <c r="K1000" s="29" t="s">
        <v>6187</v>
      </c>
      <c r="L1000" s="32" t="n">
        <v>4</v>
      </c>
      <c r="M1000" s="33" t="s">
        <v>6188</v>
      </c>
      <c r="N1000" s="34" t="n">
        <v>75015</v>
      </c>
      <c r="O1000" s="35" t="s">
        <v>55</v>
      </c>
      <c r="P1000" s="36" t="s">
        <v>6189</v>
      </c>
      <c r="Q1000" s="36" t="n">
        <v>1</v>
      </c>
      <c r="R1000" s="32" t="n">
        <v>258</v>
      </c>
      <c r="S1000" s="32" t="n">
        <v>1</v>
      </c>
      <c r="T1000" s="32"/>
      <c r="U1000" s="32"/>
      <c r="V1000" s="37"/>
      <c r="W1000" s="32"/>
      <c r="X1000" s="34"/>
      <c r="Y1000" s="34"/>
      <c r="Z1000" s="36"/>
      <c r="AA1000" s="32" t="s">
        <v>6190</v>
      </c>
      <c r="AB1000" s="32" t="s">
        <v>6191</v>
      </c>
      <c r="AC1000" s="38" t="str">
        <f aca="false">HYPERLINK("https://biocodex6--c.vf.force.com/0014L00000KFPuAQAX", "SPYCHALA CEDRIC")</f>
        <v>SPYCHALA CEDRIC</v>
      </c>
      <c r="AD1000" s="38" t="str">
        <f aca="false">HYPERLINK("https://annuairesante.ameli.fr/professionnels-de-sante/recherche/fiche-detaillee-B7c1mzY2OTW7.html", "SPYCHALA CEDRIC")</f>
        <v>SPYCHALA CEDRIC</v>
      </c>
      <c r="AE1000" s="39"/>
      <c r="AF1000" s="40"/>
      <c r="AG1000" s="41"/>
      <c r="AH1000" s="32" t="s">
        <v>179</v>
      </c>
      <c r="AI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XEY1000" s="27"/>
      <c r="XEZ1000" s="27"/>
      <c r="XFA1000" s="27"/>
      <c r="XFB1000" s="27"/>
      <c r="XFC1000" s="27"/>
      <c r="XFD1000" s="27"/>
    </row>
    <row r="1001" s="42" customFormat="true" ht="14.15" hidden="false" customHeight="true" outlineLevel="0" collapsed="false">
      <c r="A1001" s="28" t="s">
        <v>6192</v>
      </c>
      <c r="B1001" s="29" t="s">
        <v>6117</v>
      </c>
      <c r="C1001" s="29" t="s">
        <v>6193</v>
      </c>
      <c r="D1001" s="30" t="s">
        <v>50</v>
      </c>
      <c r="E1001" s="30" t="s">
        <v>916</v>
      </c>
      <c r="F1001" s="32" t="n">
        <v>0</v>
      </c>
      <c r="G1001" s="31" t="s">
        <v>98</v>
      </c>
      <c r="H1001" s="31" t="n">
        <v>1</v>
      </c>
      <c r="I1001" s="31" t="s">
        <v>572</v>
      </c>
      <c r="J1001" s="29"/>
      <c r="K1001" s="29" t="s">
        <v>6194</v>
      </c>
      <c r="L1001" s="32" t="n">
        <v>15</v>
      </c>
      <c r="M1001" s="33" t="s">
        <v>6195</v>
      </c>
      <c r="N1001" s="34" t="n">
        <v>75008</v>
      </c>
      <c r="O1001" s="35" t="s">
        <v>55</v>
      </c>
      <c r="P1001" s="36" t="s">
        <v>6196</v>
      </c>
      <c r="Q1001" s="36" t="n">
        <v>1</v>
      </c>
      <c r="R1001" s="32" t="n">
        <v>257</v>
      </c>
      <c r="S1001" s="32" t="n">
        <v>1</v>
      </c>
      <c r="T1001" s="32"/>
      <c r="U1001" s="32"/>
      <c r="V1001" s="37"/>
      <c r="W1001" s="32"/>
      <c r="X1001" s="34"/>
      <c r="Y1001" s="34"/>
      <c r="Z1001" s="36"/>
      <c r="AA1001" s="32" t="s">
        <v>6197</v>
      </c>
      <c r="AB1001" s="32" t="s">
        <v>6198</v>
      </c>
      <c r="AC1001" s="38" t="str">
        <f aca="false">HYPERLINK("https://biocodex6--c.vf.force.com/0014L00000KFeFeQAL", "GRAUZAM REBOT GERALDINE")</f>
        <v>GRAUZAM REBOT GERALDINE</v>
      </c>
      <c r="AD1001" s="38" t="str">
        <f aca="false">HYPERLINK("https://annuairesante.ameli.fr/professionnels-de-sante/recherche/fiche-detaillee-B7c1mzY1NDa6.html", "GRAUZAM REBOT GERALDINE")</f>
        <v>GRAUZAM REBOT GERALDINE</v>
      </c>
      <c r="AE1001" s="39" t="n">
        <v>45257.4166666667</v>
      </c>
      <c r="AF1001" s="40"/>
      <c r="AG1001" s="41"/>
      <c r="AH1001" s="32" t="s">
        <v>179</v>
      </c>
      <c r="AI1001" s="32"/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XEY1001" s="27"/>
      <c r="XEZ1001" s="27"/>
      <c r="XFA1001" s="27"/>
      <c r="XFB1001" s="27"/>
      <c r="XFC1001" s="27"/>
      <c r="XFD1001" s="27"/>
    </row>
    <row r="1002" s="42" customFormat="true" ht="14.15" hidden="false" customHeight="true" outlineLevel="0" collapsed="false">
      <c r="A1002" s="28" t="s">
        <v>6199</v>
      </c>
      <c r="B1002" s="29" t="s">
        <v>1879</v>
      </c>
      <c r="C1002" s="29" t="s">
        <v>6200</v>
      </c>
      <c r="D1002" s="30" t="s">
        <v>112</v>
      </c>
      <c r="E1002" s="31"/>
      <c r="F1002" s="32" t="n">
        <v>48</v>
      </c>
      <c r="G1002" s="31"/>
      <c r="H1002" s="31" t="n">
        <v>1</v>
      </c>
      <c r="I1002" s="31" t="s">
        <v>119</v>
      </c>
      <c r="J1002" s="29"/>
      <c r="K1002" s="29" t="s">
        <v>6201</v>
      </c>
      <c r="L1002" s="32" t="n">
        <v>59</v>
      </c>
      <c r="M1002" s="33" t="s">
        <v>6202</v>
      </c>
      <c r="N1002" s="34" t="n">
        <v>75007</v>
      </c>
      <c r="O1002" s="35" t="s">
        <v>55</v>
      </c>
      <c r="P1002" s="36" t="s">
        <v>6203</v>
      </c>
      <c r="Q1002" s="36" t="n">
        <v>1</v>
      </c>
      <c r="R1002" s="32" t="n">
        <v>257</v>
      </c>
      <c r="S1002" s="32" t="n">
        <v>1</v>
      </c>
      <c r="T1002" s="32"/>
      <c r="U1002" s="32"/>
      <c r="V1002" s="37"/>
      <c r="W1002" s="32"/>
      <c r="X1002" s="34"/>
      <c r="Y1002" s="34"/>
      <c r="Z1002" s="32"/>
      <c r="AA1002" s="32" t="s">
        <v>6204</v>
      </c>
      <c r="AB1002" s="32"/>
      <c r="AC1002" s="38" t="str">
        <f aca="false">HYPERLINK("https://biocodex6--c.vf.force.com/0014L00000KG6kyQAD", "VUILLEMIN MASSIE LUCIE")</f>
        <v>VUILLEMIN MASSIE LUCIE</v>
      </c>
      <c r="AD1002" s="38"/>
      <c r="AE1002" s="39"/>
      <c r="AF1002" s="40"/>
      <c r="AG1002" s="41"/>
      <c r="AH1002" s="32"/>
      <c r="AI1002" s="32"/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XEY1002" s="27"/>
      <c r="XEZ1002" s="27"/>
      <c r="XFA1002" s="27"/>
      <c r="XFB1002" s="27"/>
      <c r="XFC1002" s="27"/>
      <c r="XFD1002" s="27"/>
    </row>
    <row r="1003" s="42" customFormat="true" ht="14.15" hidden="false" customHeight="true" outlineLevel="0" collapsed="false">
      <c r="A1003" s="28" t="s">
        <v>6205</v>
      </c>
      <c r="B1003" s="29" t="s">
        <v>829</v>
      </c>
      <c r="C1003" s="29" t="s">
        <v>6206</v>
      </c>
      <c r="D1003" s="30" t="s">
        <v>244</v>
      </c>
      <c r="E1003" s="30" t="s">
        <v>245</v>
      </c>
      <c r="F1003" s="32" t="n">
        <v>76</v>
      </c>
      <c r="G1003" s="31" t="s">
        <v>215</v>
      </c>
      <c r="H1003" s="31" t="n">
        <v>3</v>
      </c>
      <c r="I1003" s="31" t="s">
        <v>435</v>
      </c>
      <c r="J1003" s="29"/>
      <c r="K1003" s="29" t="s">
        <v>6088</v>
      </c>
      <c r="L1003" s="32" t="n">
        <v>17</v>
      </c>
      <c r="M1003" s="33" t="s">
        <v>1340</v>
      </c>
      <c r="N1003" s="34" t="n">
        <v>75016</v>
      </c>
      <c r="O1003" s="35" t="s">
        <v>55</v>
      </c>
      <c r="P1003" s="36" t="s">
        <v>6207</v>
      </c>
      <c r="Q1003" s="36" t="n">
        <v>3</v>
      </c>
      <c r="R1003" s="32" t="n">
        <v>257</v>
      </c>
      <c r="S1003" s="32" t="n">
        <v>1</v>
      </c>
      <c r="T1003" s="32"/>
      <c r="U1003" s="32"/>
      <c r="V1003" s="37"/>
      <c r="W1003" s="32"/>
      <c r="X1003" s="34"/>
      <c r="Y1003" s="34"/>
      <c r="Z1003" s="36"/>
      <c r="AA1003" s="32" t="s">
        <v>6208</v>
      </c>
      <c r="AB1003" s="32" t="s">
        <v>6209</v>
      </c>
      <c r="AC1003" s="38" t="str">
        <f aca="false">HYPERLINK("https://biocodex6--c.vf.force.com/0014L00000KFZc3QAH", "DELAFONTAINE DIDIER")</f>
        <v>DELAFONTAINE DIDIER</v>
      </c>
      <c r="AD1003" s="38" t="str">
        <f aca="false">HYPERLINK("https://annuairesante.ameli.fr/professionnels-de-sante/recherche/fiche-detaillee-B7c1lTI5Mja7.html", "DELAFONTAINE DIDIER")</f>
        <v>DELAFONTAINE DIDIER</v>
      </c>
      <c r="AE1003" s="39"/>
      <c r="AF1003" s="40"/>
      <c r="AG1003" s="41"/>
      <c r="AH1003" s="32" t="s">
        <v>179</v>
      </c>
      <c r="AI1003" s="32"/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XEY1003" s="27"/>
      <c r="XEZ1003" s="27"/>
      <c r="XFA1003" s="27"/>
      <c r="XFB1003" s="27"/>
      <c r="XFC1003" s="27"/>
      <c r="XFD1003" s="27"/>
    </row>
    <row r="1004" s="42" customFormat="true" ht="14.15" hidden="false" customHeight="true" outlineLevel="0" collapsed="false">
      <c r="A1004" s="28" t="s">
        <v>6210</v>
      </c>
      <c r="B1004" s="29" t="s">
        <v>1460</v>
      </c>
      <c r="C1004" s="29" t="s">
        <v>6211</v>
      </c>
      <c r="D1004" s="30" t="s">
        <v>50</v>
      </c>
      <c r="E1004" s="30" t="s">
        <v>344</v>
      </c>
      <c r="F1004" s="32" t="n">
        <v>61</v>
      </c>
      <c r="G1004" s="31"/>
      <c r="H1004" s="31" t="n">
        <v>1</v>
      </c>
      <c r="I1004" s="31" t="s">
        <v>173</v>
      </c>
      <c r="J1004" s="29"/>
      <c r="K1004" s="29" t="s">
        <v>6212</v>
      </c>
      <c r="L1004" s="32" t="n">
        <v>108</v>
      </c>
      <c r="M1004" s="33" t="s">
        <v>498</v>
      </c>
      <c r="N1004" s="34" t="n">
        <v>75016</v>
      </c>
      <c r="O1004" s="35" t="s">
        <v>55</v>
      </c>
      <c r="P1004" s="36" t="s">
        <v>6213</v>
      </c>
      <c r="Q1004" s="36" t="n">
        <v>1</v>
      </c>
      <c r="R1004" s="32" t="n">
        <v>256</v>
      </c>
      <c r="S1004" s="32" t="n">
        <v>1</v>
      </c>
      <c r="T1004" s="32"/>
      <c r="U1004" s="32"/>
      <c r="V1004" s="37"/>
      <c r="W1004" s="32"/>
      <c r="X1004" s="34"/>
      <c r="Y1004" s="34"/>
      <c r="Z1004" s="36"/>
      <c r="AA1004" s="32" t="s">
        <v>6214</v>
      </c>
      <c r="AB1004" s="32"/>
      <c r="AC1004" s="38" t="str">
        <f aca="false">HYPERLINK("https://biocodex6--c.vf.force.com/0014L00000KFUMDQA5", "BITBOL DJIAN AUDREY")</f>
        <v>BITBOL DJIAN AUDREY</v>
      </c>
      <c r="AD1004" s="38"/>
      <c r="AE1004" s="39"/>
      <c r="AF1004" s="40"/>
      <c r="AG1004" s="41"/>
      <c r="AH1004" s="32" t="s">
        <v>179</v>
      </c>
      <c r="AI1004" s="32"/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XEY1004" s="27"/>
      <c r="XEZ1004" s="27"/>
      <c r="XFA1004" s="27"/>
      <c r="XFB1004" s="27"/>
      <c r="XFC1004" s="27"/>
      <c r="XFD1004" s="27"/>
    </row>
    <row r="1005" s="42" customFormat="true" ht="14.15" hidden="false" customHeight="true" outlineLevel="0" collapsed="false">
      <c r="A1005" s="28" t="s">
        <v>6215</v>
      </c>
      <c r="B1005" s="29" t="s">
        <v>204</v>
      </c>
      <c r="C1005" s="29" t="s">
        <v>6216</v>
      </c>
      <c r="D1005" s="30" t="s">
        <v>50</v>
      </c>
      <c r="E1005" s="31"/>
      <c r="F1005" s="32" t="n">
        <v>0</v>
      </c>
      <c r="G1005" s="31" t="s">
        <v>98</v>
      </c>
      <c r="H1005" s="31" t="n">
        <v>1</v>
      </c>
      <c r="I1005" s="31" t="s">
        <v>387</v>
      </c>
      <c r="J1005" s="29"/>
      <c r="K1005" s="29" t="s">
        <v>6217</v>
      </c>
      <c r="L1005" s="32" t="n">
        <v>44</v>
      </c>
      <c r="M1005" s="33" t="s">
        <v>2419</v>
      </c>
      <c r="N1005" s="34" t="n">
        <v>75016</v>
      </c>
      <c r="O1005" s="35" t="s">
        <v>55</v>
      </c>
      <c r="P1005" s="36" t="s">
        <v>6218</v>
      </c>
      <c r="Q1005" s="36" t="n">
        <v>1</v>
      </c>
      <c r="R1005" s="32" t="n">
        <v>255</v>
      </c>
      <c r="S1005" s="32" t="n">
        <v>1</v>
      </c>
      <c r="T1005" s="32"/>
      <c r="U1005" s="32"/>
      <c r="V1005" s="37"/>
      <c r="W1005" s="32"/>
      <c r="X1005" s="34"/>
      <c r="Y1005" s="34"/>
      <c r="Z1005" s="36"/>
      <c r="AA1005" s="32" t="s">
        <v>6219</v>
      </c>
      <c r="AB1005" s="32" t="s">
        <v>6220</v>
      </c>
      <c r="AC1005" s="38" t="str">
        <f aca="false">HYPERLINK("https://biocodex6--c.vf.force.com/0014L00000KGAHRQA5", "HURTAUD NATHALIE")</f>
        <v>HURTAUD NATHALIE</v>
      </c>
      <c r="AD1005" s="38" t="str">
        <f aca="false">HYPERLINK("https://annuairesante.ameli.fr/professionnels-de-sante/recherche/fiche-detaillee-B7c1mzY0NDC7.html", "HURTAUD NATHALIE")</f>
        <v>HURTAUD NATHALIE</v>
      </c>
      <c r="AE1005" s="39"/>
      <c r="AF1005" s="40"/>
      <c r="AG1005" s="41"/>
      <c r="AH1005" s="32" t="s">
        <v>179</v>
      </c>
      <c r="AI1005" s="32"/>
      <c r="AL1005" s="43" t="s">
        <v>1301</v>
      </c>
      <c r="AM1005" s="43" t="s">
        <v>137</v>
      </c>
      <c r="AN1005" s="43" t="s">
        <v>6221</v>
      </c>
      <c r="AO1005" s="43" t="s">
        <v>126</v>
      </c>
      <c r="AP1005" s="43" t="s">
        <v>6222</v>
      </c>
      <c r="AQ1005" s="43" t="s">
        <v>126</v>
      </c>
      <c r="AR1005" s="43" t="s">
        <v>6223</v>
      </c>
      <c r="AS1005" s="43" t="s">
        <v>126</v>
      </c>
      <c r="AT1005" s="43" t="s">
        <v>6224</v>
      </c>
      <c r="AU1005" s="43" t="s">
        <v>534</v>
      </c>
      <c r="XEY1005" s="27"/>
      <c r="XEZ1005" s="27"/>
      <c r="XFA1005" s="27"/>
      <c r="XFB1005" s="27"/>
      <c r="XFC1005" s="27"/>
      <c r="XFD1005" s="27"/>
    </row>
    <row r="1006" s="42" customFormat="true" ht="14.15" hidden="false" customHeight="true" outlineLevel="0" collapsed="false">
      <c r="A1006" s="28" t="s">
        <v>6225</v>
      </c>
      <c r="B1006" s="29" t="s">
        <v>578</v>
      </c>
      <c r="C1006" s="29" t="s">
        <v>6226</v>
      </c>
      <c r="D1006" s="30" t="s">
        <v>50</v>
      </c>
      <c r="E1006" s="30" t="s">
        <v>421</v>
      </c>
      <c r="F1006" s="32" t="n">
        <v>70</v>
      </c>
      <c r="G1006" s="31"/>
      <c r="H1006" s="31" t="n">
        <v>1</v>
      </c>
      <c r="I1006" s="31" t="s">
        <v>62</v>
      </c>
      <c r="J1006" s="29"/>
      <c r="K1006" s="29" t="s">
        <v>6227</v>
      </c>
      <c r="L1006" s="32" t="n">
        <v>37</v>
      </c>
      <c r="M1006" s="33" t="s">
        <v>833</v>
      </c>
      <c r="N1006" s="34" t="n">
        <v>75017</v>
      </c>
      <c r="O1006" s="35" t="s">
        <v>55</v>
      </c>
      <c r="P1006" s="36" t="s">
        <v>6228</v>
      </c>
      <c r="Q1006" s="36" t="n">
        <v>1</v>
      </c>
      <c r="R1006" s="32" t="n">
        <v>255</v>
      </c>
      <c r="S1006" s="32" t="n">
        <v>1</v>
      </c>
      <c r="T1006" s="32"/>
      <c r="U1006" s="32"/>
      <c r="V1006" s="37"/>
      <c r="W1006" s="32"/>
      <c r="X1006" s="34"/>
      <c r="Y1006" s="34"/>
      <c r="Z1006" s="36"/>
      <c r="AA1006" s="32" t="s">
        <v>6229</v>
      </c>
      <c r="AB1006" s="32"/>
      <c r="AC1006" s="38" t="str">
        <f aca="false">HYPERLINK("https://biocodex6--c.vf.force.com/0014L00000KFQL1QAP", "AMIABLE HERVE")</f>
        <v>AMIABLE HERVE</v>
      </c>
      <c r="AD1006" s="38"/>
      <c r="AE1006" s="39"/>
      <c r="AF1006" s="40"/>
      <c r="AG1006" s="41"/>
      <c r="AH1006" s="32" t="s">
        <v>179</v>
      </c>
      <c r="AI1006" s="32"/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XEY1006" s="27"/>
      <c r="XEZ1006" s="27"/>
      <c r="XFA1006" s="27"/>
      <c r="XFB1006" s="27"/>
      <c r="XFC1006" s="27"/>
      <c r="XFD1006" s="27"/>
    </row>
    <row r="1007" s="42" customFormat="true" ht="14.15" hidden="false" customHeight="true" outlineLevel="0" collapsed="false">
      <c r="A1007" s="28" t="s">
        <v>6230</v>
      </c>
      <c r="B1007" s="29" t="s">
        <v>6231</v>
      </c>
      <c r="C1007" s="29" t="s">
        <v>6232</v>
      </c>
      <c r="D1007" s="30" t="s">
        <v>50</v>
      </c>
      <c r="E1007" s="30" t="s">
        <v>2281</v>
      </c>
      <c r="F1007" s="32" t="n">
        <v>59</v>
      </c>
      <c r="G1007" s="31"/>
      <c r="H1007" s="31" t="n">
        <v>2</v>
      </c>
      <c r="I1007" s="31" t="s">
        <v>77</v>
      </c>
      <c r="J1007" s="29" t="s">
        <v>1528</v>
      </c>
      <c r="K1007" s="29" t="s">
        <v>1529</v>
      </c>
      <c r="L1007" s="32" t="n">
        <v>58</v>
      </c>
      <c r="M1007" s="33" t="s">
        <v>1530</v>
      </c>
      <c r="N1007" s="34" t="n">
        <v>92200</v>
      </c>
      <c r="O1007" s="35" t="s">
        <v>81</v>
      </c>
      <c r="P1007" s="36" t="s">
        <v>1531</v>
      </c>
      <c r="Q1007" s="36" t="n">
        <v>6</v>
      </c>
      <c r="R1007" s="32" t="n">
        <v>255</v>
      </c>
      <c r="S1007" s="32" t="n">
        <v>1</v>
      </c>
      <c r="T1007" s="32"/>
      <c r="U1007" s="32"/>
      <c r="V1007" s="37"/>
      <c r="W1007" s="32"/>
      <c r="X1007" s="34"/>
      <c r="Y1007" s="34"/>
      <c r="Z1007" s="36"/>
      <c r="AA1007" s="32" t="s">
        <v>6233</v>
      </c>
      <c r="AB1007" s="32"/>
      <c r="AC1007" s="38" t="str">
        <f aca="false">HYPERLINK("https://biocodex6--c.vf.force.com/0014L00000KFVnnQAH", "BAMMOUNE ZAHRA")</f>
        <v>BAMMOUNE ZAHRA</v>
      </c>
      <c r="AD1007" s="38"/>
      <c r="AE1007" s="39"/>
      <c r="AF1007" s="40"/>
      <c r="AG1007" s="41"/>
      <c r="AH1007" s="32" t="s">
        <v>179</v>
      </c>
      <c r="AI1007" s="32"/>
      <c r="AL1007" s="32"/>
      <c r="AM1007" s="32"/>
      <c r="AN1007" s="32"/>
      <c r="AO1007" s="32"/>
      <c r="AP1007" s="32"/>
      <c r="AQ1007" s="32"/>
      <c r="AR1007" s="32"/>
      <c r="AS1007" s="32"/>
      <c r="AT1007" s="32"/>
      <c r="AU1007" s="32"/>
      <c r="XEY1007" s="27"/>
      <c r="XEZ1007" s="27"/>
      <c r="XFA1007" s="27"/>
      <c r="XFB1007" s="27"/>
      <c r="XFC1007" s="27"/>
      <c r="XFD1007" s="27"/>
    </row>
    <row r="1008" s="42" customFormat="true" ht="14.15" hidden="false" customHeight="true" outlineLevel="0" collapsed="false">
      <c r="A1008" s="28" t="s">
        <v>6234</v>
      </c>
      <c r="B1008" s="29" t="s">
        <v>1236</v>
      </c>
      <c r="C1008" s="29" t="s">
        <v>6235</v>
      </c>
      <c r="D1008" s="30" t="s">
        <v>244</v>
      </c>
      <c r="E1008" s="30" t="s">
        <v>245</v>
      </c>
      <c r="F1008" s="32" t="n">
        <v>64</v>
      </c>
      <c r="G1008" s="31" t="s">
        <v>215</v>
      </c>
      <c r="H1008" s="31" t="n">
        <v>1</v>
      </c>
      <c r="I1008" s="31" t="s">
        <v>435</v>
      </c>
      <c r="J1008" s="29"/>
      <c r="K1008" s="29" t="s">
        <v>3051</v>
      </c>
      <c r="L1008" s="32" t="n">
        <v>60</v>
      </c>
      <c r="M1008" s="33" t="s">
        <v>2100</v>
      </c>
      <c r="N1008" s="34" t="n">
        <v>75016</v>
      </c>
      <c r="O1008" s="35" t="s">
        <v>55</v>
      </c>
      <c r="P1008" s="50" t="s">
        <v>6236</v>
      </c>
      <c r="Q1008" s="36" t="n">
        <v>2</v>
      </c>
      <c r="R1008" s="32" t="n">
        <v>254</v>
      </c>
      <c r="S1008" s="32" t="n">
        <v>1</v>
      </c>
      <c r="T1008" s="32"/>
      <c r="U1008" s="32" t="n">
        <v>3</v>
      </c>
      <c r="V1008" s="37"/>
      <c r="W1008" s="32" t="n">
        <v>2</v>
      </c>
      <c r="X1008" s="34" t="n">
        <v>1</v>
      </c>
      <c r="Y1008" s="34" t="n">
        <v>2</v>
      </c>
      <c r="Z1008" s="32"/>
      <c r="AA1008" s="32" t="s">
        <v>6237</v>
      </c>
      <c r="AB1008" s="44" t="s">
        <v>6238</v>
      </c>
      <c r="AC1008" s="38" t="str">
        <f aca="false">HYPERLINK("https://biocodex6--c.vf.force.com/0014L00000KFUOaQAP", "BOURET JEAN MARC")</f>
        <v>BOURET JEAN MARC</v>
      </c>
      <c r="AD1008" s="38" t="str">
        <f aca="false">HYPERLINK("https://annuairesante.ameli.fr/professionnels-de-sante/recherche/fiche-detaillee-B7c1lzUyNDC7.html", "BOURET JEAN MARC")</f>
        <v>BOURET JEAN MARC</v>
      </c>
      <c r="AE1008" s="39" t="n">
        <v>45301.6458333333</v>
      </c>
      <c r="AF1008" s="40" t="s">
        <v>6239</v>
      </c>
      <c r="AG1008" s="41" t="s">
        <v>69</v>
      </c>
      <c r="AH1008" s="32" t="s">
        <v>70</v>
      </c>
      <c r="AI1008" s="32"/>
      <c r="AL1008" s="32"/>
      <c r="AM1008" s="32"/>
      <c r="AN1008" s="32"/>
      <c r="AO1008" s="32"/>
      <c r="AP1008" s="32"/>
      <c r="AQ1008" s="32"/>
      <c r="AR1008" s="32"/>
      <c r="AS1008" s="32"/>
      <c r="AT1008" s="32"/>
      <c r="AU1008" s="32"/>
      <c r="XEY1008" s="27"/>
      <c r="XEZ1008" s="27"/>
      <c r="XFA1008" s="27"/>
      <c r="XFB1008" s="27"/>
      <c r="XFC1008" s="27"/>
      <c r="XFD1008" s="27"/>
    </row>
    <row r="1009" s="42" customFormat="true" ht="14.15" hidden="false" customHeight="true" outlineLevel="0" collapsed="false">
      <c r="A1009" s="28" t="s">
        <v>6240</v>
      </c>
      <c r="B1009" s="29" t="s">
        <v>4285</v>
      </c>
      <c r="C1009" s="29" t="s">
        <v>6241</v>
      </c>
      <c r="D1009" s="30" t="s">
        <v>50</v>
      </c>
      <c r="E1009" s="30" t="s">
        <v>421</v>
      </c>
      <c r="F1009" s="32" t="n">
        <v>76</v>
      </c>
      <c r="G1009" s="31"/>
      <c r="H1009" s="31" t="n">
        <v>1</v>
      </c>
      <c r="I1009" s="31" t="s">
        <v>99</v>
      </c>
      <c r="J1009" s="29"/>
      <c r="K1009" s="29" t="s">
        <v>6242</v>
      </c>
      <c r="L1009" s="32" t="n">
        <v>3</v>
      </c>
      <c r="M1009" s="33" t="s">
        <v>6243</v>
      </c>
      <c r="N1009" s="34" t="n">
        <v>75015</v>
      </c>
      <c r="O1009" s="35" t="s">
        <v>55</v>
      </c>
      <c r="P1009" s="36" t="s">
        <v>6244</v>
      </c>
      <c r="Q1009" s="36" t="n">
        <v>1</v>
      </c>
      <c r="R1009" s="32" t="n">
        <v>254</v>
      </c>
      <c r="S1009" s="32" t="n">
        <v>1</v>
      </c>
      <c r="T1009" s="32"/>
      <c r="U1009" s="32"/>
      <c r="V1009" s="37"/>
      <c r="W1009" s="32"/>
      <c r="X1009" s="34"/>
      <c r="Y1009" s="34"/>
      <c r="Z1009" s="36"/>
      <c r="AA1009" s="32" t="s">
        <v>6245</v>
      </c>
      <c r="AB1009" s="32"/>
      <c r="AC1009" s="38" t="str">
        <f aca="false">HYPERLINK("https://biocodex6--c.vf.force.com/0014L00000KFZ7qQAH", "DE KERGUENEC JENNIFER")</f>
        <v>DE KERGUENEC JENNIFER</v>
      </c>
      <c r="AD1009" s="38"/>
      <c r="AE1009" s="39"/>
      <c r="AF1009" s="40"/>
      <c r="AG1009" s="41"/>
      <c r="AH1009" s="32" t="s">
        <v>179</v>
      </c>
      <c r="AI1009" s="32"/>
      <c r="AL1009" s="32"/>
      <c r="AM1009" s="32"/>
      <c r="AN1009" s="32"/>
      <c r="AO1009" s="32"/>
      <c r="AP1009" s="32"/>
      <c r="AQ1009" s="32"/>
      <c r="AR1009" s="32"/>
      <c r="AS1009" s="32"/>
      <c r="AT1009" s="32"/>
      <c r="AU1009" s="32"/>
      <c r="XEY1009" s="27"/>
      <c r="XEZ1009" s="27"/>
      <c r="XFA1009" s="27"/>
      <c r="XFB1009" s="27"/>
      <c r="XFC1009" s="27"/>
      <c r="XFD1009" s="27"/>
    </row>
    <row r="1010" s="42" customFormat="true" ht="14.15" hidden="false" customHeight="true" outlineLevel="0" collapsed="false">
      <c r="A1010" s="28" t="s">
        <v>3563</v>
      </c>
      <c r="B1010" s="29" t="s">
        <v>811</v>
      </c>
      <c r="C1010" s="29" t="s">
        <v>6246</v>
      </c>
      <c r="D1010" s="30" t="s">
        <v>50</v>
      </c>
      <c r="E1010" s="31"/>
      <c r="F1010" s="32" t="n">
        <v>43</v>
      </c>
      <c r="G1010" s="31"/>
      <c r="H1010" s="31" t="n">
        <v>2</v>
      </c>
      <c r="I1010" s="31" t="s">
        <v>62</v>
      </c>
      <c r="J1010" s="29"/>
      <c r="K1010" s="29" t="s">
        <v>6247</v>
      </c>
      <c r="L1010" s="32" t="n">
        <v>27</v>
      </c>
      <c r="M1010" s="33" t="s">
        <v>6248</v>
      </c>
      <c r="N1010" s="34" t="n">
        <v>75017</v>
      </c>
      <c r="O1010" s="35" t="s">
        <v>55</v>
      </c>
      <c r="P1010" s="36" t="s">
        <v>6249</v>
      </c>
      <c r="Q1010" s="36" t="n">
        <v>1</v>
      </c>
      <c r="R1010" s="32" t="n">
        <v>254</v>
      </c>
      <c r="S1010" s="32" t="n">
        <v>1</v>
      </c>
      <c r="T1010" s="32"/>
      <c r="U1010" s="32"/>
      <c r="V1010" s="37"/>
      <c r="W1010" s="32"/>
      <c r="X1010" s="34"/>
      <c r="Y1010" s="34"/>
      <c r="Z1010" s="36"/>
      <c r="AA1010" s="32" t="s">
        <v>6250</v>
      </c>
      <c r="AB1010" s="32"/>
      <c r="AC1010" s="38" t="str">
        <f aca="false">HYPERLINK("https://biocodex6--c.vf.force.com/0014L00000KFoIyQAL", "LAMY VERONIQUE")</f>
        <v>LAMY VERONIQUE</v>
      </c>
      <c r="AD1010" s="38"/>
      <c r="AE1010" s="39"/>
      <c r="AF1010" s="40"/>
      <c r="AG1010" s="41"/>
      <c r="AH1010" s="32" t="s">
        <v>179</v>
      </c>
      <c r="AI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XEY1010" s="27"/>
      <c r="XEZ1010" s="27"/>
      <c r="XFA1010" s="27"/>
      <c r="XFB1010" s="27"/>
      <c r="XFC1010" s="27"/>
      <c r="XFD1010" s="27"/>
    </row>
    <row r="1011" s="42" customFormat="true" ht="14.15" hidden="false" customHeight="true" outlineLevel="0" collapsed="false">
      <c r="A1011" s="28" t="s">
        <v>6251</v>
      </c>
      <c r="B1011" s="29" t="s">
        <v>142</v>
      </c>
      <c r="C1011" s="29" t="s">
        <v>6252</v>
      </c>
      <c r="D1011" s="30" t="s">
        <v>50</v>
      </c>
      <c r="E1011" s="30" t="s">
        <v>255</v>
      </c>
      <c r="F1011" s="32" t="n">
        <v>75</v>
      </c>
      <c r="G1011" s="31" t="s">
        <v>215</v>
      </c>
      <c r="H1011" s="31" t="n">
        <v>1</v>
      </c>
      <c r="I1011" s="31" t="s">
        <v>173</v>
      </c>
      <c r="J1011" s="29"/>
      <c r="K1011" s="29" t="s">
        <v>1347</v>
      </c>
      <c r="L1011" s="32" t="n">
        <v>6</v>
      </c>
      <c r="M1011" s="33" t="s">
        <v>1348</v>
      </c>
      <c r="N1011" s="34" t="n">
        <v>75016</v>
      </c>
      <c r="O1011" s="35" t="s">
        <v>55</v>
      </c>
      <c r="P1011" s="36" t="s">
        <v>6253</v>
      </c>
      <c r="Q1011" s="36" t="n">
        <v>1</v>
      </c>
      <c r="R1011" s="32" t="n">
        <v>254</v>
      </c>
      <c r="S1011" s="32" t="n">
        <v>1</v>
      </c>
      <c r="T1011" s="32"/>
      <c r="U1011" s="32"/>
      <c r="V1011" s="37"/>
      <c r="W1011" s="32"/>
      <c r="X1011" s="34"/>
      <c r="Y1011" s="34"/>
      <c r="Z1011" s="32"/>
      <c r="AA1011" s="32" t="s">
        <v>6254</v>
      </c>
      <c r="AB1011" s="32" t="s">
        <v>6255</v>
      </c>
      <c r="AC1011" s="38" t="str">
        <f aca="false">HYPERLINK("https://biocodex6--c.vf.force.com/0014L00000KG00YQAT", "SABA MICHEL")</f>
        <v>SABA MICHEL</v>
      </c>
      <c r="AD1011" s="38" t="str">
        <f aca="false">HYPERLINK("https://annuairesante.ameli.fr/professionnels-de-sante/recherche/fiche-detaillee-B7c1kTo5Mjqz.html", "SABA MICHEL")</f>
        <v>SABA MICHEL</v>
      </c>
      <c r="AE1011" s="39"/>
      <c r="AF1011" s="40"/>
      <c r="AG1011" s="41"/>
      <c r="AH1011" s="32"/>
      <c r="AI1011" s="32"/>
      <c r="AL1011" s="43" t="s">
        <v>657</v>
      </c>
      <c r="AM1011" s="43" t="s">
        <v>137</v>
      </c>
      <c r="AN1011" s="32"/>
      <c r="AO1011" s="43" t="s">
        <v>126</v>
      </c>
      <c r="AP1011" s="43" t="s">
        <v>474</v>
      </c>
      <c r="AQ1011" s="43" t="s">
        <v>137</v>
      </c>
      <c r="AR1011" s="43" t="s">
        <v>338</v>
      </c>
      <c r="AS1011" s="32"/>
      <c r="AT1011" s="32"/>
      <c r="AU1011" s="32"/>
      <c r="XEY1011" s="27"/>
      <c r="XEZ1011" s="27"/>
      <c r="XFA1011" s="27"/>
      <c r="XFB1011" s="27"/>
      <c r="XFC1011" s="27"/>
      <c r="XFD1011" s="27"/>
    </row>
    <row r="1012" s="42" customFormat="true" ht="14.15" hidden="false" customHeight="true" outlineLevel="0" collapsed="false">
      <c r="A1012" s="28" t="s">
        <v>6256</v>
      </c>
      <c r="B1012" s="29" t="s">
        <v>2043</v>
      </c>
      <c r="C1012" s="29" t="s">
        <v>6257</v>
      </c>
      <c r="D1012" s="30" t="s">
        <v>50</v>
      </c>
      <c r="E1012" s="30" t="s">
        <v>421</v>
      </c>
      <c r="F1012" s="32" t="n">
        <v>68</v>
      </c>
      <c r="G1012" s="31" t="s">
        <v>98</v>
      </c>
      <c r="H1012" s="31" t="n">
        <v>1</v>
      </c>
      <c r="I1012" s="31" t="s">
        <v>233</v>
      </c>
      <c r="J1012" s="29"/>
      <c r="K1012" s="29" t="s">
        <v>6258</v>
      </c>
      <c r="L1012" s="32" t="n">
        <v>5</v>
      </c>
      <c r="M1012" s="33" t="s">
        <v>6259</v>
      </c>
      <c r="N1012" s="34" t="n">
        <v>75015</v>
      </c>
      <c r="O1012" s="35" t="s">
        <v>55</v>
      </c>
      <c r="P1012" s="36" t="s">
        <v>6260</v>
      </c>
      <c r="Q1012" s="36" t="n">
        <v>1</v>
      </c>
      <c r="R1012" s="32" t="n">
        <v>254</v>
      </c>
      <c r="S1012" s="32" t="n">
        <v>1</v>
      </c>
      <c r="T1012" s="32"/>
      <c r="U1012" s="32"/>
      <c r="V1012" s="37"/>
      <c r="W1012" s="32"/>
      <c r="X1012" s="34"/>
      <c r="Y1012" s="34"/>
      <c r="Z1012" s="36"/>
      <c r="AA1012" s="32" t="s">
        <v>6261</v>
      </c>
      <c r="AB1012" s="32" t="s">
        <v>6262</v>
      </c>
      <c r="AC1012" s="38" t="str">
        <f aca="false">HYPERLINK("https://biocodex6--c.vf.force.com/0014L00000KFlZxQAL", "LAHAYE PEREZ ELODIE")</f>
        <v>LAHAYE PEREZ ELODIE</v>
      </c>
      <c r="AD1012" s="38" t="str">
        <f aca="false">HYPERLINK("https://annuairesante.ameli.fr/professionnels-de-sante/recherche/fiche-detaillee-B7c1mzE2NTS0.html", "LAHAYE PEREZ ELODIE")</f>
        <v>LAHAYE PEREZ ELODIE</v>
      </c>
      <c r="AE1012" s="39"/>
      <c r="AF1012" s="40"/>
      <c r="AG1012" s="41"/>
      <c r="AH1012" s="32" t="s">
        <v>179</v>
      </c>
      <c r="AI1012" s="32"/>
      <c r="AL1012" s="32"/>
      <c r="AM1012" s="32"/>
      <c r="AN1012" s="32"/>
      <c r="AO1012" s="32"/>
      <c r="AP1012" s="32"/>
      <c r="AQ1012" s="32"/>
      <c r="AR1012" s="32"/>
      <c r="AS1012" s="32"/>
      <c r="AT1012" s="32"/>
      <c r="AU1012" s="32"/>
      <c r="XEY1012" s="27"/>
      <c r="XEZ1012" s="27"/>
      <c r="XFA1012" s="27"/>
      <c r="XFB1012" s="27"/>
      <c r="XFC1012" s="27"/>
      <c r="XFD1012" s="27"/>
    </row>
    <row r="1013" s="42" customFormat="true" ht="14.15" hidden="false" customHeight="true" outlineLevel="0" collapsed="false">
      <c r="A1013" s="28" t="s">
        <v>6263</v>
      </c>
      <c r="B1013" s="29" t="s">
        <v>1135</v>
      </c>
      <c r="C1013" s="29" t="s">
        <v>6264</v>
      </c>
      <c r="D1013" s="30" t="s">
        <v>268</v>
      </c>
      <c r="E1013" s="31"/>
      <c r="F1013" s="32" t="n">
        <v>37</v>
      </c>
      <c r="G1013" s="31"/>
      <c r="H1013" s="31" t="n">
        <v>1</v>
      </c>
      <c r="I1013" s="31" t="s">
        <v>173</v>
      </c>
      <c r="J1013" s="29"/>
      <c r="K1013" s="29" t="s">
        <v>6265</v>
      </c>
      <c r="L1013" s="32" t="n">
        <v>175</v>
      </c>
      <c r="M1013" s="33" t="s">
        <v>1340</v>
      </c>
      <c r="N1013" s="34" t="n">
        <v>75016</v>
      </c>
      <c r="O1013" s="35" t="s">
        <v>55</v>
      </c>
      <c r="P1013" s="36" t="s">
        <v>6266</v>
      </c>
      <c r="Q1013" s="36" t="n">
        <v>1</v>
      </c>
      <c r="R1013" s="32" t="n">
        <v>253</v>
      </c>
      <c r="S1013" s="32" t="n">
        <v>1</v>
      </c>
      <c r="T1013" s="32"/>
      <c r="U1013" s="32"/>
      <c r="V1013" s="37"/>
      <c r="W1013" s="32"/>
      <c r="X1013" s="34"/>
      <c r="Y1013" s="34"/>
      <c r="Z1013" s="32"/>
      <c r="AA1013" s="32" t="s">
        <v>6267</v>
      </c>
      <c r="AB1013" s="32"/>
      <c r="AC1013" s="38" t="str">
        <f aca="false">HYPERLINK("https://biocodex6--c.vf.force.com/0014L00000KFNPgQAP", "GIRARD STEIN LAURA")</f>
        <v>GIRARD STEIN LAURA</v>
      </c>
      <c r="AD1013" s="38"/>
      <c r="AE1013" s="39"/>
      <c r="AF1013" s="40"/>
      <c r="AG1013" s="41"/>
      <c r="AH1013" s="32"/>
      <c r="AI1013" s="32"/>
      <c r="AL1013" s="32"/>
      <c r="AM1013" s="32"/>
      <c r="AN1013" s="32"/>
      <c r="AO1013" s="32"/>
      <c r="AP1013" s="32"/>
      <c r="AQ1013" s="32"/>
      <c r="AR1013" s="32"/>
      <c r="AS1013" s="32"/>
      <c r="AT1013" s="32"/>
      <c r="AU1013" s="32"/>
      <c r="XEY1013" s="27"/>
      <c r="XEZ1013" s="27"/>
      <c r="XFA1013" s="27"/>
      <c r="XFB1013" s="27"/>
      <c r="XFC1013" s="27"/>
      <c r="XFD1013" s="27"/>
    </row>
    <row r="1014" s="42" customFormat="true" ht="14.15" hidden="false" customHeight="true" outlineLevel="0" collapsed="false">
      <c r="A1014" s="28" t="s">
        <v>6268</v>
      </c>
      <c r="B1014" s="29" t="s">
        <v>2633</v>
      </c>
      <c r="C1014" s="29" t="s">
        <v>6269</v>
      </c>
      <c r="D1014" s="30" t="s">
        <v>50</v>
      </c>
      <c r="E1014" s="30" t="s">
        <v>916</v>
      </c>
      <c r="F1014" s="32" t="n">
        <v>47</v>
      </c>
      <c r="G1014" s="31"/>
      <c r="H1014" s="31" t="n">
        <v>2</v>
      </c>
      <c r="I1014" s="31" t="s">
        <v>387</v>
      </c>
      <c r="J1014" s="29" t="s">
        <v>2266</v>
      </c>
      <c r="K1014" s="29" t="s">
        <v>2267</v>
      </c>
      <c r="L1014" s="32" t="n">
        <v>14</v>
      </c>
      <c r="M1014" s="33" t="s">
        <v>2268</v>
      </c>
      <c r="N1014" s="34" t="n">
        <v>75016</v>
      </c>
      <c r="O1014" s="35" t="s">
        <v>55</v>
      </c>
      <c r="P1014" s="36"/>
      <c r="Q1014" s="36" t="n">
        <v>6</v>
      </c>
      <c r="R1014" s="32" t="n">
        <v>252</v>
      </c>
      <c r="S1014" s="32" t="n">
        <v>1</v>
      </c>
      <c r="T1014" s="32"/>
      <c r="U1014" s="32"/>
      <c r="V1014" s="37"/>
      <c r="W1014" s="32"/>
      <c r="X1014" s="34"/>
      <c r="Y1014" s="34"/>
      <c r="Z1014" s="36"/>
      <c r="AA1014" s="32" t="s">
        <v>6270</v>
      </c>
      <c r="AB1014" s="32"/>
      <c r="AC1014" s="38" t="str">
        <f aca="false">HYPERLINK("https://biocodex6--c.vf.force.com/0014L00000KG3BLQA1", "DE FRESCHEVILLE FREDERIQUE")</f>
        <v>DE FRESCHEVILLE FREDERIQUE</v>
      </c>
      <c r="AD1014" s="38"/>
      <c r="AE1014" s="39"/>
      <c r="AF1014" s="40"/>
      <c r="AG1014" s="41"/>
      <c r="AH1014" s="32" t="s">
        <v>179</v>
      </c>
      <c r="AI1014" s="32"/>
      <c r="AL1014" s="32"/>
      <c r="AM1014" s="32"/>
      <c r="AN1014" s="32"/>
      <c r="AO1014" s="32"/>
      <c r="AP1014" s="32"/>
      <c r="AQ1014" s="32"/>
      <c r="AR1014" s="32"/>
      <c r="AS1014" s="32"/>
      <c r="AT1014" s="32"/>
      <c r="AU1014" s="32"/>
      <c r="XEY1014" s="27"/>
      <c r="XEZ1014" s="27"/>
      <c r="XFA1014" s="27"/>
      <c r="XFB1014" s="27"/>
      <c r="XFC1014" s="27"/>
      <c r="XFD1014" s="27"/>
    </row>
    <row r="1015" s="42" customFormat="true" ht="14.15" hidden="false" customHeight="true" outlineLevel="0" collapsed="false">
      <c r="A1015" s="28" t="s">
        <v>6271</v>
      </c>
      <c r="B1015" s="29" t="s">
        <v>2750</v>
      </c>
      <c r="C1015" s="29" t="s">
        <v>6272</v>
      </c>
      <c r="D1015" s="30" t="s">
        <v>50</v>
      </c>
      <c r="E1015" s="30" t="s">
        <v>1228</v>
      </c>
      <c r="F1015" s="32" t="n">
        <v>56</v>
      </c>
      <c r="G1015" s="31"/>
      <c r="H1015" s="31" t="n">
        <v>1</v>
      </c>
      <c r="I1015" s="31" t="s">
        <v>572</v>
      </c>
      <c r="J1015" s="29"/>
      <c r="K1015" s="29" t="s">
        <v>6273</v>
      </c>
      <c r="L1015" s="32" t="n">
        <v>19</v>
      </c>
      <c r="M1015" s="33" t="s">
        <v>4874</v>
      </c>
      <c r="N1015" s="34" t="n">
        <v>75008</v>
      </c>
      <c r="O1015" s="35" t="s">
        <v>55</v>
      </c>
      <c r="P1015" s="36" t="s">
        <v>6274</v>
      </c>
      <c r="Q1015" s="36" t="n">
        <v>1</v>
      </c>
      <c r="R1015" s="32" t="n">
        <v>252</v>
      </c>
      <c r="S1015" s="32" t="n">
        <v>1</v>
      </c>
      <c r="T1015" s="32"/>
      <c r="U1015" s="32"/>
      <c r="V1015" s="37"/>
      <c r="W1015" s="32"/>
      <c r="X1015" s="34"/>
      <c r="Y1015" s="34"/>
      <c r="Z1015" s="36"/>
      <c r="AA1015" s="32" t="s">
        <v>6275</v>
      </c>
      <c r="AB1015" s="32"/>
      <c r="AC1015" s="38" t="str">
        <f aca="false">HYPERLINK("https://biocodex6--c.vf.force.com/0014L00000KG3F0QAL", "TAIFOR FATIMA")</f>
        <v>TAIFOR FATIMA</v>
      </c>
      <c r="AD1015" s="38"/>
      <c r="AE1015" s="39"/>
      <c r="AF1015" s="40"/>
      <c r="AG1015" s="41"/>
      <c r="AH1015" s="32" t="s">
        <v>179</v>
      </c>
      <c r="AI1015" s="32"/>
      <c r="AL1015" s="32"/>
      <c r="AM1015" s="32"/>
      <c r="AN1015" s="32"/>
      <c r="AO1015" s="32"/>
      <c r="AP1015" s="32"/>
      <c r="AQ1015" s="32"/>
      <c r="AR1015" s="32"/>
      <c r="AS1015" s="32"/>
      <c r="AT1015" s="32"/>
      <c r="AU1015" s="43" t="s">
        <v>866</v>
      </c>
      <c r="XEY1015" s="27"/>
      <c r="XEZ1015" s="27"/>
      <c r="XFA1015" s="27"/>
      <c r="XFB1015" s="27"/>
      <c r="XFC1015" s="27"/>
      <c r="XFD1015" s="27"/>
    </row>
    <row r="1016" s="42" customFormat="true" ht="14.15" hidden="false" customHeight="true" outlineLevel="0" collapsed="false">
      <c r="A1016" s="28" t="s">
        <v>6276</v>
      </c>
      <c r="B1016" s="29" t="s">
        <v>242</v>
      </c>
      <c r="C1016" s="29" t="s">
        <v>6277</v>
      </c>
      <c r="D1016" s="30" t="s">
        <v>112</v>
      </c>
      <c r="E1016" s="30" t="s">
        <v>245</v>
      </c>
      <c r="F1016" s="32" t="n">
        <v>74</v>
      </c>
      <c r="G1016" s="31" t="s">
        <v>1466</v>
      </c>
      <c r="H1016" s="31" t="n">
        <v>1</v>
      </c>
      <c r="I1016" s="31" t="s">
        <v>119</v>
      </c>
      <c r="J1016" s="29"/>
      <c r="K1016" s="29" t="s">
        <v>6278</v>
      </c>
      <c r="L1016" s="32" t="n">
        <v>31</v>
      </c>
      <c r="M1016" s="33" t="s">
        <v>3677</v>
      </c>
      <c r="N1016" s="34" t="n">
        <v>75007</v>
      </c>
      <c r="O1016" s="35" t="s">
        <v>55</v>
      </c>
      <c r="P1016" s="36" t="s">
        <v>6279</v>
      </c>
      <c r="Q1016" s="36" t="n">
        <v>1</v>
      </c>
      <c r="R1016" s="32" t="n">
        <v>252</v>
      </c>
      <c r="S1016" s="32" t="n">
        <v>1</v>
      </c>
      <c r="T1016" s="32"/>
      <c r="U1016" s="32"/>
      <c r="V1016" s="37"/>
      <c r="W1016" s="32"/>
      <c r="X1016" s="34"/>
      <c r="Y1016" s="34"/>
      <c r="Z1016" s="36"/>
      <c r="AA1016" s="32" t="s">
        <v>6280</v>
      </c>
      <c r="AB1016" s="32" t="s">
        <v>6281</v>
      </c>
      <c r="AC1016" s="38" t="str">
        <f aca="false">HYPERLINK("https://biocodex6--c.vf.force.com/0014L00000KFmatQAD", "LE BIDOIS JEROME")</f>
        <v>LE BIDOIS JEROME</v>
      </c>
      <c r="AD1016" s="38" t="str">
        <f aca="false">HYPERLINK("https://annuairesante.ameli.fr/professionnels-de-sante/recherche/fiche-detaillee-B7c1lTM4NDKw.html", "LE BIDOIS JEROME")</f>
        <v>LE BIDOIS JEROME</v>
      </c>
      <c r="AE1016" s="39"/>
      <c r="AF1016" s="40"/>
      <c r="AG1016" s="41"/>
      <c r="AH1016" s="32" t="s">
        <v>179</v>
      </c>
      <c r="AI1016" s="32"/>
      <c r="AL1016" s="43" t="s">
        <v>1065</v>
      </c>
      <c r="AM1016" s="32"/>
      <c r="AN1016" s="43" t="s">
        <v>1065</v>
      </c>
      <c r="AO1016" s="32"/>
      <c r="AP1016" s="32"/>
      <c r="AQ1016" s="43" t="s">
        <v>137</v>
      </c>
      <c r="AR1016" s="32"/>
      <c r="AS1016" s="43" t="s">
        <v>137</v>
      </c>
      <c r="AT1016" s="43" t="s">
        <v>1065</v>
      </c>
      <c r="AU1016" s="32"/>
      <c r="XEY1016" s="27"/>
      <c r="XEZ1016" s="27"/>
      <c r="XFA1016" s="27"/>
      <c r="XFB1016" s="27"/>
      <c r="XFC1016" s="27"/>
      <c r="XFD1016" s="27"/>
    </row>
    <row r="1017" s="42" customFormat="true" ht="14.15" hidden="false" customHeight="true" outlineLevel="0" collapsed="false">
      <c r="A1017" s="28" t="s">
        <v>6282</v>
      </c>
      <c r="B1017" s="29" t="s">
        <v>1766</v>
      </c>
      <c r="C1017" s="29" t="s">
        <v>6283</v>
      </c>
      <c r="D1017" s="30" t="s">
        <v>50</v>
      </c>
      <c r="E1017" s="31"/>
      <c r="F1017" s="32" t="n">
        <v>73</v>
      </c>
      <c r="G1017" s="31" t="s">
        <v>61</v>
      </c>
      <c r="H1017" s="31" t="n">
        <v>1</v>
      </c>
      <c r="I1017" s="31" t="s">
        <v>51</v>
      </c>
      <c r="J1017" s="29"/>
      <c r="K1017" s="29" t="s">
        <v>6284</v>
      </c>
      <c r="L1017" s="32" t="n">
        <v>25</v>
      </c>
      <c r="M1017" s="33" t="s">
        <v>2387</v>
      </c>
      <c r="N1017" s="34" t="n">
        <v>75015</v>
      </c>
      <c r="O1017" s="35" t="s">
        <v>55</v>
      </c>
      <c r="P1017" s="36" t="s">
        <v>6285</v>
      </c>
      <c r="Q1017" s="36" t="n">
        <v>1</v>
      </c>
      <c r="R1017" s="32" t="n">
        <v>252</v>
      </c>
      <c r="S1017" s="32" t="n">
        <v>1</v>
      </c>
      <c r="T1017" s="32"/>
      <c r="U1017" s="32"/>
      <c r="V1017" s="37"/>
      <c r="W1017" s="32"/>
      <c r="X1017" s="34"/>
      <c r="Y1017" s="34"/>
      <c r="Z1017" s="32"/>
      <c r="AA1017" s="32" t="s">
        <v>6286</v>
      </c>
      <c r="AB1017" s="32" t="s">
        <v>6287</v>
      </c>
      <c r="AC1017" s="38" t="str">
        <f aca="false">HYPERLINK("https://biocodex6--c.vf.force.com/0014L00000KFlFTQA1", "LACANT FRANCOIS")</f>
        <v>LACANT FRANCOIS</v>
      </c>
      <c r="AD1017" s="38" t="str">
        <f aca="false">HYPERLINK("https://annuairesante.ameli.fr/professionnels-de-sante/recherche/fiche-detaillee-B7c1kToxMDGz.html", "LACANT FRANCOIS")</f>
        <v>LACANT FRANCOIS</v>
      </c>
      <c r="AE1017" s="39"/>
      <c r="AF1017" s="40"/>
      <c r="AG1017" s="41"/>
      <c r="AH1017" s="32"/>
      <c r="AI1017" s="32"/>
      <c r="AL1017" s="32"/>
      <c r="AM1017" s="32"/>
      <c r="AN1017" s="32"/>
      <c r="AO1017" s="32"/>
      <c r="AP1017" s="32"/>
      <c r="AQ1017" s="32"/>
      <c r="AR1017" s="32"/>
      <c r="AS1017" s="32"/>
      <c r="AT1017" s="32"/>
      <c r="AU1017" s="32"/>
      <c r="XEY1017" s="27"/>
      <c r="XEZ1017" s="27"/>
      <c r="XFA1017" s="27"/>
      <c r="XFB1017" s="27"/>
      <c r="XFC1017" s="27"/>
      <c r="XFD1017" s="27"/>
    </row>
    <row r="1018" s="42" customFormat="true" ht="14.15" hidden="false" customHeight="true" outlineLevel="0" collapsed="false">
      <c r="A1018" s="28" t="s">
        <v>6288</v>
      </c>
      <c r="B1018" s="29" t="s">
        <v>320</v>
      </c>
      <c r="C1018" s="29" t="s">
        <v>6289</v>
      </c>
      <c r="D1018" s="30" t="s">
        <v>50</v>
      </c>
      <c r="E1018" s="30" t="s">
        <v>831</v>
      </c>
      <c r="F1018" s="32" t="n">
        <v>78</v>
      </c>
      <c r="G1018" s="31" t="s">
        <v>215</v>
      </c>
      <c r="H1018" s="31" t="n">
        <v>1</v>
      </c>
      <c r="I1018" s="31" t="s">
        <v>435</v>
      </c>
      <c r="J1018" s="29"/>
      <c r="K1018" s="29" t="s">
        <v>6290</v>
      </c>
      <c r="L1018" s="32" t="n">
        <v>11</v>
      </c>
      <c r="M1018" s="33" t="s">
        <v>6291</v>
      </c>
      <c r="N1018" s="34" t="n">
        <v>75016</v>
      </c>
      <c r="O1018" s="35" t="s">
        <v>55</v>
      </c>
      <c r="P1018" s="36" t="s">
        <v>6292</v>
      </c>
      <c r="Q1018" s="36" t="n">
        <v>1</v>
      </c>
      <c r="R1018" s="32" t="n">
        <v>252</v>
      </c>
      <c r="S1018" s="32" t="n">
        <v>1</v>
      </c>
      <c r="T1018" s="32"/>
      <c r="U1018" s="32"/>
      <c r="V1018" s="37"/>
      <c r="W1018" s="32"/>
      <c r="X1018" s="34"/>
      <c r="Y1018" s="34"/>
      <c r="Z1018" s="36"/>
      <c r="AA1018" s="32" t="s">
        <v>6293</v>
      </c>
      <c r="AB1018" s="32" t="s">
        <v>6294</v>
      </c>
      <c r="AC1018" s="38" t="str">
        <f aca="false">HYPERLINK("https://biocodex6--c.vf.force.com/0014L00000KFxT3QAL", "RAFAL SERGE")</f>
        <v>RAFAL SERGE</v>
      </c>
      <c r="AD1018" s="38" t="str">
        <f aca="false">HYPERLINK("https://annuairesante.ameli.fr/professionnels-de-sante/recherche/fiche-detaillee-B7c1kTI0OTa1.html", "RAFAL SERGE")</f>
        <v>RAFAL SERGE</v>
      </c>
      <c r="AE1018" s="39"/>
      <c r="AF1018" s="40"/>
      <c r="AG1018" s="41"/>
      <c r="AH1018" s="32" t="s">
        <v>179</v>
      </c>
      <c r="AI1018" s="32"/>
      <c r="AL1018" s="32"/>
      <c r="AM1018" s="32"/>
      <c r="AN1018" s="32"/>
      <c r="AO1018" s="32"/>
      <c r="AP1018" s="32"/>
      <c r="AQ1018" s="32"/>
      <c r="AR1018" s="32"/>
      <c r="AS1018" s="32"/>
      <c r="AT1018" s="32"/>
      <c r="AU1018" s="32"/>
      <c r="XEY1018" s="27"/>
      <c r="XEZ1018" s="27"/>
      <c r="XFA1018" s="27"/>
      <c r="XFB1018" s="27"/>
      <c r="XFC1018" s="27"/>
      <c r="XFD1018" s="27"/>
    </row>
    <row r="1019" s="42" customFormat="true" ht="14.15" hidden="false" customHeight="true" outlineLevel="0" collapsed="false">
      <c r="A1019" s="28" t="s">
        <v>5515</v>
      </c>
      <c r="B1019" s="29" t="s">
        <v>710</v>
      </c>
      <c r="C1019" s="29" t="s">
        <v>6295</v>
      </c>
      <c r="D1019" s="30" t="s">
        <v>50</v>
      </c>
      <c r="E1019" s="31"/>
      <c r="F1019" s="32" t="n">
        <v>37</v>
      </c>
      <c r="G1019" s="31" t="s">
        <v>215</v>
      </c>
      <c r="H1019" s="31" t="n">
        <v>1</v>
      </c>
      <c r="I1019" s="31" t="s">
        <v>62</v>
      </c>
      <c r="J1019" s="29"/>
      <c r="K1019" s="29" t="s">
        <v>3094</v>
      </c>
      <c r="L1019" s="32" t="n">
        <v>4</v>
      </c>
      <c r="M1019" s="33" t="s">
        <v>3095</v>
      </c>
      <c r="N1019" s="34" t="n">
        <v>75017</v>
      </c>
      <c r="O1019" s="35" t="s">
        <v>55</v>
      </c>
      <c r="P1019" s="36" t="s">
        <v>3096</v>
      </c>
      <c r="Q1019" s="36" t="n">
        <v>3</v>
      </c>
      <c r="R1019" s="32" t="n">
        <v>251</v>
      </c>
      <c r="S1019" s="32" t="n">
        <v>1</v>
      </c>
      <c r="T1019" s="32"/>
      <c r="U1019" s="32"/>
      <c r="V1019" s="37"/>
      <c r="W1019" s="32"/>
      <c r="X1019" s="34"/>
      <c r="Y1019" s="34"/>
      <c r="Z1019" s="36"/>
      <c r="AA1019" s="32" t="s">
        <v>6296</v>
      </c>
      <c r="AB1019" s="32" t="s">
        <v>6297</v>
      </c>
      <c r="AC1019" s="38" t="str">
        <f aca="false">HYPERLINK("https://biocodex6--c.vf.force.com/0014L00000KG7wiQAD", "NIZARD ALEXIS")</f>
        <v>NIZARD ALEXIS</v>
      </c>
      <c r="AD1019" s="38" t="str">
        <f aca="false">HYPERLINK("https://annuairesante.ameli.fr/professionnels-de-sante/recherche/fiche-detaillee-B7c1lTY1MTa3.html", "NIZARD ALEXIS")</f>
        <v>NIZARD ALEXIS</v>
      </c>
      <c r="AE1019" s="39"/>
      <c r="AF1019" s="40"/>
      <c r="AG1019" s="41"/>
      <c r="AH1019" s="32" t="s">
        <v>179</v>
      </c>
      <c r="AI1019" s="32"/>
      <c r="AL1019" s="32"/>
      <c r="AM1019" s="32"/>
      <c r="AN1019" s="32"/>
      <c r="AO1019" s="32"/>
      <c r="AP1019" s="32"/>
      <c r="AQ1019" s="32"/>
      <c r="AR1019" s="32"/>
      <c r="AS1019" s="32"/>
      <c r="AT1019" s="32"/>
      <c r="AU1019" s="32"/>
      <c r="XEY1019" s="27"/>
      <c r="XEZ1019" s="27"/>
      <c r="XFA1019" s="27"/>
      <c r="XFB1019" s="27"/>
      <c r="XFC1019" s="27"/>
      <c r="XFD1019" s="27"/>
    </row>
    <row r="1020" s="42" customFormat="true" ht="14.15" hidden="false" customHeight="true" outlineLevel="0" collapsed="false">
      <c r="A1020" s="28" t="s">
        <v>6298</v>
      </c>
      <c r="B1020" s="29" t="s">
        <v>652</v>
      </c>
      <c r="C1020" s="29" t="s">
        <v>6299</v>
      </c>
      <c r="D1020" s="30" t="s">
        <v>244</v>
      </c>
      <c r="E1020" s="30" t="s">
        <v>245</v>
      </c>
      <c r="F1020" s="32" t="n">
        <v>49</v>
      </c>
      <c r="G1020" s="31"/>
      <c r="H1020" s="31" t="n">
        <v>1</v>
      </c>
      <c r="I1020" s="31" t="s">
        <v>62</v>
      </c>
      <c r="J1020" s="29"/>
      <c r="K1020" s="29" t="s">
        <v>5885</v>
      </c>
      <c r="L1020" s="32" t="n">
        <v>123</v>
      </c>
      <c r="M1020" s="33" t="s">
        <v>646</v>
      </c>
      <c r="N1020" s="34" t="n">
        <v>75017</v>
      </c>
      <c r="O1020" s="35" t="s">
        <v>55</v>
      </c>
      <c r="P1020" s="36" t="s">
        <v>6300</v>
      </c>
      <c r="Q1020" s="36" t="n">
        <v>2</v>
      </c>
      <c r="R1020" s="32" t="n">
        <v>250</v>
      </c>
      <c r="S1020" s="32" t="n">
        <v>1</v>
      </c>
      <c r="T1020" s="32"/>
      <c r="U1020" s="32" t="n">
        <v>3</v>
      </c>
      <c r="V1020" s="37"/>
      <c r="W1020" s="32" t="n">
        <v>2</v>
      </c>
      <c r="X1020" s="34"/>
      <c r="Y1020" s="34" t="n">
        <v>2</v>
      </c>
      <c r="Z1020" s="36" t="s">
        <v>6301</v>
      </c>
      <c r="AA1020" s="32" t="s">
        <v>6302</v>
      </c>
      <c r="AB1020" s="44"/>
      <c r="AC1020" s="38" t="str">
        <f aca="false">HYPERLINK("https://biocodex6--c.vf.force.com/0014L00000KFfQyQAL", "CHASSET OMNES SOPHIE")</f>
        <v>CHASSET OMNES SOPHIE</v>
      </c>
      <c r="AD1020" s="38"/>
      <c r="AE1020" s="39" t="n">
        <v>45356.4375</v>
      </c>
      <c r="AF1020" s="40" t="s">
        <v>6303</v>
      </c>
      <c r="AG1020" s="41"/>
      <c r="AH1020" s="32" t="s">
        <v>3469</v>
      </c>
      <c r="AI1020" s="32"/>
      <c r="AL1020" s="32"/>
      <c r="AM1020" s="32"/>
      <c r="AN1020" s="32"/>
      <c r="AO1020" s="32"/>
      <c r="AP1020" s="32"/>
      <c r="AQ1020" s="32"/>
      <c r="AR1020" s="32"/>
      <c r="AS1020" s="32"/>
      <c r="AT1020" s="32"/>
      <c r="AU1020" s="32"/>
      <c r="XEY1020" s="27"/>
      <c r="XEZ1020" s="27"/>
      <c r="XFA1020" s="27"/>
      <c r="XFB1020" s="27"/>
      <c r="XFC1020" s="27"/>
      <c r="XFD1020" s="27"/>
    </row>
    <row r="1021" s="42" customFormat="true" ht="14.15" hidden="false" customHeight="true" outlineLevel="0" collapsed="false">
      <c r="A1021" s="28" t="s">
        <v>6304</v>
      </c>
      <c r="B1021" s="29" t="s">
        <v>3690</v>
      </c>
      <c r="C1021" s="29" t="s">
        <v>6305</v>
      </c>
      <c r="D1021" s="30" t="s">
        <v>50</v>
      </c>
      <c r="E1021" s="31"/>
      <c r="F1021" s="32" t="n">
        <v>46</v>
      </c>
      <c r="G1021" s="31" t="s">
        <v>215</v>
      </c>
      <c r="H1021" s="31" t="n">
        <v>1</v>
      </c>
      <c r="I1021" s="31" t="s">
        <v>387</v>
      </c>
      <c r="J1021" s="29"/>
      <c r="K1021" s="29" t="s">
        <v>6306</v>
      </c>
      <c r="L1021" s="32" t="n">
        <v>114</v>
      </c>
      <c r="M1021" s="33" t="s">
        <v>1010</v>
      </c>
      <c r="N1021" s="34" t="n">
        <v>75016</v>
      </c>
      <c r="O1021" s="35" t="s">
        <v>55</v>
      </c>
      <c r="P1021" s="36" t="s">
        <v>6307</v>
      </c>
      <c r="Q1021" s="36" t="n">
        <v>1</v>
      </c>
      <c r="R1021" s="32" t="n">
        <v>249</v>
      </c>
      <c r="S1021" s="32" t="n">
        <v>1</v>
      </c>
      <c r="T1021" s="32"/>
      <c r="U1021" s="32"/>
      <c r="V1021" s="37"/>
      <c r="W1021" s="32"/>
      <c r="X1021" s="34" t="n">
        <v>1</v>
      </c>
      <c r="Y1021" s="34"/>
      <c r="Z1021" s="32"/>
      <c r="AA1021" s="32" t="s">
        <v>6308</v>
      </c>
      <c r="AB1021" s="32" t="s">
        <v>6309</v>
      </c>
      <c r="AC1021" s="38" t="str">
        <f aca="false">HYPERLINK("https://biocodex6--c.vf.force.com/0014L00000KFmCnQAL", "LEGRAIN YANN")</f>
        <v>LEGRAIN YANN</v>
      </c>
      <c r="AD1021" s="38" t="str">
        <f aca="false">HYPERLINK("https://annuairesante.ameli.fr/professionnels-de-sante/recherche/fiche-detaillee-B7c1mzY5MTS1.html", "LEGRAIN YANN")</f>
        <v>LEGRAIN YANN</v>
      </c>
      <c r="AE1021" s="39" t="n">
        <v>45126.4375</v>
      </c>
      <c r="AF1021" s="40"/>
      <c r="AG1021" s="41"/>
      <c r="AH1021" s="32"/>
      <c r="AI1021" s="32"/>
      <c r="AL1021" s="43" t="s">
        <v>6109</v>
      </c>
      <c r="AM1021" s="43" t="s">
        <v>137</v>
      </c>
      <c r="AN1021" s="43" t="s">
        <v>6109</v>
      </c>
      <c r="AO1021" s="43" t="s">
        <v>137</v>
      </c>
      <c r="AP1021" s="43" t="s">
        <v>6109</v>
      </c>
      <c r="AQ1021" s="43" t="s">
        <v>137</v>
      </c>
      <c r="AR1021" s="43" t="s">
        <v>6310</v>
      </c>
      <c r="AS1021" s="43" t="s">
        <v>137</v>
      </c>
      <c r="AT1021" s="43" t="s">
        <v>6311</v>
      </c>
      <c r="AU1021" s="43" t="s">
        <v>137</v>
      </c>
      <c r="XEY1021" s="27"/>
      <c r="XEZ1021" s="27"/>
      <c r="XFA1021" s="27"/>
      <c r="XFB1021" s="27"/>
      <c r="XFC1021" s="27"/>
      <c r="XFD1021" s="27"/>
    </row>
    <row r="1022" s="42" customFormat="true" ht="14.15" hidden="false" customHeight="true" outlineLevel="0" collapsed="false">
      <c r="A1022" s="28" t="s">
        <v>6312</v>
      </c>
      <c r="B1022" s="29" t="s">
        <v>4948</v>
      </c>
      <c r="C1022" s="29" t="s">
        <v>6313</v>
      </c>
      <c r="D1022" s="30" t="s">
        <v>75</v>
      </c>
      <c r="E1022" s="30" t="s">
        <v>1176</v>
      </c>
      <c r="F1022" s="32" t="n">
        <v>70</v>
      </c>
      <c r="G1022" s="31" t="s">
        <v>215</v>
      </c>
      <c r="H1022" s="31" t="n">
        <v>1</v>
      </c>
      <c r="I1022" s="31" t="s">
        <v>119</v>
      </c>
      <c r="J1022" s="29" t="s">
        <v>2361</v>
      </c>
      <c r="K1022" s="29" t="s">
        <v>2362</v>
      </c>
      <c r="L1022" s="32" t="n">
        <v>41</v>
      </c>
      <c r="M1022" s="33" t="s">
        <v>2363</v>
      </c>
      <c r="N1022" s="34" t="n">
        <v>75007</v>
      </c>
      <c r="O1022" s="35" t="s">
        <v>55</v>
      </c>
      <c r="P1022" s="36" t="s">
        <v>2364</v>
      </c>
      <c r="Q1022" s="36" t="n">
        <v>5</v>
      </c>
      <c r="R1022" s="32" t="n">
        <v>249</v>
      </c>
      <c r="S1022" s="32" t="n">
        <v>1</v>
      </c>
      <c r="T1022" s="32"/>
      <c r="U1022" s="32"/>
      <c r="V1022" s="37"/>
      <c r="W1022" s="32"/>
      <c r="X1022" s="34"/>
      <c r="Y1022" s="34"/>
      <c r="Z1022" s="36"/>
      <c r="AA1022" s="32" t="s">
        <v>6314</v>
      </c>
      <c r="AB1022" s="32" t="s">
        <v>6315</v>
      </c>
      <c r="AC1022" s="38" t="str">
        <f aca="false">HYPERLINK("https://biocodex6--c.vf.force.com/0014L00000KFcXeQAL", "ELOUAER BLANC LISA")</f>
        <v>ELOUAER BLANC LISA</v>
      </c>
      <c r="AD1022" s="38" t="str">
        <f aca="false">HYPERLINK("https://annuairesante.ameli.fr/professionnels-de-sante/recherche/fiche-detaillee-B7c1mjA0Mzu7.html", "ELOUAER BLANC LISA")</f>
        <v>ELOUAER BLANC LISA</v>
      </c>
      <c r="AE1022" s="39"/>
      <c r="AF1022" s="40"/>
      <c r="AG1022" s="41"/>
      <c r="AH1022" s="32" t="s">
        <v>179</v>
      </c>
      <c r="AI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XEY1022" s="27"/>
      <c r="XEZ1022" s="27"/>
      <c r="XFA1022" s="27"/>
      <c r="XFB1022" s="27"/>
      <c r="XFC1022" s="27"/>
      <c r="XFD1022" s="27"/>
    </row>
    <row r="1023" s="42" customFormat="true" ht="14.15" hidden="false" customHeight="true" outlineLevel="0" collapsed="false">
      <c r="A1023" s="28" t="s">
        <v>6316</v>
      </c>
      <c r="B1023" s="29" t="s">
        <v>3881</v>
      </c>
      <c r="C1023" s="29" t="s">
        <v>6317</v>
      </c>
      <c r="D1023" s="30" t="s">
        <v>50</v>
      </c>
      <c r="E1023" s="30" t="s">
        <v>421</v>
      </c>
      <c r="F1023" s="32" t="n">
        <v>73</v>
      </c>
      <c r="G1023" s="31" t="s">
        <v>215</v>
      </c>
      <c r="H1023" s="31" t="n">
        <v>1</v>
      </c>
      <c r="I1023" s="31" t="s">
        <v>62</v>
      </c>
      <c r="J1023" s="29"/>
      <c r="K1023" s="29" t="s">
        <v>6318</v>
      </c>
      <c r="L1023" s="32" t="n">
        <v>24</v>
      </c>
      <c r="M1023" s="33" t="s">
        <v>1687</v>
      </c>
      <c r="N1023" s="34" t="n">
        <v>75017</v>
      </c>
      <c r="O1023" s="35" t="s">
        <v>55</v>
      </c>
      <c r="P1023" s="36" t="s">
        <v>6319</v>
      </c>
      <c r="Q1023" s="36" t="n">
        <v>1</v>
      </c>
      <c r="R1023" s="32" t="n">
        <v>249</v>
      </c>
      <c r="S1023" s="32" t="n">
        <v>1</v>
      </c>
      <c r="T1023" s="32"/>
      <c r="U1023" s="32"/>
      <c r="V1023" s="37"/>
      <c r="W1023" s="32"/>
      <c r="X1023" s="34"/>
      <c r="Y1023" s="34"/>
      <c r="Z1023" s="36"/>
      <c r="AA1023" s="32" t="s">
        <v>6320</v>
      </c>
      <c r="AB1023" s="32" t="s">
        <v>6321</v>
      </c>
      <c r="AC1023" s="38" t="str">
        <f aca="false">HYPERLINK("https://biocodex6--c.vf.force.com/0014L00000KFwgeQAD", "PORTES JEAN LOUIS")</f>
        <v>PORTES JEAN LOUIS</v>
      </c>
      <c r="AD1023" s="38" t="str">
        <f aca="false">HYPERLINK("https://annuairesante.ameli.fr/professionnels-de-sante/recherche/fiche-detaillee-B7c1lzMxODO7.html", "PORTES JEAN LOUIS")</f>
        <v>PORTES JEAN LOUIS</v>
      </c>
      <c r="AE1023" s="39"/>
      <c r="AF1023" s="40"/>
      <c r="AG1023" s="41"/>
      <c r="AH1023" s="32" t="s">
        <v>179</v>
      </c>
      <c r="AI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  <c r="XEY1023" s="27"/>
      <c r="XEZ1023" s="27"/>
      <c r="XFA1023" s="27"/>
      <c r="XFB1023" s="27"/>
      <c r="XFC1023" s="27"/>
      <c r="XFD1023" s="27"/>
    </row>
    <row r="1024" s="42" customFormat="true" ht="14.15" hidden="false" customHeight="true" outlineLevel="0" collapsed="false">
      <c r="A1024" s="28" t="s">
        <v>6322</v>
      </c>
      <c r="B1024" s="29" t="s">
        <v>1539</v>
      </c>
      <c r="C1024" s="29" t="s">
        <v>6323</v>
      </c>
      <c r="D1024" s="30" t="s">
        <v>244</v>
      </c>
      <c r="E1024" s="31"/>
      <c r="F1024" s="32" t="n">
        <v>49</v>
      </c>
      <c r="G1024" s="31"/>
      <c r="H1024" s="31" t="n">
        <v>2</v>
      </c>
      <c r="I1024" s="31" t="s">
        <v>173</v>
      </c>
      <c r="J1024" s="29"/>
      <c r="K1024" s="29" t="s">
        <v>6324</v>
      </c>
      <c r="L1024" s="32" t="n">
        <v>21</v>
      </c>
      <c r="M1024" s="33" t="s">
        <v>6325</v>
      </c>
      <c r="N1024" s="34" t="n">
        <v>75016</v>
      </c>
      <c r="O1024" s="35" t="s">
        <v>55</v>
      </c>
      <c r="P1024" s="36" t="s">
        <v>6326</v>
      </c>
      <c r="Q1024" s="36" t="n">
        <v>1</v>
      </c>
      <c r="R1024" s="32" t="n">
        <v>248</v>
      </c>
      <c r="S1024" s="32" t="n">
        <v>1</v>
      </c>
      <c r="T1024" s="32"/>
      <c r="U1024" s="32" t="n">
        <v>3</v>
      </c>
      <c r="V1024" s="37"/>
      <c r="W1024" s="32" t="n">
        <v>2</v>
      </c>
      <c r="X1024" s="34"/>
      <c r="Y1024" s="34" t="n">
        <v>1</v>
      </c>
      <c r="Z1024" s="36" t="s">
        <v>6327</v>
      </c>
      <c r="AA1024" s="32" t="s">
        <v>6328</v>
      </c>
      <c r="AB1024" s="44"/>
      <c r="AC1024" s="38" t="str">
        <f aca="false">HYPERLINK("https://biocodex6--c.vf.force.com/0014L00000KFWChQAP", "DEIS STEPHANIE")</f>
        <v>DEIS STEPHANIE</v>
      </c>
      <c r="AD1024" s="38"/>
      <c r="AE1024" s="39" t="n">
        <v>45352.6041666667</v>
      </c>
      <c r="AF1024" s="40"/>
      <c r="AG1024" s="41"/>
      <c r="AH1024" s="32" t="s">
        <v>179</v>
      </c>
      <c r="AI1024" s="32"/>
      <c r="AL1024" s="32"/>
      <c r="AM1024" s="32"/>
      <c r="AN1024" s="32"/>
      <c r="AO1024" s="32"/>
      <c r="AP1024" s="32"/>
      <c r="AQ1024" s="32"/>
      <c r="AR1024" s="32"/>
      <c r="AS1024" s="32"/>
      <c r="AT1024" s="32"/>
      <c r="AU1024" s="32"/>
      <c r="XEY1024" s="27"/>
      <c r="XEZ1024" s="27"/>
      <c r="XFA1024" s="27"/>
      <c r="XFB1024" s="27"/>
      <c r="XFC1024" s="27"/>
      <c r="XFD1024" s="27"/>
    </row>
    <row r="1025" s="42" customFormat="true" ht="14.15" hidden="false" customHeight="true" outlineLevel="0" collapsed="false">
      <c r="A1025" s="28" t="s">
        <v>6329</v>
      </c>
      <c r="B1025" s="29" t="s">
        <v>6330</v>
      </c>
      <c r="C1025" s="29" t="s">
        <v>6331</v>
      </c>
      <c r="D1025" s="30" t="s">
        <v>50</v>
      </c>
      <c r="E1025" s="31"/>
      <c r="F1025" s="32" t="n">
        <v>50</v>
      </c>
      <c r="G1025" s="31" t="s">
        <v>345</v>
      </c>
      <c r="H1025" s="31" t="n">
        <v>1</v>
      </c>
      <c r="I1025" s="31" t="s">
        <v>173</v>
      </c>
      <c r="J1025" s="29"/>
      <c r="K1025" s="29" t="s">
        <v>6332</v>
      </c>
      <c r="L1025" s="32" t="n">
        <v>35</v>
      </c>
      <c r="M1025" s="33" t="s">
        <v>3039</v>
      </c>
      <c r="N1025" s="34" t="n">
        <v>75016</v>
      </c>
      <c r="O1025" s="35" t="s">
        <v>55</v>
      </c>
      <c r="P1025" s="36" t="s">
        <v>6333</v>
      </c>
      <c r="Q1025" s="36" t="n">
        <v>1</v>
      </c>
      <c r="R1025" s="32" t="n">
        <v>248</v>
      </c>
      <c r="S1025" s="32" t="n">
        <v>1</v>
      </c>
      <c r="T1025" s="32"/>
      <c r="U1025" s="32"/>
      <c r="V1025" s="37"/>
      <c r="W1025" s="32"/>
      <c r="X1025" s="34"/>
      <c r="Y1025" s="34"/>
      <c r="Z1025" s="36"/>
      <c r="AA1025" s="32" t="s">
        <v>6334</v>
      </c>
      <c r="AB1025" s="32" t="s">
        <v>6335</v>
      </c>
      <c r="AC1025" s="38" t="str">
        <f aca="false">HYPERLINK("https://biocodex6--c.vf.force.com/0014L00000KFSZqQAP", "BEKOV KHAMZAT")</f>
        <v>BEKOV KHAMZAT</v>
      </c>
      <c r="AD1025" s="38" t="str">
        <f aca="false">HYPERLINK("https://annuairesante.ameli.fr/professionnels-de-sante/recherche/fiche-detaillee-B7c1mzE4MjO0.html", "BEKOV KHAMZAT")</f>
        <v>BEKOV KHAMZAT</v>
      </c>
      <c r="AE1025" s="39"/>
      <c r="AF1025" s="40"/>
      <c r="AG1025" s="41"/>
      <c r="AH1025" s="32" t="s">
        <v>179</v>
      </c>
      <c r="AI1025" s="32"/>
      <c r="AL1025" s="32"/>
      <c r="AM1025" s="32"/>
      <c r="AN1025" s="32"/>
      <c r="AO1025" s="32"/>
      <c r="AP1025" s="32"/>
      <c r="AQ1025" s="32"/>
      <c r="AR1025" s="32"/>
      <c r="AS1025" s="32"/>
      <c r="AT1025" s="32"/>
      <c r="AU1025" s="32"/>
      <c r="XEY1025" s="27"/>
      <c r="XEZ1025" s="27"/>
      <c r="XFA1025" s="27"/>
      <c r="XFB1025" s="27"/>
      <c r="XFC1025" s="27"/>
      <c r="XFD1025" s="27"/>
    </row>
    <row r="1026" s="42" customFormat="true" ht="14.15" hidden="false" customHeight="true" outlineLevel="0" collapsed="false">
      <c r="A1026" s="28" t="s">
        <v>6336</v>
      </c>
      <c r="B1026" s="29" t="s">
        <v>6337</v>
      </c>
      <c r="C1026" s="29" t="s">
        <v>6338</v>
      </c>
      <c r="D1026" s="30" t="s">
        <v>50</v>
      </c>
      <c r="E1026" s="30" t="s">
        <v>255</v>
      </c>
      <c r="F1026" s="32" t="n">
        <v>64</v>
      </c>
      <c r="G1026" s="31" t="s">
        <v>61</v>
      </c>
      <c r="H1026" s="31" t="n">
        <v>1</v>
      </c>
      <c r="I1026" s="31" t="s">
        <v>435</v>
      </c>
      <c r="J1026" s="29"/>
      <c r="K1026" s="29" t="s">
        <v>6339</v>
      </c>
      <c r="L1026" s="32" t="n">
        <v>9</v>
      </c>
      <c r="M1026" s="33" t="s">
        <v>6340</v>
      </c>
      <c r="N1026" s="34" t="n">
        <v>75016</v>
      </c>
      <c r="O1026" s="35" t="s">
        <v>55</v>
      </c>
      <c r="P1026" s="36" t="s">
        <v>6341</v>
      </c>
      <c r="Q1026" s="36" t="n">
        <v>1</v>
      </c>
      <c r="R1026" s="32" t="n">
        <v>247</v>
      </c>
      <c r="S1026" s="32" t="n">
        <v>1</v>
      </c>
      <c r="T1026" s="32"/>
      <c r="U1026" s="32"/>
      <c r="V1026" s="37"/>
      <c r="W1026" s="32"/>
      <c r="X1026" s="34"/>
      <c r="Y1026" s="34"/>
      <c r="Z1026" s="36"/>
      <c r="AA1026" s="32" t="s">
        <v>6342</v>
      </c>
      <c r="AB1026" s="32" t="s">
        <v>6343</v>
      </c>
      <c r="AC1026" s="38" t="str">
        <f aca="false">HYPERLINK("https://biocodex6--c.vf.force.com/0014L00000KFi3XQAT", "HAICAULT DE LA REGONTAIS GHISLAIN")</f>
        <v>HAICAULT DE LA REGONTAIS GHISLAIN</v>
      </c>
      <c r="AD1026" s="38" t="str">
        <f aca="false">HYPERLINK("https://annuairesante.ameli.fr/professionnels-de-sante/recherche/fiche-detaillee-B7c1lzA0Mzex.html", "HAICAULT DE LA REGONTAIS GHISLAIN")</f>
        <v>HAICAULT DE LA REGONTAIS GHISLAIN</v>
      </c>
      <c r="AE1026" s="39"/>
      <c r="AF1026" s="40"/>
      <c r="AG1026" s="41"/>
      <c r="AH1026" s="32" t="s">
        <v>179</v>
      </c>
      <c r="AI1026" s="32"/>
      <c r="AL1026" s="43" t="s">
        <v>6344</v>
      </c>
      <c r="AM1026" s="43" t="s">
        <v>6345</v>
      </c>
      <c r="AN1026" s="43" t="s">
        <v>6344</v>
      </c>
      <c r="AO1026" s="43" t="s">
        <v>6345</v>
      </c>
      <c r="AP1026" s="32"/>
      <c r="AQ1026" s="32"/>
      <c r="AR1026" s="43" t="s">
        <v>6344</v>
      </c>
      <c r="AS1026" s="43" t="s">
        <v>6345</v>
      </c>
      <c r="AT1026" s="43" t="s">
        <v>6344</v>
      </c>
      <c r="AU1026" s="43" t="s">
        <v>6345</v>
      </c>
      <c r="XEY1026" s="27"/>
      <c r="XEZ1026" s="27"/>
      <c r="XFA1026" s="27"/>
      <c r="XFB1026" s="27"/>
      <c r="XFC1026" s="27"/>
      <c r="XFD1026" s="27"/>
    </row>
    <row r="1027" s="42" customFormat="true" ht="14.15" hidden="false" customHeight="true" outlineLevel="0" collapsed="false">
      <c r="A1027" s="28" t="s">
        <v>6346</v>
      </c>
      <c r="B1027" s="29" t="s">
        <v>6347</v>
      </c>
      <c r="C1027" s="29" t="s">
        <v>6348</v>
      </c>
      <c r="D1027" s="30" t="s">
        <v>244</v>
      </c>
      <c r="E1027" s="30" t="s">
        <v>245</v>
      </c>
      <c r="F1027" s="32" t="n">
        <v>64</v>
      </c>
      <c r="G1027" s="31" t="s">
        <v>215</v>
      </c>
      <c r="H1027" s="31" t="n">
        <v>1</v>
      </c>
      <c r="I1027" s="31" t="s">
        <v>435</v>
      </c>
      <c r="J1027" s="29"/>
      <c r="K1027" s="29" t="s">
        <v>6349</v>
      </c>
      <c r="L1027" s="32" t="n">
        <v>2</v>
      </c>
      <c r="M1027" s="33" t="s">
        <v>6350</v>
      </c>
      <c r="N1027" s="34" t="n">
        <v>75016</v>
      </c>
      <c r="O1027" s="35" t="s">
        <v>55</v>
      </c>
      <c r="P1027" s="36" t="s">
        <v>6351</v>
      </c>
      <c r="Q1027" s="36" t="n">
        <v>1</v>
      </c>
      <c r="R1027" s="32" t="n">
        <v>247</v>
      </c>
      <c r="S1027" s="32" t="n">
        <v>1</v>
      </c>
      <c r="T1027" s="32"/>
      <c r="U1027" s="32"/>
      <c r="V1027" s="37"/>
      <c r="W1027" s="32"/>
      <c r="X1027" s="34"/>
      <c r="Y1027" s="34"/>
      <c r="Z1027" s="36"/>
      <c r="AA1027" s="32" t="s">
        <v>6352</v>
      </c>
      <c r="AB1027" s="32" t="s">
        <v>6353</v>
      </c>
      <c r="AC1027" s="38" t="str">
        <f aca="false">HYPERLINK("https://biocodex6--c.vf.force.com/0014L00000KFrK9QAL", "MENARD MARIE NOELLE")</f>
        <v>MENARD MARIE NOELLE</v>
      </c>
      <c r="AD1027" s="38" t="str">
        <f aca="false">HYPERLINK("https://annuairesante.ameli.fr/professionnels-de-sante/recherche/fiche-detaillee-B7c1lzE1Nzez.html", "MENARD MARIE NOELLE")</f>
        <v>MENARD MARIE NOELLE</v>
      </c>
      <c r="AE1027" s="39"/>
      <c r="AF1027" s="40"/>
      <c r="AG1027" s="41"/>
      <c r="AH1027" s="32" t="s">
        <v>179</v>
      </c>
      <c r="AI1027" s="32"/>
      <c r="AL1027" s="32"/>
      <c r="AM1027" s="32"/>
      <c r="AN1027" s="32"/>
      <c r="AO1027" s="32"/>
      <c r="AP1027" s="32"/>
      <c r="AQ1027" s="32"/>
      <c r="AR1027" s="32"/>
      <c r="AS1027" s="32"/>
      <c r="AT1027" s="32"/>
      <c r="AU1027" s="32"/>
      <c r="XEY1027" s="27"/>
      <c r="XEZ1027" s="27"/>
      <c r="XFA1027" s="27"/>
      <c r="XFB1027" s="27"/>
      <c r="XFC1027" s="27"/>
      <c r="XFD1027" s="27"/>
    </row>
    <row r="1028" s="42" customFormat="true" ht="14.15" hidden="false" customHeight="true" outlineLevel="0" collapsed="false">
      <c r="A1028" s="28" t="s">
        <v>6354</v>
      </c>
      <c r="B1028" s="29" t="s">
        <v>142</v>
      </c>
      <c r="C1028" s="29" t="s">
        <v>6355</v>
      </c>
      <c r="D1028" s="30" t="s">
        <v>50</v>
      </c>
      <c r="E1028" s="30" t="s">
        <v>916</v>
      </c>
      <c r="F1028" s="32" t="n">
        <v>54</v>
      </c>
      <c r="G1028" s="31" t="s">
        <v>98</v>
      </c>
      <c r="H1028" s="31" t="n">
        <v>1</v>
      </c>
      <c r="I1028" s="31" t="s">
        <v>173</v>
      </c>
      <c r="J1028" s="29"/>
      <c r="K1028" s="29" t="s">
        <v>6356</v>
      </c>
      <c r="L1028" s="32" t="n">
        <v>7</v>
      </c>
      <c r="M1028" s="33" t="s">
        <v>6357</v>
      </c>
      <c r="N1028" s="34" t="n">
        <v>75016</v>
      </c>
      <c r="O1028" s="35" t="s">
        <v>55</v>
      </c>
      <c r="P1028" s="36" t="s">
        <v>6358</v>
      </c>
      <c r="Q1028" s="36" t="n">
        <v>1</v>
      </c>
      <c r="R1028" s="32" t="n">
        <v>247</v>
      </c>
      <c r="S1028" s="32" t="n">
        <v>1</v>
      </c>
      <c r="T1028" s="32"/>
      <c r="U1028" s="32"/>
      <c r="V1028" s="37"/>
      <c r="W1028" s="32"/>
      <c r="X1028" s="34"/>
      <c r="Y1028" s="34"/>
      <c r="Z1028" s="36"/>
      <c r="AA1028" s="32" t="s">
        <v>6359</v>
      </c>
      <c r="AB1028" s="32" t="s">
        <v>6360</v>
      </c>
      <c r="AC1028" s="38" t="str">
        <f aca="false">HYPERLINK("https://biocodex6--c.vf.force.com/0014L00000KG3C7QAL", "SOUSSAN MICHEL")</f>
        <v>SOUSSAN MICHEL</v>
      </c>
      <c r="AD1028" s="38" t="str">
        <f aca="false">HYPERLINK("https://annuairesante.ameli.fr/professionnels-de-sante/recherche/fiche-detaillee-B7c1mzA4MDq2.html", "SOUSSAN MICHEL")</f>
        <v>SOUSSAN MICHEL</v>
      </c>
      <c r="AE1028" s="39"/>
      <c r="AF1028" s="40"/>
      <c r="AG1028" s="41"/>
      <c r="AH1028" s="32" t="s">
        <v>179</v>
      </c>
      <c r="AI1028" s="32"/>
      <c r="AL1028" s="43" t="s">
        <v>6361</v>
      </c>
      <c r="AM1028" s="43" t="s">
        <v>1066</v>
      </c>
      <c r="AN1028" s="43" t="s">
        <v>6361</v>
      </c>
      <c r="AO1028" s="43" t="s">
        <v>1066</v>
      </c>
      <c r="AP1028" s="32"/>
      <c r="AQ1028" s="43" t="s">
        <v>4713</v>
      </c>
      <c r="AR1028" s="43" t="s">
        <v>6361</v>
      </c>
      <c r="AS1028" s="43" t="s">
        <v>1066</v>
      </c>
      <c r="AT1028" s="43" t="s">
        <v>6361</v>
      </c>
      <c r="AU1028" s="43" t="s">
        <v>1066</v>
      </c>
      <c r="XEY1028" s="27"/>
      <c r="XEZ1028" s="27"/>
      <c r="XFA1028" s="27"/>
      <c r="XFB1028" s="27"/>
      <c r="XFC1028" s="27"/>
      <c r="XFD1028" s="27"/>
    </row>
    <row r="1029" s="42" customFormat="true" ht="14.15" hidden="false" customHeight="true" outlineLevel="0" collapsed="false">
      <c r="A1029" s="28" t="s">
        <v>6362</v>
      </c>
      <c r="B1029" s="29" t="s">
        <v>117</v>
      </c>
      <c r="C1029" s="29" t="s">
        <v>6363</v>
      </c>
      <c r="D1029" s="30" t="s">
        <v>244</v>
      </c>
      <c r="E1029" s="30" t="s">
        <v>245</v>
      </c>
      <c r="F1029" s="32" t="n">
        <v>76</v>
      </c>
      <c r="G1029" s="31" t="s">
        <v>215</v>
      </c>
      <c r="H1029" s="31" t="n">
        <v>1</v>
      </c>
      <c r="I1029" s="31" t="s">
        <v>387</v>
      </c>
      <c r="J1029" s="29"/>
      <c r="K1029" s="29" t="s">
        <v>6364</v>
      </c>
      <c r="L1029" s="32" t="n">
        <v>17</v>
      </c>
      <c r="M1029" s="33" t="s">
        <v>2778</v>
      </c>
      <c r="N1029" s="34" t="n">
        <v>75016</v>
      </c>
      <c r="O1029" s="35" t="s">
        <v>55</v>
      </c>
      <c r="P1029" s="36" t="s">
        <v>6365</v>
      </c>
      <c r="Q1029" s="36" t="n">
        <v>1</v>
      </c>
      <c r="R1029" s="32" t="n">
        <v>246</v>
      </c>
      <c r="S1029" s="32" t="n">
        <v>1</v>
      </c>
      <c r="T1029" s="32"/>
      <c r="U1029" s="32" t="n">
        <v>3</v>
      </c>
      <c r="V1029" s="37"/>
      <c r="W1029" s="32" t="n">
        <v>2</v>
      </c>
      <c r="X1029" s="34" t="n">
        <v>1</v>
      </c>
      <c r="Y1029" s="34" t="n">
        <v>1</v>
      </c>
      <c r="Z1029" s="32"/>
      <c r="AA1029" s="32" t="s">
        <v>6366</v>
      </c>
      <c r="AB1029" s="44" t="s">
        <v>6367</v>
      </c>
      <c r="AC1029" s="38" t="str">
        <f aca="false">HYPERLINK("https://biocodex6--c.vf.force.com/0014L00000KFaGkQAL", "DEPAUW DOMINIQUE")</f>
        <v>DEPAUW DOMINIQUE</v>
      </c>
      <c r="AD1029" s="38" t="str">
        <f aca="false">HYPERLINK("https://annuairesante.ameli.fr/professionnels-de-sante/recherche/fiche-detaillee-B7c1kTQ5NTe0.html", "DEPAUW DOMINIQUE")</f>
        <v>DEPAUW DOMINIQUE</v>
      </c>
      <c r="AE1029" s="39" t="n">
        <v>45301.5833333333</v>
      </c>
      <c r="AF1029" s="40" t="s">
        <v>6368</v>
      </c>
      <c r="AG1029" s="41" t="s">
        <v>69</v>
      </c>
      <c r="AH1029" s="32" t="s">
        <v>70</v>
      </c>
      <c r="AI1029" s="32" t="s">
        <v>71</v>
      </c>
      <c r="AL1029" s="32"/>
      <c r="AM1029" s="32"/>
      <c r="AN1029" s="32"/>
      <c r="AO1029" s="32"/>
      <c r="AP1029" s="32"/>
      <c r="AQ1029" s="32"/>
      <c r="AR1029" s="32"/>
      <c r="AS1029" s="32"/>
      <c r="AT1029" s="32"/>
      <c r="AU1029" s="32"/>
      <c r="XEY1029" s="27"/>
      <c r="XEZ1029" s="27"/>
      <c r="XFA1029" s="27"/>
      <c r="XFB1029" s="27"/>
      <c r="XFC1029" s="27"/>
      <c r="XFD1029" s="27"/>
    </row>
    <row r="1030" s="42" customFormat="true" ht="14.15" hidden="false" customHeight="true" outlineLevel="0" collapsed="false">
      <c r="A1030" s="28" t="s">
        <v>6369</v>
      </c>
      <c r="B1030" s="29" t="s">
        <v>1007</v>
      </c>
      <c r="C1030" s="29" t="s">
        <v>6370</v>
      </c>
      <c r="D1030" s="30" t="s">
        <v>50</v>
      </c>
      <c r="E1030" s="30" t="s">
        <v>2281</v>
      </c>
      <c r="F1030" s="32" t="n">
        <v>53</v>
      </c>
      <c r="G1030" s="31"/>
      <c r="H1030" s="31" t="n">
        <v>4</v>
      </c>
      <c r="I1030" s="31" t="s">
        <v>51</v>
      </c>
      <c r="J1030" s="29" t="s">
        <v>850</v>
      </c>
      <c r="K1030" s="29" t="s">
        <v>851</v>
      </c>
      <c r="L1030" s="32" t="n">
        <v>178</v>
      </c>
      <c r="M1030" s="33" t="s">
        <v>852</v>
      </c>
      <c r="N1030" s="34" t="n">
        <v>75015</v>
      </c>
      <c r="O1030" s="35" t="s">
        <v>55</v>
      </c>
      <c r="P1030" s="36" t="s">
        <v>853</v>
      </c>
      <c r="Q1030" s="36" t="n">
        <v>24</v>
      </c>
      <c r="R1030" s="32" t="n">
        <v>245</v>
      </c>
      <c r="S1030" s="32" t="n">
        <v>1</v>
      </c>
      <c r="T1030" s="32"/>
      <c r="U1030" s="32"/>
      <c r="V1030" s="37"/>
      <c r="W1030" s="32"/>
      <c r="X1030" s="34"/>
      <c r="Y1030" s="34" t="n">
        <v>1</v>
      </c>
      <c r="Z1030" s="32"/>
      <c r="AA1030" s="32" t="s">
        <v>6371</v>
      </c>
      <c r="AB1030" s="32"/>
      <c r="AC1030" s="38" t="str">
        <f aca="false">HYPERLINK("https://biocodex6--c.vf.force.com/0014L00000KFUW7QAP", "BLONDEEL DAVID")</f>
        <v>BLONDEEL DAVID</v>
      </c>
      <c r="AD1030" s="38"/>
      <c r="AE1030" s="39"/>
      <c r="AF1030" s="40"/>
      <c r="AG1030" s="41"/>
      <c r="AH1030" s="32"/>
      <c r="AI1030" s="32"/>
      <c r="AL1030" s="32"/>
      <c r="AM1030" s="32"/>
      <c r="AN1030" s="32"/>
      <c r="AO1030" s="32"/>
      <c r="AP1030" s="32"/>
      <c r="AQ1030" s="32"/>
      <c r="AR1030" s="32"/>
      <c r="AS1030" s="32"/>
      <c r="AT1030" s="32"/>
      <c r="AU1030" s="32"/>
      <c r="XEY1030" s="27"/>
      <c r="XEZ1030" s="27"/>
      <c r="XFA1030" s="27"/>
      <c r="XFB1030" s="27"/>
      <c r="XFC1030" s="27"/>
      <c r="XFD1030" s="27"/>
    </row>
    <row r="1031" s="42" customFormat="true" ht="14.15" hidden="false" customHeight="true" outlineLevel="0" collapsed="false">
      <c r="A1031" s="28" t="s">
        <v>1580</v>
      </c>
      <c r="B1031" s="29" t="s">
        <v>182</v>
      </c>
      <c r="C1031" s="29" t="s">
        <v>6372</v>
      </c>
      <c r="D1031" s="30" t="s">
        <v>244</v>
      </c>
      <c r="E1031" s="30" t="s">
        <v>245</v>
      </c>
      <c r="F1031" s="32" t="n">
        <v>41</v>
      </c>
      <c r="G1031" s="31" t="s">
        <v>215</v>
      </c>
      <c r="H1031" s="31" t="n">
        <v>2</v>
      </c>
      <c r="I1031" s="31" t="s">
        <v>62</v>
      </c>
      <c r="J1031" s="29" t="s">
        <v>3407</v>
      </c>
      <c r="K1031" s="29" t="s">
        <v>3408</v>
      </c>
      <c r="L1031" s="32" t="n">
        <v>9</v>
      </c>
      <c r="M1031" s="33" t="s">
        <v>757</v>
      </c>
      <c r="N1031" s="34" t="n">
        <v>75017</v>
      </c>
      <c r="O1031" s="35" t="s">
        <v>55</v>
      </c>
      <c r="P1031" s="36" t="s">
        <v>6373</v>
      </c>
      <c r="Q1031" s="36" t="n">
        <v>5</v>
      </c>
      <c r="R1031" s="32" t="n">
        <v>244</v>
      </c>
      <c r="S1031" s="32" t="n">
        <v>1</v>
      </c>
      <c r="T1031" s="32"/>
      <c r="U1031" s="32" t="n">
        <v>3</v>
      </c>
      <c r="V1031" s="37"/>
      <c r="W1031" s="32" t="n">
        <v>3</v>
      </c>
      <c r="X1031" s="34" t="n">
        <v>1</v>
      </c>
      <c r="Y1031" s="34" t="n">
        <v>2</v>
      </c>
      <c r="Z1031" s="32" t="s">
        <v>6374</v>
      </c>
      <c r="AA1031" s="32" t="s">
        <v>6375</v>
      </c>
      <c r="AB1031" s="32" t="s">
        <v>6376</v>
      </c>
      <c r="AC1031" s="38" t="str">
        <f aca="false">HYPERLINK("https://biocodex6--c.vf.force.com/0014L00000KFw1PQAT", "PETIT LAURENT")</f>
        <v>PETIT LAURENT</v>
      </c>
      <c r="AD1031" s="38" t="str">
        <f aca="false">HYPERLINK("https://annuairesante.ameli.fr/professionnels-de-sante/recherche/fiche-detaillee-B7c1lTExMzW3.html", "PETIT LAURENT")</f>
        <v>PETIT LAURENT</v>
      </c>
      <c r="AE1031" s="39" t="n">
        <v>45363.625</v>
      </c>
      <c r="AF1031" s="40" t="s">
        <v>6377</v>
      </c>
      <c r="AG1031" s="41"/>
      <c r="AH1031" s="32"/>
      <c r="AI1031" s="32"/>
      <c r="AL1031" s="32"/>
      <c r="AM1031" s="32"/>
      <c r="AN1031" s="32"/>
      <c r="AO1031" s="32"/>
      <c r="AP1031" s="32"/>
      <c r="AQ1031" s="32"/>
      <c r="AR1031" s="32"/>
      <c r="AS1031" s="32"/>
      <c r="AT1031" s="32"/>
      <c r="AU1031" s="32"/>
      <c r="XEY1031" s="27"/>
      <c r="XEZ1031" s="27"/>
      <c r="XFA1031" s="27"/>
      <c r="XFB1031" s="27"/>
      <c r="XFC1031" s="27"/>
      <c r="XFD1031" s="27"/>
    </row>
    <row r="1032" s="42" customFormat="true" ht="14.15" hidden="false" customHeight="true" outlineLevel="0" collapsed="false">
      <c r="A1032" s="28" t="s">
        <v>6378</v>
      </c>
      <c r="B1032" s="29" t="s">
        <v>1777</v>
      </c>
      <c r="C1032" s="29" t="s">
        <v>6379</v>
      </c>
      <c r="D1032" s="30" t="s">
        <v>50</v>
      </c>
      <c r="E1032" s="31"/>
      <c r="F1032" s="32" t="n">
        <v>60</v>
      </c>
      <c r="G1032" s="31"/>
      <c r="H1032" s="31" t="n">
        <v>1</v>
      </c>
      <c r="I1032" s="31" t="s">
        <v>572</v>
      </c>
      <c r="J1032" s="29"/>
      <c r="K1032" s="29" t="s">
        <v>6380</v>
      </c>
      <c r="L1032" s="32" t="n">
        <v>4</v>
      </c>
      <c r="M1032" s="33" t="s">
        <v>574</v>
      </c>
      <c r="N1032" s="34" t="n">
        <v>75008</v>
      </c>
      <c r="O1032" s="35" t="s">
        <v>55</v>
      </c>
      <c r="P1032" s="36" t="s">
        <v>6381</v>
      </c>
      <c r="Q1032" s="36" t="n">
        <v>1</v>
      </c>
      <c r="R1032" s="32" t="n">
        <v>244</v>
      </c>
      <c r="S1032" s="32" t="n">
        <v>1</v>
      </c>
      <c r="T1032" s="32"/>
      <c r="U1032" s="32"/>
      <c r="V1032" s="37"/>
      <c r="W1032" s="32"/>
      <c r="X1032" s="34"/>
      <c r="Y1032" s="34"/>
      <c r="Z1032" s="36"/>
      <c r="AA1032" s="32" t="s">
        <v>6382</v>
      </c>
      <c r="AB1032" s="32"/>
      <c r="AC1032" s="38" t="str">
        <f aca="false">HYPERLINK("https://biocodex6--c.vf.force.com/0014L00000KFvT2QAL", "PECQUEUR HOBEIKA VALERIE")</f>
        <v>PECQUEUR HOBEIKA VALERIE</v>
      </c>
      <c r="AD1032" s="38"/>
      <c r="AE1032" s="39"/>
      <c r="AF1032" s="40"/>
      <c r="AG1032" s="41"/>
      <c r="AH1032" s="32" t="s">
        <v>179</v>
      </c>
      <c r="AI1032" s="32"/>
      <c r="AL1032" s="32"/>
      <c r="AM1032" s="32"/>
      <c r="AN1032" s="32"/>
      <c r="AO1032" s="32"/>
      <c r="AP1032" s="32"/>
      <c r="AQ1032" s="32"/>
      <c r="AR1032" s="32"/>
      <c r="AS1032" s="32"/>
      <c r="AT1032" s="32"/>
      <c r="AU1032" s="32"/>
      <c r="XEY1032" s="27"/>
      <c r="XEZ1032" s="27"/>
      <c r="XFA1032" s="27"/>
      <c r="XFB1032" s="27"/>
      <c r="XFC1032" s="27"/>
      <c r="XFD1032" s="27"/>
    </row>
    <row r="1033" s="42" customFormat="true" ht="14.15" hidden="false" customHeight="true" outlineLevel="0" collapsed="false">
      <c r="A1033" s="28" t="s">
        <v>5021</v>
      </c>
      <c r="B1033" s="29" t="s">
        <v>3248</v>
      </c>
      <c r="C1033" s="29" t="s">
        <v>6383</v>
      </c>
      <c r="D1033" s="30" t="s">
        <v>50</v>
      </c>
      <c r="E1033" s="30" t="s">
        <v>344</v>
      </c>
      <c r="F1033" s="32" t="n">
        <v>0</v>
      </c>
      <c r="G1033" s="31"/>
      <c r="H1033" s="31" t="n">
        <v>1</v>
      </c>
      <c r="I1033" s="31" t="s">
        <v>99</v>
      </c>
      <c r="J1033" s="29" t="s">
        <v>5359</v>
      </c>
      <c r="K1033" s="29" t="s">
        <v>5360</v>
      </c>
      <c r="L1033" s="32" t="n">
        <v>106</v>
      </c>
      <c r="M1033" s="33" t="s">
        <v>4367</v>
      </c>
      <c r="N1033" s="34" t="n">
        <v>75015</v>
      </c>
      <c r="O1033" s="35" t="s">
        <v>55</v>
      </c>
      <c r="P1033" s="36" t="s">
        <v>6384</v>
      </c>
      <c r="Q1033" s="36" t="n">
        <v>5</v>
      </c>
      <c r="R1033" s="32" t="n">
        <v>244</v>
      </c>
      <c r="S1033" s="32" t="n">
        <v>1</v>
      </c>
      <c r="T1033" s="32"/>
      <c r="U1033" s="32"/>
      <c r="V1033" s="37"/>
      <c r="W1033" s="32"/>
      <c r="X1033" s="34"/>
      <c r="Y1033" s="34"/>
      <c r="Z1033" s="36"/>
      <c r="AA1033" s="32"/>
      <c r="AB1033" s="32"/>
      <c r="AC1033" s="38"/>
      <c r="AD1033" s="38"/>
      <c r="AE1033" s="39"/>
      <c r="AF1033" s="40"/>
      <c r="AG1033" s="41"/>
      <c r="AH1033" s="32" t="s">
        <v>179</v>
      </c>
      <c r="AI1033" s="32"/>
      <c r="AL1033" s="32"/>
      <c r="AM1033" s="32"/>
      <c r="AN1033" s="32"/>
      <c r="AO1033" s="32"/>
      <c r="AP1033" s="32"/>
      <c r="AQ1033" s="32"/>
      <c r="AR1033" s="32"/>
      <c r="AS1033" s="32"/>
      <c r="AT1033" s="32"/>
      <c r="AU1033" s="32"/>
      <c r="XEY1033" s="27"/>
      <c r="XEZ1033" s="27"/>
      <c r="XFA1033" s="27"/>
      <c r="XFB1033" s="27"/>
      <c r="XFC1033" s="27"/>
      <c r="XFD1033" s="27"/>
    </row>
    <row r="1034" s="42" customFormat="true" ht="14.15" hidden="false" customHeight="true" outlineLevel="0" collapsed="false">
      <c r="A1034" s="28" t="s">
        <v>6385</v>
      </c>
      <c r="B1034" s="29" t="s">
        <v>3633</v>
      </c>
      <c r="C1034" s="29" t="s">
        <v>6386</v>
      </c>
      <c r="D1034" s="30" t="s">
        <v>244</v>
      </c>
      <c r="E1034" s="30" t="s">
        <v>245</v>
      </c>
      <c r="F1034" s="32" t="n">
        <v>53</v>
      </c>
      <c r="G1034" s="31" t="s">
        <v>215</v>
      </c>
      <c r="H1034" s="31" t="n">
        <v>1</v>
      </c>
      <c r="I1034" s="31" t="s">
        <v>173</v>
      </c>
      <c r="J1034" s="29"/>
      <c r="K1034" s="29" t="s">
        <v>6387</v>
      </c>
      <c r="L1034" s="32" t="n">
        <v>11</v>
      </c>
      <c r="M1034" s="33" t="s">
        <v>3039</v>
      </c>
      <c r="N1034" s="34" t="n">
        <v>75016</v>
      </c>
      <c r="O1034" s="35" t="s">
        <v>55</v>
      </c>
      <c r="P1034" s="36" t="s">
        <v>6388</v>
      </c>
      <c r="Q1034" s="36" t="n">
        <v>1</v>
      </c>
      <c r="R1034" s="32" t="n">
        <v>244</v>
      </c>
      <c r="S1034" s="32" t="n">
        <v>1</v>
      </c>
      <c r="T1034" s="32"/>
      <c r="U1034" s="32"/>
      <c r="V1034" s="37"/>
      <c r="W1034" s="32"/>
      <c r="X1034" s="34"/>
      <c r="Y1034" s="34"/>
      <c r="Z1034" s="36"/>
      <c r="AA1034" s="32" t="s">
        <v>6389</v>
      </c>
      <c r="AB1034" s="32" t="s">
        <v>6390</v>
      </c>
      <c r="AC1034" s="38" t="str">
        <f aca="false">HYPERLINK("https://biocodex6--c.vf.force.com/0014L00000KFyNGQA1", "RECOULES ARCHE AUDE")</f>
        <v>RECOULES ARCHE AUDE</v>
      </c>
      <c r="AD1034" s="38" t="str">
        <f aca="false">HYPERLINK("https://annuairesante.ameli.fr/professionnels-de-sante/recherche/fiche-detaillee-B7c1mzYyMjqx.html", "RECOULES ARCHE AUDE")</f>
        <v>RECOULES ARCHE AUDE</v>
      </c>
      <c r="AE1034" s="39"/>
      <c r="AF1034" s="40"/>
      <c r="AG1034" s="41"/>
      <c r="AH1034" s="32" t="s">
        <v>179</v>
      </c>
      <c r="AI1034" s="32"/>
      <c r="AL1034" s="43" t="s">
        <v>338</v>
      </c>
      <c r="AM1034" s="43" t="s">
        <v>6391</v>
      </c>
      <c r="AN1034" s="43" t="s">
        <v>338</v>
      </c>
      <c r="AO1034" s="43" t="s">
        <v>6391</v>
      </c>
      <c r="AP1034" s="32"/>
      <c r="AQ1034" s="32"/>
      <c r="AR1034" s="43" t="s">
        <v>338</v>
      </c>
      <c r="AS1034" s="43" t="s">
        <v>6391</v>
      </c>
      <c r="AT1034" s="43" t="s">
        <v>338</v>
      </c>
      <c r="AU1034" s="43" t="s">
        <v>6391</v>
      </c>
      <c r="XEY1034" s="27"/>
      <c r="XEZ1034" s="27"/>
      <c r="XFA1034" s="27"/>
      <c r="XFB1034" s="27"/>
      <c r="XFC1034" s="27"/>
      <c r="XFD1034" s="27"/>
    </row>
    <row r="1035" s="42" customFormat="true" ht="14.15" hidden="false" customHeight="true" outlineLevel="0" collapsed="false">
      <c r="A1035" s="28" t="s">
        <v>6392</v>
      </c>
      <c r="B1035" s="29" t="s">
        <v>170</v>
      </c>
      <c r="C1035" s="29" t="s">
        <v>6393</v>
      </c>
      <c r="D1035" s="30" t="s">
        <v>50</v>
      </c>
      <c r="E1035" s="31"/>
      <c r="F1035" s="32" t="n">
        <v>0</v>
      </c>
      <c r="G1035" s="31"/>
      <c r="H1035" s="31" t="n">
        <v>1</v>
      </c>
      <c r="I1035" s="31" t="s">
        <v>572</v>
      </c>
      <c r="J1035" s="29"/>
      <c r="K1035" s="29" t="s">
        <v>3883</v>
      </c>
      <c r="L1035" s="32" t="n">
        <v>74</v>
      </c>
      <c r="M1035" s="33" t="s">
        <v>3884</v>
      </c>
      <c r="N1035" s="34" t="n">
        <v>75008</v>
      </c>
      <c r="O1035" s="35" t="s">
        <v>55</v>
      </c>
      <c r="P1035" s="36" t="s">
        <v>6394</v>
      </c>
      <c r="Q1035" s="36" t="n">
        <v>2</v>
      </c>
      <c r="R1035" s="32" t="n">
        <v>243</v>
      </c>
      <c r="S1035" s="32" t="n">
        <v>1</v>
      </c>
      <c r="T1035" s="32"/>
      <c r="U1035" s="32"/>
      <c r="V1035" s="37"/>
      <c r="W1035" s="32"/>
      <c r="X1035" s="34"/>
      <c r="Y1035" s="34"/>
      <c r="Z1035" s="36"/>
      <c r="AA1035" s="32" t="s">
        <v>6395</v>
      </c>
      <c r="AB1035" s="32"/>
      <c r="AC1035" s="38" t="str">
        <f aca="false">HYPERLINK("https://biocodex6--c.vf.force.com/0014L00000KGDFbQAP", "BOUKOBZA CAROLE")</f>
        <v>BOUKOBZA CAROLE</v>
      </c>
      <c r="AD1035" s="38"/>
      <c r="AE1035" s="39"/>
      <c r="AF1035" s="40"/>
      <c r="AG1035" s="41"/>
      <c r="AH1035" s="32" t="s">
        <v>179</v>
      </c>
      <c r="AI1035" s="32"/>
      <c r="AL1035" s="32"/>
      <c r="AM1035" s="32"/>
      <c r="AN1035" s="32"/>
      <c r="AO1035" s="32"/>
      <c r="AP1035" s="32"/>
      <c r="AQ1035" s="32"/>
      <c r="AR1035" s="32"/>
      <c r="AS1035" s="32"/>
      <c r="AT1035" s="32"/>
      <c r="AU1035" s="32"/>
      <c r="XEY1035" s="27"/>
      <c r="XEZ1035" s="27"/>
      <c r="XFA1035" s="27"/>
      <c r="XFB1035" s="27"/>
      <c r="XFC1035" s="27"/>
      <c r="XFD1035" s="27"/>
    </row>
    <row r="1036" s="42" customFormat="true" ht="14.15" hidden="false" customHeight="true" outlineLevel="0" collapsed="false">
      <c r="A1036" s="28" t="s">
        <v>6396</v>
      </c>
      <c r="B1036" s="29" t="s">
        <v>1143</v>
      </c>
      <c r="C1036" s="29" t="s">
        <v>6397</v>
      </c>
      <c r="D1036" s="30" t="s">
        <v>50</v>
      </c>
      <c r="E1036" s="30" t="s">
        <v>4528</v>
      </c>
      <c r="F1036" s="32" t="n">
        <v>60</v>
      </c>
      <c r="G1036" s="31" t="s">
        <v>98</v>
      </c>
      <c r="H1036" s="31" t="n">
        <v>3</v>
      </c>
      <c r="I1036" s="31" t="s">
        <v>197</v>
      </c>
      <c r="J1036" s="29"/>
      <c r="K1036" s="29" t="s">
        <v>6398</v>
      </c>
      <c r="L1036" s="32" t="n">
        <v>28</v>
      </c>
      <c r="M1036" s="33" t="s">
        <v>6399</v>
      </c>
      <c r="N1036" s="34" t="n">
        <v>75017</v>
      </c>
      <c r="O1036" s="35" t="s">
        <v>55</v>
      </c>
      <c r="P1036" s="36" t="s">
        <v>6400</v>
      </c>
      <c r="Q1036" s="36" t="n">
        <v>1</v>
      </c>
      <c r="R1036" s="32" t="n">
        <v>243</v>
      </c>
      <c r="S1036" s="32" t="n">
        <v>1</v>
      </c>
      <c r="T1036" s="32"/>
      <c r="U1036" s="32"/>
      <c r="V1036" s="37"/>
      <c r="W1036" s="32"/>
      <c r="X1036" s="34"/>
      <c r="Y1036" s="34"/>
      <c r="Z1036" s="36"/>
      <c r="AA1036" s="32" t="s">
        <v>6401</v>
      </c>
      <c r="AB1036" s="32" t="s">
        <v>6402</v>
      </c>
      <c r="AC1036" s="38" t="str">
        <f aca="false">HYPERLINK("https://biocodex6--c.vf.force.com/0014L00000KFRL7QAP", "BAILLARGEAT MARC")</f>
        <v>BAILLARGEAT MARC</v>
      </c>
      <c r="AD1036" s="38" t="str">
        <f aca="false">HYPERLINK("https://annuairesante.ameli.fr/professionnels-de-sante/recherche/fiche-detaillee-B7c1lzc3NTK1.html", "BAILLARGEAT MARC")</f>
        <v>BAILLARGEAT MARC</v>
      </c>
      <c r="AE1036" s="39"/>
      <c r="AF1036" s="40"/>
      <c r="AG1036" s="41"/>
      <c r="AH1036" s="32" t="s">
        <v>179</v>
      </c>
      <c r="AI1036" s="32"/>
      <c r="AL1036" s="32"/>
      <c r="AM1036" s="32"/>
      <c r="AN1036" s="32"/>
      <c r="AO1036" s="32"/>
      <c r="AP1036" s="32"/>
      <c r="AQ1036" s="32"/>
      <c r="AR1036" s="32"/>
      <c r="AS1036" s="32"/>
      <c r="AT1036" s="32"/>
      <c r="AU1036" s="32"/>
      <c r="XEY1036" s="27"/>
      <c r="XEZ1036" s="27"/>
      <c r="XFA1036" s="27"/>
      <c r="XFB1036" s="27"/>
      <c r="XFC1036" s="27"/>
      <c r="XFD1036" s="27"/>
    </row>
    <row r="1037" s="42" customFormat="true" ht="14.15" hidden="false" customHeight="true" outlineLevel="0" collapsed="false">
      <c r="A1037" s="28" t="s">
        <v>6403</v>
      </c>
      <c r="B1037" s="29" t="s">
        <v>612</v>
      </c>
      <c r="C1037" s="29" t="s">
        <v>6404</v>
      </c>
      <c r="D1037" s="30" t="s">
        <v>244</v>
      </c>
      <c r="E1037" s="31"/>
      <c r="F1037" s="32" t="n">
        <v>70</v>
      </c>
      <c r="G1037" s="31"/>
      <c r="H1037" s="31" t="n">
        <v>1</v>
      </c>
      <c r="I1037" s="31" t="s">
        <v>197</v>
      </c>
      <c r="J1037" s="29"/>
      <c r="K1037" s="29" t="s">
        <v>6405</v>
      </c>
      <c r="L1037" s="32" t="n">
        <v>21</v>
      </c>
      <c r="M1037" s="33" t="s">
        <v>4151</v>
      </c>
      <c r="N1037" s="34" t="n">
        <v>75017</v>
      </c>
      <c r="O1037" s="35" t="s">
        <v>55</v>
      </c>
      <c r="P1037" s="36" t="s">
        <v>6406</v>
      </c>
      <c r="Q1037" s="36" t="n">
        <v>1</v>
      </c>
      <c r="R1037" s="32" t="n">
        <v>243</v>
      </c>
      <c r="S1037" s="32" t="n">
        <v>1</v>
      </c>
      <c r="T1037" s="32"/>
      <c r="U1037" s="32"/>
      <c r="V1037" s="37"/>
      <c r="W1037" s="32"/>
      <c r="X1037" s="34"/>
      <c r="Y1037" s="34"/>
      <c r="Z1037" s="36"/>
      <c r="AA1037" s="32" t="s">
        <v>6407</v>
      </c>
      <c r="AB1037" s="32"/>
      <c r="AC1037" s="38" t="str">
        <f aca="false">HYPERLINK("https://biocodex6--c.vf.force.com/0014L00000KFi8sQAD", "HANAU JAMA CORINNE")</f>
        <v>HANAU JAMA CORINNE</v>
      </c>
      <c r="AD1037" s="38"/>
      <c r="AE1037" s="39"/>
      <c r="AF1037" s="40"/>
      <c r="AG1037" s="41"/>
      <c r="AH1037" s="32" t="s">
        <v>179</v>
      </c>
      <c r="AI1037" s="32"/>
      <c r="AL1037" s="32"/>
      <c r="AM1037" s="32"/>
      <c r="AN1037" s="32"/>
      <c r="AO1037" s="32"/>
      <c r="AP1037" s="32"/>
      <c r="AQ1037" s="32"/>
      <c r="AR1037" s="32"/>
      <c r="AS1037" s="32"/>
      <c r="AT1037" s="32"/>
      <c r="AU1037" s="32"/>
      <c r="XEY1037" s="27"/>
      <c r="XEZ1037" s="27"/>
      <c r="XFA1037" s="27"/>
      <c r="XFB1037" s="27"/>
      <c r="XFC1037" s="27"/>
      <c r="XFD1037" s="27"/>
    </row>
    <row r="1038" s="42" customFormat="true" ht="14.15" hidden="false" customHeight="true" outlineLevel="0" collapsed="false">
      <c r="A1038" s="28" t="s">
        <v>6408</v>
      </c>
      <c r="B1038" s="29" t="s">
        <v>3633</v>
      </c>
      <c r="C1038" s="29" t="s">
        <v>6409</v>
      </c>
      <c r="D1038" s="30" t="s">
        <v>50</v>
      </c>
      <c r="E1038" s="30" t="s">
        <v>421</v>
      </c>
      <c r="F1038" s="32" t="n">
        <v>70</v>
      </c>
      <c r="G1038" s="31"/>
      <c r="H1038" s="31" t="n">
        <v>1</v>
      </c>
      <c r="I1038" s="31" t="s">
        <v>99</v>
      </c>
      <c r="J1038" s="29"/>
      <c r="K1038" s="29" t="s">
        <v>6410</v>
      </c>
      <c r="L1038" s="32" t="n">
        <v>9</v>
      </c>
      <c r="M1038" s="33" t="s">
        <v>5717</v>
      </c>
      <c r="N1038" s="34" t="n">
        <v>75015</v>
      </c>
      <c r="O1038" s="35" t="s">
        <v>55</v>
      </c>
      <c r="P1038" s="36" t="s">
        <v>6411</v>
      </c>
      <c r="Q1038" s="36" t="n">
        <v>1</v>
      </c>
      <c r="R1038" s="32" t="n">
        <v>242</v>
      </c>
      <c r="S1038" s="32" t="n">
        <v>1</v>
      </c>
      <c r="T1038" s="32"/>
      <c r="U1038" s="32"/>
      <c r="V1038" s="37"/>
      <c r="W1038" s="32"/>
      <c r="X1038" s="34"/>
      <c r="Y1038" s="34"/>
      <c r="Z1038" s="36"/>
      <c r="AA1038" s="32" t="s">
        <v>6412</v>
      </c>
      <c r="AB1038" s="32"/>
      <c r="AC1038" s="38" t="str">
        <f aca="false">HYPERLINK("https://biocodex6--c.vf.force.com/0014L00000KFhlqQAD", "GUINARD AUDE")</f>
        <v>GUINARD AUDE</v>
      </c>
      <c r="AD1038" s="38"/>
      <c r="AE1038" s="39"/>
      <c r="AF1038" s="40"/>
      <c r="AG1038" s="41"/>
      <c r="AH1038" s="32" t="s">
        <v>179</v>
      </c>
      <c r="AI1038" s="32"/>
      <c r="AL1038" s="32"/>
      <c r="AM1038" s="32"/>
      <c r="AN1038" s="32"/>
      <c r="AO1038" s="32"/>
      <c r="AP1038" s="32"/>
      <c r="AQ1038" s="32"/>
      <c r="AR1038" s="32"/>
      <c r="AS1038" s="32"/>
      <c r="AT1038" s="32"/>
      <c r="AU1038" s="32"/>
      <c r="XEY1038" s="27"/>
      <c r="XEZ1038" s="27"/>
      <c r="XFA1038" s="27"/>
      <c r="XFB1038" s="27"/>
      <c r="XFC1038" s="27"/>
      <c r="XFD1038" s="27"/>
    </row>
    <row r="1039" s="42" customFormat="true" ht="14.15" hidden="false" customHeight="true" outlineLevel="0" collapsed="false">
      <c r="A1039" s="28" t="s">
        <v>6413</v>
      </c>
      <c r="B1039" s="29" t="s">
        <v>1534</v>
      </c>
      <c r="C1039" s="29" t="s">
        <v>6414</v>
      </c>
      <c r="D1039" s="30" t="s">
        <v>244</v>
      </c>
      <c r="E1039" s="30" t="s">
        <v>245</v>
      </c>
      <c r="F1039" s="32" t="n">
        <v>67</v>
      </c>
      <c r="G1039" s="31" t="s">
        <v>215</v>
      </c>
      <c r="H1039" s="31" t="n">
        <v>1</v>
      </c>
      <c r="I1039" s="31" t="s">
        <v>435</v>
      </c>
      <c r="J1039" s="29" t="s">
        <v>3117</v>
      </c>
      <c r="K1039" s="29" t="s">
        <v>3118</v>
      </c>
      <c r="L1039" s="32" t="n">
        <v>46</v>
      </c>
      <c r="M1039" s="33" t="s">
        <v>1450</v>
      </c>
      <c r="N1039" s="34" t="n">
        <v>75016</v>
      </c>
      <c r="O1039" s="35" t="s">
        <v>55</v>
      </c>
      <c r="P1039" s="36" t="s">
        <v>3119</v>
      </c>
      <c r="Q1039" s="36" t="n">
        <v>14</v>
      </c>
      <c r="R1039" s="32" t="n">
        <v>242</v>
      </c>
      <c r="S1039" s="32" t="n">
        <v>1</v>
      </c>
      <c r="T1039" s="32"/>
      <c r="U1039" s="32"/>
      <c r="V1039" s="37"/>
      <c r="W1039" s="32"/>
      <c r="X1039" s="34"/>
      <c r="Y1039" s="34"/>
      <c r="Z1039" s="36"/>
      <c r="AA1039" s="32" t="s">
        <v>6415</v>
      </c>
      <c r="AB1039" s="32" t="s">
        <v>6416</v>
      </c>
      <c r="AC1039" s="38" t="str">
        <f aca="false">HYPERLINK("https://biocodex6--c.vf.force.com/0014L00000KFqVBQA1", "MARZOUK GERARD")</f>
        <v>MARZOUK GERARD</v>
      </c>
      <c r="AD1039" s="38" t="str">
        <f aca="false">HYPERLINK("https://annuairesante.ameli.fr/professionnels-de-sante/recherche/fiche-detaillee-B7c1lTE3NTOx.html", "MARZOUK GERARD")</f>
        <v>MARZOUK GERARD</v>
      </c>
      <c r="AE1039" s="39"/>
      <c r="AF1039" s="40"/>
      <c r="AG1039" s="41"/>
      <c r="AH1039" s="32" t="s">
        <v>179</v>
      </c>
      <c r="AI1039" s="32"/>
      <c r="AL1039" s="32"/>
      <c r="AM1039" s="32"/>
      <c r="AN1039" s="32"/>
      <c r="AO1039" s="32"/>
      <c r="AP1039" s="32"/>
      <c r="AQ1039" s="32"/>
      <c r="AR1039" s="32"/>
      <c r="AS1039" s="32"/>
      <c r="AT1039" s="32"/>
      <c r="AU1039" s="32"/>
      <c r="XEY1039" s="27"/>
      <c r="XEZ1039" s="27"/>
      <c r="XFA1039" s="27"/>
      <c r="XFB1039" s="27"/>
      <c r="XFC1039" s="27"/>
      <c r="XFD1039" s="27"/>
    </row>
    <row r="1040" s="42" customFormat="true" ht="14.15" hidden="false" customHeight="true" outlineLevel="0" collapsed="false">
      <c r="A1040" s="28" t="s">
        <v>6417</v>
      </c>
      <c r="B1040" s="29" t="s">
        <v>2433</v>
      </c>
      <c r="C1040" s="29" t="s">
        <v>6418</v>
      </c>
      <c r="D1040" s="30" t="s">
        <v>50</v>
      </c>
      <c r="E1040" s="30" t="s">
        <v>421</v>
      </c>
      <c r="F1040" s="32" t="n">
        <v>81</v>
      </c>
      <c r="G1040" s="31" t="s">
        <v>215</v>
      </c>
      <c r="H1040" s="31" t="n">
        <v>1</v>
      </c>
      <c r="I1040" s="31" t="s">
        <v>62</v>
      </c>
      <c r="J1040" s="29"/>
      <c r="K1040" s="29" t="s">
        <v>6419</v>
      </c>
      <c r="L1040" s="32" t="n">
        <v>44</v>
      </c>
      <c r="M1040" s="33" t="s">
        <v>5980</v>
      </c>
      <c r="N1040" s="34" t="n">
        <v>75017</v>
      </c>
      <c r="O1040" s="35" t="s">
        <v>55</v>
      </c>
      <c r="P1040" s="36" t="s">
        <v>6420</v>
      </c>
      <c r="Q1040" s="36" t="n">
        <v>1</v>
      </c>
      <c r="R1040" s="32" t="n">
        <v>242</v>
      </c>
      <c r="S1040" s="32" t="n">
        <v>1</v>
      </c>
      <c r="T1040" s="32"/>
      <c r="U1040" s="32"/>
      <c r="V1040" s="37"/>
      <c r="W1040" s="32"/>
      <c r="X1040" s="34"/>
      <c r="Y1040" s="34"/>
      <c r="Z1040" s="36"/>
      <c r="AA1040" s="32" t="s">
        <v>6421</v>
      </c>
      <c r="AB1040" s="32" t="s">
        <v>6422</v>
      </c>
      <c r="AC1040" s="38" t="str">
        <f aca="false">HYPERLINK("https://biocodex6--c.vf.force.com/0014L00000KFsKkQAL", "MONNIER BERNARD")</f>
        <v>MONNIER BERNARD</v>
      </c>
      <c r="AD1040" s="38" t="str">
        <f aca="false">HYPERLINK("https://annuairesante.ameli.fr/professionnels-de-sante/recherche/fiche-detaillee-B7c1lTI2Mzqz.html", "MONNIER BERNARD")</f>
        <v>MONNIER BERNARD</v>
      </c>
      <c r="AE1040" s="39"/>
      <c r="AF1040" s="40"/>
      <c r="AG1040" s="41"/>
      <c r="AH1040" s="32" t="s">
        <v>179</v>
      </c>
      <c r="AI1040" s="32"/>
      <c r="AL1040" s="32"/>
      <c r="AM1040" s="32"/>
      <c r="AN1040" s="32"/>
      <c r="AO1040" s="32"/>
      <c r="AP1040" s="32"/>
      <c r="AQ1040" s="32"/>
      <c r="AR1040" s="32"/>
      <c r="AS1040" s="32"/>
      <c r="AT1040" s="32"/>
      <c r="AU1040" s="32"/>
      <c r="XEY1040" s="27"/>
      <c r="XEZ1040" s="27"/>
      <c r="XFA1040" s="27"/>
      <c r="XFB1040" s="27"/>
      <c r="XFC1040" s="27"/>
      <c r="XFD1040" s="27"/>
    </row>
    <row r="1041" s="42" customFormat="true" ht="14.15" hidden="false" customHeight="true" outlineLevel="0" collapsed="false">
      <c r="A1041" s="28" t="s">
        <v>1093</v>
      </c>
      <c r="B1041" s="29" t="s">
        <v>183</v>
      </c>
      <c r="C1041" s="29" t="s">
        <v>6423</v>
      </c>
      <c r="D1041" s="30" t="s">
        <v>50</v>
      </c>
      <c r="E1041" s="31"/>
      <c r="F1041" s="32" t="n">
        <v>75</v>
      </c>
      <c r="G1041" s="31" t="s">
        <v>215</v>
      </c>
      <c r="H1041" s="31" t="n">
        <v>1</v>
      </c>
      <c r="I1041" s="31" t="s">
        <v>197</v>
      </c>
      <c r="J1041" s="29"/>
      <c r="K1041" s="29" t="s">
        <v>3321</v>
      </c>
      <c r="L1041" s="32" t="n">
        <v>78</v>
      </c>
      <c r="M1041" s="33" t="s">
        <v>3322</v>
      </c>
      <c r="N1041" s="34" t="n">
        <v>75017</v>
      </c>
      <c r="O1041" s="35" t="s">
        <v>55</v>
      </c>
      <c r="P1041" s="36" t="s">
        <v>6424</v>
      </c>
      <c r="Q1041" s="36" t="n">
        <v>2</v>
      </c>
      <c r="R1041" s="32" t="n">
        <v>241</v>
      </c>
      <c r="S1041" s="32" t="n">
        <v>1</v>
      </c>
      <c r="T1041" s="32"/>
      <c r="U1041" s="32"/>
      <c r="V1041" s="37"/>
      <c r="W1041" s="32"/>
      <c r="X1041" s="34"/>
      <c r="Y1041" s="34" t="n">
        <v>2</v>
      </c>
      <c r="Z1041" s="32"/>
      <c r="AA1041" s="32" t="s">
        <v>6425</v>
      </c>
      <c r="AB1041" s="32" t="s">
        <v>6426</v>
      </c>
      <c r="AC1041" s="38" t="str">
        <f aca="false">HYPERLINK("https://biocodex6--c.vf.force.com/0014L00000KFnNcQAL", "LEDOUX CHRISTIAN")</f>
        <v>LEDOUX CHRISTIAN</v>
      </c>
      <c r="AD1041" s="38" t="str">
        <f aca="false">HYPERLINK("https://annuairesante.ameli.fr/professionnels-de-sante/recherche/fiche-detaillee-B7c1ljI2MjSx.html", "LEDOUX CHRISTIAN")</f>
        <v>LEDOUX CHRISTIAN</v>
      </c>
      <c r="AE1041" s="39"/>
      <c r="AF1041" s="40"/>
      <c r="AG1041" s="41"/>
      <c r="AH1041" s="32"/>
      <c r="AI1041" s="32"/>
      <c r="AL1041" s="32"/>
      <c r="AM1041" s="32"/>
      <c r="AN1041" s="32"/>
      <c r="AO1041" s="32"/>
      <c r="AP1041" s="32"/>
      <c r="AQ1041" s="32"/>
      <c r="AR1041" s="32"/>
      <c r="AS1041" s="32"/>
      <c r="AT1041" s="32"/>
      <c r="AU1041" s="32"/>
      <c r="XEY1041" s="27"/>
      <c r="XEZ1041" s="27"/>
      <c r="XFA1041" s="27"/>
      <c r="XFB1041" s="27"/>
      <c r="XFC1041" s="27"/>
      <c r="XFD1041" s="27"/>
    </row>
    <row r="1042" s="42" customFormat="true" ht="14.15" hidden="false" customHeight="true" outlineLevel="0" collapsed="false">
      <c r="A1042" s="28" t="s">
        <v>6427</v>
      </c>
      <c r="B1042" s="29" t="s">
        <v>6428</v>
      </c>
      <c r="C1042" s="29" t="s">
        <v>6429</v>
      </c>
      <c r="D1042" s="30" t="s">
        <v>50</v>
      </c>
      <c r="E1042" s="30" t="s">
        <v>112</v>
      </c>
      <c r="F1042" s="32" t="n">
        <v>69</v>
      </c>
      <c r="G1042" s="31" t="s">
        <v>61</v>
      </c>
      <c r="H1042" s="31" t="n">
        <v>1</v>
      </c>
      <c r="I1042" s="31" t="s">
        <v>233</v>
      </c>
      <c r="J1042" s="29"/>
      <c r="K1042" s="29" t="s">
        <v>6430</v>
      </c>
      <c r="L1042" s="32" t="n">
        <v>18</v>
      </c>
      <c r="M1042" s="33" t="s">
        <v>1996</v>
      </c>
      <c r="N1042" s="34" t="n">
        <v>75015</v>
      </c>
      <c r="O1042" s="35" t="s">
        <v>55</v>
      </c>
      <c r="P1042" s="36" t="s">
        <v>6431</v>
      </c>
      <c r="Q1042" s="36" t="n">
        <v>1</v>
      </c>
      <c r="R1042" s="32" t="n">
        <v>241</v>
      </c>
      <c r="S1042" s="32" t="n">
        <v>1</v>
      </c>
      <c r="T1042" s="32"/>
      <c r="U1042" s="32"/>
      <c r="V1042" s="37"/>
      <c r="W1042" s="32"/>
      <c r="X1042" s="34"/>
      <c r="Y1042" s="34"/>
      <c r="Z1042" s="36"/>
      <c r="AA1042" s="32" t="s">
        <v>6432</v>
      </c>
      <c r="AB1042" s="32" t="s">
        <v>6433</v>
      </c>
      <c r="AC1042" s="38" t="str">
        <f aca="false">HYPERLINK("https://biocodex6--c.vf.force.com/0014L00000KFj9KQAT", "HOVANESSIAN YVELINE")</f>
        <v>HOVANESSIAN YVELINE</v>
      </c>
      <c r="AD1042" s="38" t="str">
        <f aca="false">HYPERLINK("https://annuairesante.ameli.fr/professionnels-de-sante/recherche/fiche-detaillee-B7c1ljY2ODa6.html", "HOVANESSIAN YVELINE")</f>
        <v>HOVANESSIAN YVELINE</v>
      </c>
      <c r="AE1042" s="39"/>
      <c r="AF1042" s="40"/>
      <c r="AG1042" s="41"/>
      <c r="AH1042" s="32" t="s">
        <v>179</v>
      </c>
      <c r="AI1042" s="32"/>
      <c r="AL1042" s="43" t="s">
        <v>263</v>
      </c>
      <c r="AM1042" s="43" t="s">
        <v>126</v>
      </c>
      <c r="AN1042" s="43" t="s">
        <v>6434</v>
      </c>
      <c r="AO1042" s="32"/>
      <c r="AP1042" s="32"/>
      <c r="AQ1042" s="32"/>
      <c r="AR1042" s="43" t="s">
        <v>657</v>
      </c>
      <c r="AS1042" s="43" t="s">
        <v>137</v>
      </c>
      <c r="AT1042" s="32"/>
      <c r="AU1042" s="32"/>
      <c r="XEY1042" s="27"/>
      <c r="XEZ1042" s="27"/>
      <c r="XFA1042" s="27"/>
      <c r="XFB1042" s="27"/>
      <c r="XFC1042" s="27"/>
      <c r="XFD1042" s="27"/>
    </row>
    <row r="1043" s="42" customFormat="true" ht="14.15" hidden="false" customHeight="true" outlineLevel="0" collapsed="false">
      <c r="A1043" s="28" t="s">
        <v>59</v>
      </c>
      <c r="B1043" s="29" t="s">
        <v>6435</v>
      </c>
      <c r="C1043" s="29" t="s">
        <v>6436</v>
      </c>
      <c r="D1043" s="30" t="s">
        <v>50</v>
      </c>
      <c r="E1043" s="31"/>
      <c r="F1043" s="32" t="n">
        <v>0</v>
      </c>
      <c r="G1043" s="31"/>
      <c r="H1043" s="31" t="n">
        <v>1</v>
      </c>
      <c r="I1043" s="31" t="s">
        <v>99</v>
      </c>
      <c r="J1043" s="29" t="s">
        <v>5359</v>
      </c>
      <c r="K1043" s="29" t="s">
        <v>5360</v>
      </c>
      <c r="L1043" s="32" t="n">
        <v>106</v>
      </c>
      <c r="M1043" s="33" t="s">
        <v>4367</v>
      </c>
      <c r="N1043" s="34" t="n">
        <v>75015</v>
      </c>
      <c r="O1043" s="35" t="s">
        <v>55</v>
      </c>
      <c r="P1043" s="36" t="s">
        <v>6437</v>
      </c>
      <c r="Q1043" s="36" t="n">
        <v>5</v>
      </c>
      <c r="R1043" s="32" t="n">
        <v>240</v>
      </c>
      <c r="S1043" s="32" t="n">
        <v>1</v>
      </c>
      <c r="T1043" s="32"/>
      <c r="U1043" s="32"/>
      <c r="V1043" s="37"/>
      <c r="W1043" s="32"/>
      <c r="X1043" s="34"/>
      <c r="Y1043" s="34"/>
      <c r="Z1043" s="36"/>
      <c r="AA1043" s="32" t="s">
        <v>6438</v>
      </c>
      <c r="AB1043" s="32"/>
      <c r="AC1043" s="38" t="str">
        <f aca="false">HYPERLINK("https://biocodex6--c.vf.force.com/0014L00000KG8XFQA1", "RICHARD MARIE SYLVIE")</f>
        <v>RICHARD MARIE SYLVIE</v>
      </c>
      <c r="AD1043" s="38"/>
      <c r="AE1043" s="39"/>
      <c r="AF1043" s="40"/>
      <c r="AG1043" s="41"/>
      <c r="AH1043" s="32" t="s">
        <v>179</v>
      </c>
      <c r="AI1043" s="32"/>
      <c r="AL1043" s="32"/>
      <c r="AM1043" s="32"/>
      <c r="AN1043" s="32"/>
      <c r="AO1043" s="32"/>
      <c r="AP1043" s="32"/>
      <c r="AQ1043" s="32"/>
      <c r="AR1043" s="32"/>
      <c r="AS1043" s="32"/>
      <c r="AT1043" s="32"/>
      <c r="AU1043" s="32"/>
      <c r="XEY1043" s="27"/>
      <c r="XEZ1043" s="27"/>
      <c r="XFA1043" s="27"/>
      <c r="XFB1043" s="27"/>
      <c r="XFC1043" s="27"/>
      <c r="XFD1043" s="27"/>
    </row>
    <row r="1044" s="42" customFormat="true" ht="14.15" hidden="false" customHeight="true" outlineLevel="0" collapsed="false">
      <c r="A1044" s="28" t="s">
        <v>3255</v>
      </c>
      <c r="B1044" s="29" t="s">
        <v>4285</v>
      </c>
      <c r="C1044" s="29" t="s">
        <v>6439</v>
      </c>
      <c r="D1044" s="30" t="s">
        <v>50</v>
      </c>
      <c r="E1044" s="31"/>
      <c r="F1044" s="32" t="n">
        <v>52</v>
      </c>
      <c r="G1044" s="31"/>
      <c r="H1044" s="31" t="n">
        <v>1</v>
      </c>
      <c r="I1044" s="31" t="s">
        <v>99</v>
      </c>
      <c r="J1044" s="29" t="s">
        <v>595</v>
      </c>
      <c r="K1044" s="29" t="s">
        <v>596</v>
      </c>
      <c r="L1044" s="32" t="n">
        <v>20</v>
      </c>
      <c r="M1044" s="33" t="s">
        <v>597</v>
      </c>
      <c r="N1044" s="34" t="n">
        <v>75015</v>
      </c>
      <c r="O1044" s="35" t="s">
        <v>55</v>
      </c>
      <c r="P1044" s="36" t="s">
        <v>6440</v>
      </c>
      <c r="Q1044" s="36" t="n">
        <v>90</v>
      </c>
      <c r="R1044" s="32" t="n">
        <v>240</v>
      </c>
      <c r="S1044" s="32" t="n">
        <v>1</v>
      </c>
      <c r="T1044" s="32"/>
      <c r="U1044" s="32"/>
      <c r="V1044" s="37"/>
      <c r="W1044" s="32"/>
      <c r="X1044" s="34"/>
      <c r="Y1044" s="34"/>
      <c r="Z1044" s="36"/>
      <c r="AA1044" s="32" t="s">
        <v>6441</v>
      </c>
      <c r="AB1044" s="32"/>
      <c r="AC1044" s="38" t="str">
        <f aca="false">HYPERLINK("https://biocodex6--c.vf.force.com/0014L00000KFXFfQAP", "DENIS JENNIFER")</f>
        <v>DENIS JENNIFER</v>
      </c>
      <c r="AD1044" s="38"/>
      <c r="AE1044" s="39"/>
      <c r="AF1044" s="40"/>
      <c r="AG1044" s="41"/>
      <c r="AH1044" s="32" t="s">
        <v>179</v>
      </c>
      <c r="AI1044" s="32"/>
      <c r="AL1044" s="32"/>
      <c r="AM1044" s="32"/>
      <c r="AN1044" s="32"/>
      <c r="AO1044" s="32"/>
      <c r="AP1044" s="32"/>
      <c r="AQ1044" s="32"/>
      <c r="AR1044" s="32"/>
      <c r="AS1044" s="32"/>
      <c r="AT1044" s="32"/>
      <c r="AU1044" s="32"/>
      <c r="XEY1044" s="27"/>
      <c r="XEZ1044" s="27"/>
      <c r="XFA1044" s="27"/>
      <c r="XFB1044" s="27"/>
      <c r="XFC1044" s="27"/>
      <c r="XFD1044" s="27"/>
    </row>
    <row r="1045" s="42" customFormat="true" ht="14.15" hidden="false" customHeight="true" outlineLevel="0" collapsed="false">
      <c r="A1045" s="28" t="s">
        <v>6442</v>
      </c>
      <c r="B1045" s="29" t="s">
        <v>1396</v>
      </c>
      <c r="C1045" s="29" t="s">
        <v>6443</v>
      </c>
      <c r="D1045" s="30" t="s">
        <v>50</v>
      </c>
      <c r="E1045" s="30" t="s">
        <v>776</v>
      </c>
      <c r="F1045" s="32" t="n">
        <v>43</v>
      </c>
      <c r="G1045" s="31" t="s">
        <v>98</v>
      </c>
      <c r="H1045" s="31" t="n">
        <v>1</v>
      </c>
      <c r="I1045" s="31" t="s">
        <v>119</v>
      </c>
      <c r="J1045" s="29"/>
      <c r="K1045" s="29" t="s">
        <v>6444</v>
      </c>
      <c r="L1045" s="32" t="n">
        <v>18</v>
      </c>
      <c r="M1045" s="33" t="s">
        <v>3458</v>
      </c>
      <c r="N1045" s="34" t="n">
        <v>75007</v>
      </c>
      <c r="O1045" s="35" t="s">
        <v>55</v>
      </c>
      <c r="P1045" s="36" t="s">
        <v>6445</v>
      </c>
      <c r="Q1045" s="36" t="n">
        <v>1</v>
      </c>
      <c r="R1045" s="32" t="n">
        <v>240</v>
      </c>
      <c r="S1045" s="32" t="n">
        <v>1</v>
      </c>
      <c r="T1045" s="32"/>
      <c r="U1045" s="32"/>
      <c r="V1045" s="37"/>
      <c r="W1045" s="32"/>
      <c r="X1045" s="34"/>
      <c r="Y1045" s="34"/>
      <c r="Z1045" s="36"/>
      <c r="AA1045" s="32" t="s">
        <v>6446</v>
      </c>
      <c r="AB1045" s="32" t="s">
        <v>6447</v>
      </c>
      <c r="AC1045" s="38" t="str">
        <f aca="false">HYPERLINK("https://biocodex6--c.vf.force.com/0014L00000KFUe0QAH", "BEAUFORT ROMAIN")</f>
        <v>BEAUFORT ROMAIN</v>
      </c>
      <c r="AD1045" s="38" t="str">
        <f aca="false">HYPERLINK("https://annuairesante.ameli.fr/professionnels-de-sante/recherche/fiche-detaillee-B7c1mzY1Nzu2.html", "BEAUFORT ROMAIN")</f>
        <v>BEAUFORT ROMAIN</v>
      </c>
      <c r="AE1045" s="39"/>
      <c r="AF1045" s="40"/>
      <c r="AG1045" s="41"/>
      <c r="AH1045" s="32" t="s">
        <v>179</v>
      </c>
      <c r="AI1045" s="32"/>
      <c r="AL1045" s="43" t="s">
        <v>657</v>
      </c>
      <c r="AM1045" s="32"/>
      <c r="AN1045" s="43" t="s">
        <v>657</v>
      </c>
      <c r="AO1045" s="43" t="s">
        <v>1066</v>
      </c>
      <c r="AP1045" s="43" t="s">
        <v>657</v>
      </c>
      <c r="AQ1045" s="43" t="s">
        <v>1066</v>
      </c>
      <c r="AR1045" s="43" t="s">
        <v>657</v>
      </c>
      <c r="AS1045" s="32"/>
      <c r="AT1045" s="43" t="s">
        <v>657</v>
      </c>
      <c r="AU1045" s="43" t="s">
        <v>1066</v>
      </c>
      <c r="XEY1045" s="27"/>
      <c r="XEZ1045" s="27"/>
      <c r="XFA1045" s="27"/>
      <c r="XFB1045" s="27"/>
      <c r="XFC1045" s="27"/>
      <c r="XFD1045" s="27"/>
    </row>
    <row r="1046" s="42" customFormat="true" ht="14.15" hidden="false" customHeight="true" outlineLevel="0" collapsed="false">
      <c r="A1046" s="28" t="s">
        <v>6448</v>
      </c>
      <c r="B1046" s="29" t="s">
        <v>304</v>
      </c>
      <c r="C1046" s="29" t="s">
        <v>6449</v>
      </c>
      <c r="D1046" s="30" t="s">
        <v>50</v>
      </c>
      <c r="E1046" s="31"/>
      <c r="F1046" s="32" t="n">
        <v>51</v>
      </c>
      <c r="G1046" s="31"/>
      <c r="H1046" s="31" t="n">
        <v>1</v>
      </c>
      <c r="I1046" s="31" t="s">
        <v>51</v>
      </c>
      <c r="J1046" s="29" t="s">
        <v>52</v>
      </c>
      <c r="K1046" s="29" t="s">
        <v>53</v>
      </c>
      <c r="L1046" s="32" t="n">
        <v>149</v>
      </c>
      <c r="M1046" s="33" t="s">
        <v>54</v>
      </c>
      <c r="N1046" s="34" t="n">
        <v>75015</v>
      </c>
      <c r="O1046" s="35" t="s">
        <v>55</v>
      </c>
      <c r="P1046" s="36"/>
      <c r="Q1046" s="36" t="n">
        <v>236</v>
      </c>
      <c r="R1046" s="32" t="n">
        <v>240</v>
      </c>
      <c r="S1046" s="32" t="n">
        <v>1</v>
      </c>
      <c r="T1046" s="32"/>
      <c r="U1046" s="32"/>
      <c r="V1046" s="37"/>
      <c r="W1046" s="32"/>
      <c r="X1046" s="34"/>
      <c r="Y1046" s="34"/>
      <c r="Z1046" s="36"/>
      <c r="AA1046" s="32" t="s">
        <v>6450</v>
      </c>
      <c r="AB1046" s="32"/>
      <c r="AC1046" s="38" t="str">
        <f aca="false">HYPERLINK("https://biocodex6--c.vf.force.com/0014L00000KFqSCQA1", "MENSAH SANDRINE")</f>
        <v>MENSAH SANDRINE</v>
      </c>
      <c r="AD1046" s="38"/>
      <c r="AE1046" s="39"/>
      <c r="AF1046" s="40"/>
      <c r="AG1046" s="41"/>
      <c r="AH1046" s="32" t="s">
        <v>179</v>
      </c>
      <c r="AI1046" s="32"/>
      <c r="AL1046" s="32"/>
      <c r="AM1046" s="32"/>
      <c r="AN1046" s="32"/>
      <c r="AO1046" s="32"/>
      <c r="AP1046" s="32"/>
      <c r="AQ1046" s="32"/>
      <c r="AR1046" s="32"/>
      <c r="AS1046" s="32"/>
      <c r="AT1046" s="32"/>
      <c r="AU1046" s="32"/>
      <c r="XEY1046" s="27"/>
      <c r="XEZ1046" s="27"/>
      <c r="XFA1046" s="27"/>
      <c r="XFB1046" s="27"/>
      <c r="XFC1046" s="27"/>
      <c r="XFD1046" s="27"/>
    </row>
    <row r="1047" s="42" customFormat="true" ht="14.15" hidden="false" customHeight="true" outlineLevel="0" collapsed="false">
      <c r="A1047" s="28" t="s">
        <v>6451</v>
      </c>
      <c r="B1047" s="29" t="s">
        <v>829</v>
      </c>
      <c r="C1047" s="29" t="s">
        <v>6452</v>
      </c>
      <c r="D1047" s="30" t="s">
        <v>268</v>
      </c>
      <c r="E1047" s="31"/>
      <c r="F1047" s="32" t="n">
        <v>71</v>
      </c>
      <c r="G1047" s="31" t="s">
        <v>215</v>
      </c>
      <c r="H1047" s="31" t="n">
        <v>1</v>
      </c>
      <c r="I1047" s="31" t="s">
        <v>197</v>
      </c>
      <c r="J1047" s="29"/>
      <c r="K1047" s="29" t="s">
        <v>6453</v>
      </c>
      <c r="L1047" s="32" t="n">
        <v>39</v>
      </c>
      <c r="M1047" s="33" t="s">
        <v>2982</v>
      </c>
      <c r="N1047" s="34" t="n">
        <v>75017</v>
      </c>
      <c r="O1047" s="35" t="s">
        <v>55</v>
      </c>
      <c r="P1047" s="36" t="s">
        <v>6454</v>
      </c>
      <c r="Q1047" s="36" t="n">
        <v>1</v>
      </c>
      <c r="R1047" s="32" t="n">
        <v>240</v>
      </c>
      <c r="S1047" s="32" t="n">
        <v>1</v>
      </c>
      <c r="T1047" s="32"/>
      <c r="U1047" s="32"/>
      <c r="V1047" s="37"/>
      <c r="W1047" s="32"/>
      <c r="X1047" s="34"/>
      <c r="Y1047" s="34"/>
      <c r="Z1047" s="36"/>
      <c r="AA1047" s="32" t="s">
        <v>6455</v>
      </c>
      <c r="AB1047" s="32" t="s">
        <v>6456</v>
      </c>
      <c r="AC1047" s="38" t="str">
        <f aca="false">HYPERLINK("https://biocodex6--c.vf.force.com/0014L00000KFzWJQA1", "ROUGEMONT DIDIER")</f>
        <v>ROUGEMONT DIDIER</v>
      </c>
      <c r="AD1047" s="38" t="str">
        <f aca="false">HYPERLINK("https://annuairesante.ameli.fr/professionnels-de-sante/recherche/fiche-detaillee-B7c1kTU4MTu7.html", "ROUGEMONT DIDIER")</f>
        <v>ROUGEMONT DIDIER</v>
      </c>
      <c r="AE1047" s="39"/>
      <c r="AF1047" s="40"/>
      <c r="AG1047" s="41"/>
      <c r="AH1047" s="32" t="s">
        <v>179</v>
      </c>
      <c r="AI1047" s="32"/>
      <c r="AL1047" s="32"/>
      <c r="AM1047" s="32"/>
      <c r="AN1047" s="32"/>
      <c r="AO1047" s="32"/>
      <c r="AP1047" s="32"/>
      <c r="AQ1047" s="32"/>
      <c r="AR1047" s="32"/>
      <c r="AS1047" s="32"/>
      <c r="AT1047" s="32"/>
      <c r="AU1047" s="32"/>
      <c r="XEY1047" s="27"/>
      <c r="XEZ1047" s="27"/>
      <c r="XFA1047" s="27"/>
      <c r="XFB1047" s="27"/>
      <c r="XFC1047" s="27"/>
      <c r="XFD1047" s="27"/>
    </row>
    <row r="1048" s="42" customFormat="true" ht="14.15" hidden="false" customHeight="true" outlineLevel="0" collapsed="false">
      <c r="A1048" s="28" t="s">
        <v>6457</v>
      </c>
      <c r="B1048" s="29" t="s">
        <v>399</v>
      </c>
      <c r="C1048" s="29" t="s">
        <v>6458</v>
      </c>
      <c r="D1048" s="30" t="s">
        <v>244</v>
      </c>
      <c r="E1048" s="30" t="s">
        <v>245</v>
      </c>
      <c r="F1048" s="32" t="n">
        <v>48</v>
      </c>
      <c r="G1048" s="31" t="s">
        <v>215</v>
      </c>
      <c r="H1048" s="31" t="n">
        <v>4</v>
      </c>
      <c r="I1048" s="31" t="s">
        <v>173</v>
      </c>
      <c r="J1048" s="29"/>
      <c r="K1048" s="29" t="s">
        <v>6459</v>
      </c>
      <c r="L1048" s="32" t="n">
        <v>4</v>
      </c>
      <c r="M1048" s="33" t="s">
        <v>1348</v>
      </c>
      <c r="N1048" s="34" t="n">
        <v>75016</v>
      </c>
      <c r="O1048" s="35" t="s">
        <v>55</v>
      </c>
      <c r="P1048" s="36"/>
      <c r="Q1048" s="36" t="n">
        <v>1</v>
      </c>
      <c r="R1048" s="32" t="n">
        <v>240</v>
      </c>
      <c r="S1048" s="32" t="n">
        <v>1</v>
      </c>
      <c r="T1048" s="32"/>
      <c r="U1048" s="32"/>
      <c r="V1048" s="37"/>
      <c r="W1048" s="32"/>
      <c r="X1048" s="34"/>
      <c r="Y1048" s="34"/>
      <c r="Z1048" s="36"/>
      <c r="AA1048" s="32" t="s">
        <v>6460</v>
      </c>
      <c r="AB1048" s="32" t="s">
        <v>6461</v>
      </c>
      <c r="AC1048" s="38" t="str">
        <f aca="false">HYPERLINK("https://biocodex6--c.vf.force.com/0014L00000KFRkdQAH", "AMI OLIVIER")</f>
        <v>AMI OLIVIER</v>
      </c>
      <c r="AD1048" s="38" t="str">
        <f aca="false">HYPERLINK("https://annuairesante.ameli.fr/professionnels-de-sante/recherche/fiche-detaillee-B7c1mjM5Nzuy.html", "AMI OLIVIER")</f>
        <v>AMI OLIVIER</v>
      </c>
      <c r="AE1048" s="39"/>
      <c r="AF1048" s="40"/>
      <c r="AG1048" s="41"/>
      <c r="AH1048" s="32" t="s">
        <v>179</v>
      </c>
      <c r="AI1048" s="32"/>
      <c r="AL1048" s="32"/>
      <c r="AM1048" s="32"/>
      <c r="AN1048" s="32"/>
      <c r="AO1048" s="32"/>
      <c r="AP1048" s="32"/>
      <c r="AQ1048" s="32"/>
      <c r="AR1048" s="32"/>
      <c r="AS1048" s="32"/>
      <c r="AT1048" s="32"/>
      <c r="AU1048" s="32"/>
      <c r="XEY1048" s="27"/>
      <c r="XEZ1048" s="27"/>
      <c r="XFA1048" s="27"/>
      <c r="XFB1048" s="27"/>
      <c r="XFC1048" s="27"/>
      <c r="XFD1048" s="27"/>
    </row>
    <row r="1049" s="42" customFormat="true" ht="14.15" hidden="false" customHeight="true" outlineLevel="0" collapsed="false">
      <c r="A1049" s="28" t="s">
        <v>6462</v>
      </c>
      <c r="B1049" s="29" t="s">
        <v>183</v>
      </c>
      <c r="C1049" s="29" t="s">
        <v>6463</v>
      </c>
      <c r="D1049" s="30" t="s">
        <v>50</v>
      </c>
      <c r="E1049" s="31"/>
      <c r="F1049" s="32" t="n">
        <v>63</v>
      </c>
      <c r="G1049" s="31" t="s">
        <v>98</v>
      </c>
      <c r="H1049" s="31" t="n">
        <v>1</v>
      </c>
      <c r="I1049" s="31" t="s">
        <v>173</v>
      </c>
      <c r="J1049" s="29"/>
      <c r="K1049" s="29" t="s">
        <v>6464</v>
      </c>
      <c r="L1049" s="32" t="n">
        <v>37</v>
      </c>
      <c r="M1049" s="33" t="s">
        <v>6465</v>
      </c>
      <c r="N1049" s="34" t="n">
        <v>75016</v>
      </c>
      <c r="O1049" s="35" t="s">
        <v>55</v>
      </c>
      <c r="P1049" s="36" t="s">
        <v>6466</v>
      </c>
      <c r="Q1049" s="36" t="n">
        <v>1</v>
      </c>
      <c r="R1049" s="32" t="n">
        <v>240</v>
      </c>
      <c r="S1049" s="32" t="n">
        <v>1</v>
      </c>
      <c r="T1049" s="32"/>
      <c r="U1049" s="32"/>
      <c r="V1049" s="37"/>
      <c r="W1049" s="32"/>
      <c r="X1049" s="34"/>
      <c r="Y1049" s="34"/>
      <c r="Z1049" s="36"/>
      <c r="AA1049" s="32" t="s">
        <v>6467</v>
      </c>
      <c r="AB1049" s="32" t="s">
        <v>6468</v>
      </c>
      <c r="AC1049" s="38" t="str">
        <f aca="false">HYPERLINK("https://biocodex6--c.vf.force.com/0014L00000KFrjQQAT", "MICHAELI CHRISTIAN")</f>
        <v>MICHAELI CHRISTIAN</v>
      </c>
      <c r="AD1049" s="38" t="str">
        <f aca="false">HYPERLINK("https://annuairesante.ameli.fr/professionnels-de-sante/recherche/fiche-detaillee-B7c1lzE2MjS1.html", "MICHAELI CHRISTIAN")</f>
        <v>MICHAELI CHRISTIAN</v>
      </c>
      <c r="AE1049" s="39"/>
      <c r="AF1049" s="40"/>
      <c r="AG1049" s="41"/>
      <c r="AH1049" s="32" t="s">
        <v>179</v>
      </c>
      <c r="AI1049" s="32"/>
      <c r="AL1049" s="43" t="s">
        <v>822</v>
      </c>
      <c r="AM1049" s="43" t="s">
        <v>126</v>
      </c>
      <c r="AN1049" s="43" t="s">
        <v>822</v>
      </c>
      <c r="AO1049" s="43" t="s">
        <v>126</v>
      </c>
      <c r="AP1049" s="43" t="s">
        <v>822</v>
      </c>
      <c r="AQ1049" s="43" t="s">
        <v>126</v>
      </c>
      <c r="AR1049" s="43" t="s">
        <v>822</v>
      </c>
      <c r="AS1049" s="43" t="s">
        <v>126</v>
      </c>
      <c r="AT1049" s="32"/>
      <c r="AU1049" s="32"/>
      <c r="XEY1049" s="27"/>
      <c r="XEZ1049" s="27"/>
      <c r="XFA1049" s="27"/>
      <c r="XFB1049" s="27"/>
      <c r="XFC1049" s="27"/>
      <c r="XFD1049" s="27"/>
    </row>
    <row r="1050" s="42" customFormat="true" ht="14.15" hidden="false" customHeight="true" outlineLevel="0" collapsed="false">
      <c r="A1050" s="28" t="s">
        <v>6469</v>
      </c>
      <c r="B1050" s="29" t="s">
        <v>455</v>
      </c>
      <c r="C1050" s="29" t="s">
        <v>6470</v>
      </c>
      <c r="D1050" s="30" t="s">
        <v>50</v>
      </c>
      <c r="E1050" s="30" t="s">
        <v>386</v>
      </c>
      <c r="F1050" s="32" t="n">
        <v>73</v>
      </c>
      <c r="G1050" s="31" t="s">
        <v>215</v>
      </c>
      <c r="H1050" s="31" t="n">
        <v>1</v>
      </c>
      <c r="I1050" s="31" t="s">
        <v>435</v>
      </c>
      <c r="J1050" s="29"/>
      <c r="K1050" s="29" t="s">
        <v>6471</v>
      </c>
      <c r="L1050" s="32" t="n">
        <v>10</v>
      </c>
      <c r="M1050" s="33" t="s">
        <v>2312</v>
      </c>
      <c r="N1050" s="34" t="n">
        <v>75016</v>
      </c>
      <c r="O1050" s="35" t="s">
        <v>55</v>
      </c>
      <c r="P1050" s="36" t="s">
        <v>6472</v>
      </c>
      <c r="Q1050" s="36" t="n">
        <v>1</v>
      </c>
      <c r="R1050" s="32" t="n">
        <v>239</v>
      </c>
      <c r="S1050" s="32" t="n">
        <v>1</v>
      </c>
      <c r="T1050" s="32"/>
      <c r="U1050" s="32"/>
      <c r="V1050" s="37"/>
      <c r="W1050" s="32"/>
      <c r="X1050" s="34" t="n">
        <v>1</v>
      </c>
      <c r="Y1050" s="34"/>
      <c r="Z1050" s="32"/>
      <c r="AA1050" s="32" t="s">
        <v>6473</v>
      </c>
      <c r="AB1050" s="32" t="s">
        <v>6474</v>
      </c>
      <c r="AC1050" s="38" t="str">
        <f aca="false">HYPERLINK("https://biocodex6--c.vf.force.com/0014L00000KFmFXQA1", "LASRY BRAOUDE GENEVIEVE")</f>
        <v>LASRY BRAOUDE GENEVIEVE</v>
      </c>
      <c r="AD1050" s="38" t="str">
        <f aca="false">HYPERLINK("https://annuairesante.ameli.fr/professionnels-de-sante/recherche/fiche-detaillee-B7c1ljYxNTK2.html", "LASRY BRAOUDE GENEVIEVE")</f>
        <v>LASRY BRAOUDE GENEVIEVE</v>
      </c>
      <c r="AE1050" s="39" t="n">
        <v>45279.3958333333</v>
      </c>
      <c r="AF1050" s="40" t="s">
        <v>6475</v>
      </c>
      <c r="AG1050" s="41"/>
      <c r="AH1050" s="32"/>
      <c r="AI1050" s="32"/>
      <c r="AL1050" s="32"/>
      <c r="AM1050" s="32"/>
      <c r="AN1050" s="32"/>
      <c r="AO1050" s="32"/>
      <c r="AP1050" s="32"/>
      <c r="AQ1050" s="32"/>
      <c r="AR1050" s="32"/>
      <c r="AS1050" s="32"/>
      <c r="AT1050" s="32"/>
      <c r="AU1050" s="32"/>
      <c r="XEY1050" s="27"/>
      <c r="XEZ1050" s="27"/>
      <c r="XFA1050" s="27"/>
      <c r="XFB1050" s="27"/>
      <c r="XFC1050" s="27"/>
      <c r="XFD1050" s="27"/>
    </row>
    <row r="1051" s="42" customFormat="true" ht="14.15" hidden="false" customHeight="true" outlineLevel="0" collapsed="false">
      <c r="A1051" s="28" t="s">
        <v>6476</v>
      </c>
      <c r="B1051" s="29" t="s">
        <v>195</v>
      </c>
      <c r="C1051" s="29" t="s">
        <v>6477</v>
      </c>
      <c r="D1051" s="30" t="s">
        <v>50</v>
      </c>
      <c r="E1051" s="30" t="s">
        <v>978</v>
      </c>
      <c r="F1051" s="32" t="n">
        <v>74</v>
      </c>
      <c r="G1051" s="31" t="s">
        <v>61</v>
      </c>
      <c r="H1051" s="31" t="n">
        <v>1</v>
      </c>
      <c r="I1051" s="31" t="s">
        <v>51</v>
      </c>
      <c r="J1051" s="29"/>
      <c r="K1051" s="29" t="s">
        <v>6478</v>
      </c>
      <c r="L1051" s="32" t="n">
        <v>96</v>
      </c>
      <c r="M1051" s="33" t="s">
        <v>236</v>
      </c>
      <c r="N1051" s="34" t="n">
        <v>75015</v>
      </c>
      <c r="O1051" s="35" t="s">
        <v>55</v>
      </c>
      <c r="P1051" s="36" t="s">
        <v>6479</v>
      </c>
      <c r="Q1051" s="36" t="n">
        <v>1</v>
      </c>
      <c r="R1051" s="32" t="n">
        <v>238</v>
      </c>
      <c r="S1051" s="32" t="n">
        <v>1</v>
      </c>
      <c r="T1051" s="32"/>
      <c r="U1051" s="32"/>
      <c r="V1051" s="37"/>
      <c r="W1051" s="32"/>
      <c r="X1051" s="34"/>
      <c r="Y1051" s="34"/>
      <c r="Z1051" s="36"/>
      <c r="AA1051" s="32" t="s">
        <v>6480</v>
      </c>
      <c r="AB1051" s="32" t="s">
        <v>6481</v>
      </c>
      <c r="AC1051" s="38" t="str">
        <f aca="false">HYPERLINK("https://biocodex6--c.vf.force.com/0014L00000KFjpQQAT", "JAURY PHILIPPE")</f>
        <v>JAURY PHILIPPE</v>
      </c>
      <c r="AD1051" s="38" t="str">
        <f aca="false">HYPERLINK("https://annuairesante.ameli.fr/professionnels-de-sante/recherche/fiche-detaillee-B7c1lTI2Mjqw.html", "JAURY PHILIPPE")</f>
        <v>JAURY PHILIPPE</v>
      </c>
      <c r="AE1051" s="39"/>
      <c r="AF1051" s="40"/>
      <c r="AG1051" s="41"/>
      <c r="AH1051" s="32" t="s">
        <v>179</v>
      </c>
      <c r="AI1051" s="32"/>
      <c r="AL1051" s="43" t="s">
        <v>6482</v>
      </c>
      <c r="AM1051" s="43" t="s">
        <v>661</v>
      </c>
      <c r="AN1051" s="43" t="s">
        <v>6482</v>
      </c>
      <c r="AO1051" s="43" t="s">
        <v>661</v>
      </c>
      <c r="AP1051" s="43" t="s">
        <v>6482</v>
      </c>
      <c r="AQ1051" s="43" t="s">
        <v>661</v>
      </c>
      <c r="AR1051" s="43" t="s">
        <v>6482</v>
      </c>
      <c r="AS1051" s="43" t="s">
        <v>661</v>
      </c>
      <c r="AT1051" s="43" t="s">
        <v>6482</v>
      </c>
      <c r="AU1051" s="43" t="s">
        <v>661</v>
      </c>
      <c r="XEY1051" s="27"/>
      <c r="XEZ1051" s="27"/>
      <c r="XFA1051" s="27"/>
      <c r="XFB1051" s="27"/>
      <c r="XFC1051" s="27"/>
      <c r="XFD1051" s="27"/>
    </row>
    <row r="1052" s="42" customFormat="true" ht="14.15" hidden="false" customHeight="true" outlineLevel="0" collapsed="false">
      <c r="A1052" s="28" t="s">
        <v>6483</v>
      </c>
      <c r="B1052" s="29" t="s">
        <v>6484</v>
      </c>
      <c r="C1052" s="29" t="s">
        <v>6485</v>
      </c>
      <c r="D1052" s="30" t="s">
        <v>244</v>
      </c>
      <c r="E1052" s="30" t="s">
        <v>6486</v>
      </c>
      <c r="F1052" s="32" t="n">
        <v>51</v>
      </c>
      <c r="G1052" s="31" t="s">
        <v>215</v>
      </c>
      <c r="H1052" s="31" t="n">
        <v>3</v>
      </c>
      <c r="I1052" s="31" t="s">
        <v>77</v>
      </c>
      <c r="J1052" s="29" t="s">
        <v>580</v>
      </c>
      <c r="K1052" s="29" t="s">
        <v>581</v>
      </c>
      <c r="L1052" s="32" t="n">
        <v>63</v>
      </c>
      <c r="M1052" s="33" t="s">
        <v>80</v>
      </c>
      <c r="N1052" s="34" t="n">
        <v>92200</v>
      </c>
      <c r="O1052" s="35" t="s">
        <v>81</v>
      </c>
      <c r="P1052" s="36" t="s">
        <v>6487</v>
      </c>
      <c r="Q1052" s="36" t="n">
        <v>39</v>
      </c>
      <c r="R1052" s="32" t="n">
        <v>238</v>
      </c>
      <c r="S1052" s="32" t="n">
        <v>1</v>
      </c>
      <c r="T1052" s="32"/>
      <c r="U1052" s="32"/>
      <c r="V1052" s="37"/>
      <c r="W1052" s="32"/>
      <c r="X1052" s="34"/>
      <c r="Y1052" s="34"/>
      <c r="Z1052" s="36" t="s">
        <v>6488</v>
      </c>
      <c r="AA1052" s="32" t="s">
        <v>6489</v>
      </c>
      <c r="AB1052" s="32" t="s">
        <v>6490</v>
      </c>
      <c r="AC1052" s="38" t="str">
        <f aca="false">HYPERLINK("https://biocodex6--c.vf.force.com/0014L00000KG2CBQA1", "BOIKO OKSANA")</f>
        <v>BOIKO OKSANA</v>
      </c>
      <c r="AD1052" s="38" t="str">
        <f aca="false">HYPERLINK("https://annuairesante.ameli.fr/professionnels-de-sante/recherche/fiche-detaillee-B7c1lTM1NzO6.html", "BOIKO OKSANA")</f>
        <v>BOIKO OKSANA</v>
      </c>
      <c r="AE1052" s="39"/>
      <c r="AF1052" s="40"/>
      <c r="AG1052" s="41"/>
      <c r="AH1052" s="32" t="s">
        <v>179</v>
      </c>
      <c r="AI1052" s="32"/>
      <c r="AL1052" s="32"/>
      <c r="AM1052" s="32"/>
      <c r="AN1052" s="32"/>
      <c r="AO1052" s="32"/>
      <c r="AP1052" s="32"/>
      <c r="AQ1052" s="32"/>
      <c r="AR1052" s="32"/>
      <c r="AS1052" s="32"/>
      <c r="AT1052" s="32"/>
      <c r="AU1052" s="32"/>
      <c r="XEY1052" s="27"/>
      <c r="XEZ1052" s="27"/>
      <c r="XFA1052" s="27"/>
      <c r="XFB1052" s="27"/>
      <c r="XFC1052" s="27"/>
      <c r="XFD1052" s="27"/>
    </row>
    <row r="1053" s="42" customFormat="true" ht="14.15" hidden="false" customHeight="true" outlineLevel="0" collapsed="false">
      <c r="A1053" s="28" t="s">
        <v>6491</v>
      </c>
      <c r="B1053" s="29" t="s">
        <v>6492</v>
      </c>
      <c r="C1053" s="29" t="s">
        <v>6493</v>
      </c>
      <c r="D1053" s="30" t="s">
        <v>244</v>
      </c>
      <c r="E1053" s="30" t="s">
        <v>1602</v>
      </c>
      <c r="F1053" s="32" t="n">
        <v>47</v>
      </c>
      <c r="G1053" s="31" t="s">
        <v>215</v>
      </c>
      <c r="H1053" s="31" t="n">
        <v>3</v>
      </c>
      <c r="I1053" s="31" t="s">
        <v>435</v>
      </c>
      <c r="J1053" s="29" t="s">
        <v>3117</v>
      </c>
      <c r="K1053" s="29" t="s">
        <v>3118</v>
      </c>
      <c r="L1053" s="32" t="n">
        <v>46</v>
      </c>
      <c r="M1053" s="33" t="s">
        <v>1450</v>
      </c>
      <c r="N1053" s="34" t="n">
        <v>75016</v>
      </c>
      <c r="O1053" s="35" t="s">
        <v>55</v>
      </c>
      <c r="P1053" s="36" t="s">
        <v>6494</v>
      </c>
      <c r="Q1053" s="36" t="n">
        <v>14</v>
      </c>
      <c r="R1053" s="32" t="n">
        <v>237</v>
      </c>
      <c r="S1053" s="32" t="n">
        <v>1</v>
      </c>
      <c r="T1053" s="32"/>
      <c r="U1053" s="32" t="n">
        <v>3</v>
      </c>
      <c r="V1053" s="37"/>
      <c r="W1053" s="32" t="n">
        <v>2</v>
      </c>
      <c r="X1053" s="34"/>
      <c r="Y1053" s="34" t="n">
        <v>1</v>
      </c>
      <c r="Z1053" s="32"/>
      <c r="AA1053" s="32" t="s">
        <v>6495</v>
      </c>
      <c r="AB1053" s="44" t="s">
        <v>6496</v>
      </c>
      <c r="AC1053" s="38" t="str">
        <f aca="false">HYPERLINK("https://biocodex6--c.vf.force.com/0014L00000KFRKDQA5", "AKERMAN GREGORY")</f>
        <v>AKERMAN GREGORY</v>
      </c>
      <c r="AD1053" s="38" t="str">
        <f aca="false">HYPERLINK("https://annuairesante.ameli.fr/professionnels-de-sante/recherche/fiche-detaillee-B7c1lTM2MDaw.html", "AKERMAN GREGORY")</f>
        <v>AKERMAN GREGORY</v>
      </c>
      <c r="AE1053" s="39" t="n">
        <v>45302.4375</v>
      </c>
      <c r="AF1053" s="40"/>
      <c r="AG1053" s="41" t="s">
        <v>69</v>
      </c>
      <c r="AH1053" s="32" t="s">
        <v>70</v>
      </c>
      <c r="AI1053" s="32"/>
      <c r="AL1053" s="32"/>
      <c r="AM1053" s="32"/>
      <c r="AN1053" s="32"/>
      <c r="AO1053" s="32"/>
      <c r="AP1053" s="32"/>
      <c r="AQ1053" s="32"/>
      <c r="AR1053" s="32"/>
      <c r="AS1053" s="32"/>
      <c r="AT1053" s="32"/>
      <c r="AU1053" s="32"/>
      <c r="XEY1053" s="27"/>
      <c r="XEZ1053" s="27"/>
      <c r="XFA1053" s="27"/>
      <c r="XFB1053" s="27"/>
      <c r="XFC1053" s="27"/>
      <c r="XFD1053" s="27"/>
    </row>
    <row r="1054" s="42" customFormat="true" ht="14.15" hidden="false" customHeight="true" outlineLevel="0" collapsed="false">
      <c r="A1054" s="28" t="s">
        <v>6497</v>
      </c>
      <c r="B1054" s="29" t="s">
        <v>4463</v>
      </c>
      <c r="C1054" s="29" t="s">
        <v>6498</v>
      </c>
      <c r="D1054" s="30" t="s">
        <v>206</v>
      </c>
      <c r="E1054" s="30" t="s">
        <v>2281</v>
      </c>
      <c r="F1054" s="32" t="n">
        <v>49</v>
      </c>
      <c r="G1054" s="31"/>
      <c r="H1054" s="31" t="n">
        <v>1</v>
      </c>
      <c r="I1054" s="31" t="s">
        <v>572</v>
      </c>
      <c r="J1054" s="29" t="s">
        <v>678</v>
      </c>
      <c r="K1054" s="29" t="s">
        <v>679</v>
      </c>
      <c r="L1054" s="32" t="n">
        <v>6</v>
      </c>
      <c r="M1054" s="33" t="s">
        <v>680</v>
      </c>
      <c r="N1054" s="34" t="n">
        <v>75008</v>
      </c>
      <c r="O1054" s="35" t="s">
        <v>55</v>
      </c>
      <c r="P1054" s="36" t="s">
        <v>870</v>
      </c>
      <c r="Q1054" s="36" t="n">
        <v>43</v>
      </c>
      <c r="R1054" s="32" t="n">
        <v>237</v>
      </c>
      <c r="S1054" s="32" t="n">
        <v>1</v>
      </c>
      <c r="T1054" s="32"/>
      <c r="U1054" s="32" t="n">
        <v>3</v>
      </c>
      <c r="V1054" s="37"/>
      <c r="W1054" s="32" t="n">
        <v>2</v>
      </c>
      <c r="X1054" s="34"/>
      <c r="Y1054" s="34" t="n">
        <v>2</v>
      </c>
      <c r="Z1054" s="32"/>
      <c r="AA1054" s="32" t="s">
        <v>6499</v>
      </c>
      <c r="AB1054" s="44"/>
      <c r="AC1054" s="38" t="str">
        <f aca="false">HYPERLINK("https://biocodex6--c.vf.force.com/0014L00000KFqaqQAD", "MAARAOUI NICOLAS")</f>
        <v>MAARAOUI NICOLAS</v>
      </c>
      <c r="AD1054" s="38"/>
      <c r="AE1054" s="39" t="n">
        <v>45446.375</v>
      </c>
      <c r="AF1054" s="40" t="s">
        <v>6500</v>
      </c>
      <c r="AG1054" s="41" t="s">
        <v>69</v>
      </c>
      <c r="AH1054" s="32" t="s">
        <v>70</v>
      </c>
      <c r="AI1054" s="32"/>
      <c r="AL1054" s="32"/>
      <c r="AM1054" s="32"/>
      <c r="AN1054" s="32"/>
      <c r="AO1054" s="32"/>
      <c r="AP1054" s="32"/>
      <c r="AQ1054" s="32"/>
      <c r="AR1054" s="32"/>
      <c r="AS1054" s="32"/>
      <c r="AT1054" s="32"/>
      <c r="AU1054" s="32"/>
      <c r="XEY1054" s="27"/>
      <c r="XEZ1054" s="27"/>
      <c r="XFA1054" s="27"/>
      <c r="XFB1054" s="27"/>
      <c r="XFC1054" s="27"/>
      <c r="XFD1054" s="27"/>
    </row>
    <row r="1055" s="42" customFormat="true" ht="14.15" hidden="false" customHeight="true" outlineLevel="0" collapsed="false">
      <c r="A1055" s="28" t="s">
        <v>6501</v>
      </c>
      <c r="B1055" s="29" t="s">
        <v>848</v>
      </c>
      <c r="C1055" s="29" t="s">
        <v>6502</v>
      </c>
      <c r="D1055" s="30" t="s">
        <v>50</v>
      </c>
      <c r="E1055" s="31"/>
      <c r="F1055" s="32" t="n">
        <v>66</v>
      </c>
      <c r="G1055" s="31"/>
      <c r="H1055" s="31" t="n">
        <v>2</v>
      </c>
      <c r="I1055" s="31" t="s">
        <v>387</v>
      </c>
      <c r="J1055" s="29"/>
      <c r="K1055" s="29" t="s">
        <v>6503</v>
      </c>
      <c r="L1055" s="32" t="n">
        <v>78</v>
      </c>
      <c r="M1055" s="33" t="s">
        <v>6504</v>
      </c>
      <c r="N1055" s="34" t="n">
        <v>75016</v>
      </c>
      <c r="O1055" s="35" t="s">
        <v>55</v>
      </c>
      <c r="P1055" s="36"/>
      <c r="Q1055" s="36" t="n">
        <v>1</v>
      </c>
      <c r="R1055" s="32" t="n">
        <v>237</v>
      </c>
      <c r="S1055" s="32" t="n">
        <v>1</v>
      </c>
      <c r="T1055" s="32"/>
      <c r="U1055" s="32"/>
      <c r="V1055" s="37"/>
      <c r="W1055" s="32"/>
      <c r="X1055" s="34"/>
      <c r="Y1055" s="34"/>
      <c r="Z1055" s="36"/>
      <c r="AA1055" s="32" t="s">
        <v>6505</v>
      </c>
      <c r="AB1055" s="32"/>
      <c r="AC1055" s="38" t="str">
        <f aca="false">HYPERLINK("https://biocodex6--c.vf.force.com/0014L00000KFuP2QAL", "NOHET NADIA")</f>
        <v>NOHET NADIA</v>
      </c>
      <c r="AD1055" s="38"/>
      <c r="AE1055" s="39"/>
      <c r="AF1055" s="40"/>
      <c r="AG1055" s="41"/>
      <c r="AH1055" s="32" t="s">
        <v>179</v>
      </c>
      <c r="AI1055" s="32"/>
      <c r="AL1055" s="32"/>
      <c r="AM1055" s="32"/>
      <c r="AN1055" s="32"/>
      <c r="AO1055" s="32"/>
      <c r="AP1055" s="32"/>
      <c r="AQ1055" s="32"/>
      <c r="AR1055" s="32"/>
      <c r="AS1055" s="32"/>
      <c r="AT1055" s="32"/>
      <c r="AU1055" s="32"/>
      <c r="XEY1055" s="27"/>
      <c r="XEZ1055" s="27"/>
      <c r="XFA1055" s="27"/>
      <c r="XFB1055" s="27"/>
      <c r="XFC1055" s="27"/>
      <c r="XFD1055" s="27"/>
    </row>
    <row r="1056" s="42" customFormat="true" ht="14.15" hidden="false" customHeight="true" outlineLevel="0" collapsed="false">
      <c r="A1056" s="28" t="s">
        <v>6506</v>
      </c>
      <c r="B1056" s="29" t="s">
        <v>6507</v>
      </c>
      <c r="C1056" s="29" t="s">
        <v>6508</v>
      </c>
      <c r="D1056" s="30" t="s">
        <v>244</v>
      </c>
      <c r="E1056" s="30" t="s">
        <v>741</v>
      </c>
      <c r="F1056" s="32" t="n">
        <v>80</v>
      </c>
      <c r="G1056" s="31" t="s">
        <v>215</v>
      </c>
      <c r="H1056" s="31" t="n">
        <v>1</v>
      </c>
      <c r="I1056" s="31" t="s">
        <v>435</v>
      </c>
      <c r="J1056" s="29"/>
      <c r="K1056" s="29" t="s">
        <v>6509</v>
      </c>
      <c r="L1056" s="32" t="n">
        <v>7</v>
      </c>
      <c r="M1056" s="33" t="s">
        <v>6510</v>
      </c>
      <c r="N1056" s="34" t="n">
        <v>75016</v>
      </c>
      <c r="O1056" s="35" t="s">
        <v>55</v>
      </c>
      <c r="P1056" s="36" t="s">
        <v>6511</v>
      </c>
      <c r="Q1056" s="36" t="n">
        <v>1</v>
      </c>
      <c r="R1056" s="32" t="n">
        <v>237</v>
      </c>
      <c r="S1056" s="32" t="n">
        <v>1</v>
      </c>
      <c r="T1056" s="32"/>
      <c r="U1056" s="32"/>
      <c r="V1056" s="37"/>
      <c r="W1056" s="32"/>
      <c r="X1056" s="34"/>
      <c r="Y1056" s="34"/>
      <c r="Z1056" s="36"/>
      <c r="AA1056" s="32" t="s">
        <v>6512</v>
      </c>
      <c r="AB1056" s="32" t="s">
        <v>6513</v>
      </c>
      <c r="AC1056" s="38" t="str">
        <f aca="false">HYPERLINK("https://biocodex6--c.vf.force.com/0014L00000KFbLbQAL", "DRIGUEZ PIERRE ANDRE")</f>
        <v>DRIGUEZ PIERRE ANDRE</v>
      </c>
      <c r="AD1056" s="38" t="str">
        <f aca="false">HYPERLINK("https://annuairesante.ameli.fr/professionnels-de-sante/recherche/fiche-detaillee-B7c1kDUwMjSx.html", "DRIGUEZ PIERRE ANDRE")</f>
        <v>DRIGUEZ PIERRE ANDRE</v>
      </c>
      <c r="AE1056" s="39"/>
      <c r="AF1056" s="40"/>
      <c r="AG1056" s="41"/>
      <c r="AH1056" s="32" t="s">
        <v>179</v>
      </c>
      <c r="AI1056" s="32"/>
      <c r="AL1056" s="32"/>
      <c r="AM1056" s="32"/>
      <c r="AN1056" s="32"/>
      <c r="AO1056" s="32"/>
      <c r="AP1056" s="32"/>
      <c r="AQ1056" s="32"/>
      <c r="AR1056" s="32"/>
      <c r="AS1056" s="32"/>
      <c r="AT1056" s="32"/>
      <c r="AU1056" s="32"/>
      <c r="XEY1056" s="27"/>
      <c r="XEZ1056" s="27"/>
      <c r="XFA1056" s="27"/>
      <c r="XFB1056" s="27"/>
      <c r="XFC1056" s="27"/>
      <c r="XFD1056" s="27"/>
    </row>
    <row r="1057" s="42" customFormat="true" ht="14.15" hidden="false" customHeight="true" outlineLevel="0" collapsed="false">
      <c r="A1057" s="28" t="s">
        <v>6514</v>
      </c>
      <c r="B1057" s="29" t="s">
        <v>353</v>
      </c>
      <c r="C1057" s="29" t="s">
        <v>6515</v>
      </c>
      <c r="D1057" s="30" t="s">
        <v>244</v>
      </c>
      <c r="E1057" s="30" t="s">
        <v>245</v>
      </c>
      <c r="F1057" s="32" t="n">
        <v>75</v>
      </c>
      <c r="G1057" s="31" t="s">
        <v>215</v>
      </c>
      <c r="H1057" s="31" t="n">
        <v>2</v>
      </c>
      <c r="I1057" s="31" t="s">
        <v>435</v>
      </c>
      <c r="J1057" s="29"/>
      <c r="K1057" s="29" t="s">
        <v>6516</v>
      </c>
      <c r="L1057" s="32" t="n">
        <v>33</v>
      </c>
      <c r="M1057" s="33" t="s">
        <v>1041</v>
      </c>
      <c r="N1057" s="34" t="n">
        <v>75016</v>
      </c>
      <c r="O1057" s="35" t="s">
        <v>55</v>
      </c>
      <c r="P1057" s="36" t="s">
        <v>6517</v>
      </c>
      <c r="Q1057" s="36" t="n">
        <v>1</v>
      </c>
      <c r="R1057" s="32" t="n">
        <v>237</v>
      </c>
      <c r="S1057" s="32" t="n">
        <v>1</v>
      </c>
      <c r="T1057" s="32"/>
      <c r="U1057" s="32"/>
      <c r="V1057" s="37"/>
      <c r="W1057" s="32"/>
      <c r="X1057" s="34"/>
      <c r="Y1057" s="34"/>
      <c r="Z1057" s="36"/>
      <c r="AA1057" s="32" t="s">
        <v>6518</v>
      </c>
      <c r="AB1057" s="32" t="s">
        <v>6519</v>
      </c>
      <c r="AC1057" s="38" t="str">
        <f aca="false">HYPERLINK("https://biocodex6--c.vf.force.com/0014L00000KFw3aQAD", "PIGNE ALAIN")</f>
        <v>PIGNE ALAIN</v>
      </c>
      <c r="AD1057" s="38" t="str">
        <f aca="false">HYPERLINK("https://annuairesante.ameli.fr/professionnels-de-sante/recherche/fiche-detaillee-B7c1kTY2NzO1.html", "PIGNE ALAIN")</f>
        <v>PIGNE ALAIN</v>
      </c>
      <c r="AE1057" s="39"/>
      <c r="AF1057" s="40"/>
      <c r="AG1057" s="41"/>
      <c r="AH1057" s="32" t="s">
        <v>179</v>
      </c>
      <c r="AI1057" s="32"/>
      <c r="AL1057" s="32"/>
      <c r="AM1057" s="32"/>
      <c r="AN1057" s="32"/>
      <c r="AO1057" s="32"/>
      <c r="AP1057" s="32"/>
      <c r="AQ1057" s="32"/>
      <c r="AR1057" s="32"/>
      <c r="AS1057" s="32"/>
      <c r="AT1057" s="32"/>
      <c r="AU1057" s="32"/>
      <c r="XEY1057" s="27"/>
      <c r="XEZ1057" s="27"/>
      <c r="XFA1057" s="27"/>
      <c r="XFB1057" s="27"/>
      <c r="XFC1057" s="27"/>
      <c r="XFD1057" s="27"/>
    </row>
    <row r="1058" s="42" customFormat="true" ht="14.15" hidden="false" customHeight="true" outlineLevel="0" collapsed="false">
      <c r="A1058" s="28" t="s">
        <v>6520</v>
      </c>
      <c r="B1058" s="29" t="s">
        <v>2880</v>
      </c>
      <c r="C1058" s="29" t="s">
        <v>6521</v>
      </c>
      <c r="D1058" s="30" t="s">
        <v>50</v>
      </c>
      <c r="E1058" s="30" t="s">
        <v>916</v>
      </c>
      <c r="F1058" s="32" t="n">
        <v>78</v>
      </c>
      <c r="G1058" s="31" t="s">
        <v>61</v>
      </c>
      <c r="H1058" s="31" t="n">
        <v>1</v>
      </c>
      <c r="I1058" s="31" t="s">
        <v>173</v>
      </c>
      <c r="J1058" s="29"/>
      <c r="K1058" s="29" t="s">
        <v>6522</v>
      </c>
      <c r="L1058" s="32" t="n">
        <v>14</v>
      </c>
      <c r="M1058" s="33" t="s">
        <v>6523</v>
      </c>
      <c r="N1058" s="34" t="n">
        <v>75016</v>
      </c>
      <c r="O1058" s="35" t="s">
        <v>55</v>
      </c>
      <c r="P1058" s="36" t="s">
        <v>6524</v>
      </c>
      <c r="Q1058" s="36" t="n">
        <v>1</v>
      </c>
      <c r="R1058" s="32" t="n">
        <v>236</v>
      </c>
      <c r="S1058" s="32" t="n">
        <v>1</v>
      </c>
      <c r="T1058" s="32"/>
      <c r="U1058" s="32"/>
      <c r="V1058" s="37"/>
      <c r="W1058" s="32"/>
      <c r="X1058" s="34"/>
      <c r="Y1058" s="34"/>
      <c r="Z1058" s="32"/>
      <c r="AA1058" s="32" t="s">
        <v>6525</v>
      </c>
      <c r="AB1058" s="32" t="s">
        <v>6526</v>
      </c>
      <c r="AC1058" s="38" t="str">
        <f aca="false">HYPERLINK("https://biocodex6--c.vf.force.com/0014L00000KFeI8QAL", "FOURRIER BRUNO")</f>
        <v>FOURRIER BRUNO</v>
      </c>
      <c r="AD1058" s="38" t="str">
        <f aca="false">HYPERLINK("https://annuairesante.ameli.fr/professionnels-de-sante/recherche/fiche-detaillee-B7c1kDsxODS1.html", "FOURRIER BRUNO")</f>
        <v>FOURRIER BRUNO</v>
      </c>
      <c r="AE1058" s="39" t="n">
        <v>45338.6041666667</v>
      </c>
      <c r="AF1058" s="40"/>
      <c r="AG1058" s="41"/>
      <c r="AH1058" s="32"/>
      <c r="AI1058" s="32"/>
      <c r="AL1058" s="32"/>
      <c r="AM1058" s="32"/>
      <c r="AN1058" s="32"/>
      <c r="AO1058" s="32"/>
      <c r="AP1058" s="32"/>
      <c r="AQ1058" s="32"/>
      <c r="AR1058" s="32"/>
      <c r="AS1058" s="32"/>
      <c r="AT1058" s="32"/>
      <c r="AU1058" s="32"/>
      <c r="XEY1058" s="27"/>
      <c r="XEZ1058" s="27"/>
      <c r="XFA1058" s="27"/>
      <c r="XFB1058" s="27"/>
      <c r="XFC1058" s="27"/>
      <c r="XFD1058" s="27"/>
    </row>
    <row r="1059" s="42" customFormat="true" ht="14.15" hidden="false" customHeight="true" outlineLevel="0" collapsed="false">
      <c r="A1059" s="28" t="s">
        <v>6527</v>
      </c>
      <c r="B1059" s="29" t="s">
        <v>503</v>
      </c>
      <c r="C1059" s="29" t="s">
        <v>6528</v>
      </c>
      <c r="D1059" s="30" t="s">
        <v>50</v>
      </c>
      <c r="E1059" s="30" t="s">
        <v>776</v>
      </c>
      <c r="F1059" s="32" t="n">
        <v>67</v>
      </c>
      <c r="G1059" s="31" t="s">
        <v>61</v>
      </c>
      <c r="H1059" s="31" t="n">
        <v>1</v>
      </c>
      <c r="I1059" s="31" t="s">
        <v>51</v>
      </c>
      <c r="J1059" s="29"/>
      <c r="K1059" s="29" t="s">
        <v>6529</v>
      </c>
      <c r="L1059" s="32" t="n">
        <v>5</v>
      </c>
      <c r="M1059" s="33" t="s">
        <v>6530</v>
      </c>
      <c r="N1059" s="34" t="n">
        <v>75015</v>
      </c>
      <c r="O1059" s="35" t="s">
        <v>55</v>
      </c>
      <c r="P1059" s="36" t="s">
        <v>6531</v>
      </c>
      <c r="Q1059" s="36" t="n">
        <v>1</v>
      </c>
      <c r="R1059" s="32" t="n">
        <v>236</v>
      </c>
      <c r="S1059" s="32" t="n">
        <v>1</v>
      </c>
      <c r="T1059" s="32"/>
      <c r="U1059" s="32"/>
      <c r="V1059" s="37"/>
      <c r="W1059" s="32"/>
      <c r="X1059" s="34"/>
      <c r="Y1059" s="34"/>
      <c r="Z1059" s="36"/>
      <c r="AA1059" s="32" t="s">
        <v>6532</v>
      </c>
      <c r="AB1059" s="32" t="s">
        <v>6533</v>
      </c>
      <c r="AC1059" s="38" t="str">
        <f aca="false">HYPERLINK("https://biocodex6--c.vf.force.com/0014L00000KFcfsQAD", "ERBAULT ROBERT")</f>
        <v>ERBAULT ROBERT</v>
      </c>
      <c r="AD1059" s="38" t="str">
        <f aca="false">HYPERLINK("https://annuairesante.ameli.fr/professionnels-de-sante/recherche/fiche-detaillee-B7c1ljE3MzCy.html", "ERBAULT ROBERT")</f>
        <v>ERBAULT ROBERT</v>
      </c>
      <c r="AE1059" s="39"/>
      <c r="AF1059" s="40"/>
      <c r="AG1059" s="41"/>
      <c r="AH1059" s="32" t="s">
        <v>179</v>
      </c>
      <c r="AI1059" s="32"/>
      <c r="AL1059" s="43" t="s">
        <v>6534</v>
      </c>
      <c r="AM1059" s="43" t="s">
        <v>137</v>
      </c>
      <c r="AN1059" s="43" t="s">
        <v>6534</v>
      </c>
      <c r="AO1059" s="43" t="s">
        <v>137</v>
      </c>
      <c r="AP1059" s="32"/>
      <c r="AQ1059" s="43" t="s">
        <v>262</v>
      </c>
      <c r="AR1059" s="43" t="s">
        <v>6534</v>
      </c>
      <c r="AS1059" s="43" t="s">
        <v>137</v>
      </c>
      <c r="AT1059" s="43" t="s">
        <v>6534</v>
      </c>
      <c r="AU1059" s="43" t="s">
        <v>137</v>
      </c>
      <c r="XEY1059" s="27"/>
      <c r="XEZ1059" s="27"/>
      <c r="XFA1059" s="27"/>
      <c r="XFB1059" s="27"/>
      <c r="XFC1059" s="27"/>
      <c r="XFD1059" s="27"/>
    </row>
    <row r="1060" s="42" customFormat="true" ht="14.15" hidden="false" customHeight="true" outlineLevel="0" collapsed="false">
      <c r="A1060" s="28" t="s">
        <v>6535</v>
      </c>
      <c r="B1060" s="29" t="s">
        <v>5052</v>
      </c>
      <c r="C1060" s="29" t="s">
        <v>6536</v>
      </c>
      <c r="D1060" s="30" t="s">
        <v>50</v>
      </c>
      <c r="E1060" s="30" t="s">
        <v>386</v>
      </c>
      <c r="F1060" s="32" t="n">
        <v>79</v>
      </c>
      <c r="G1060" s="31" t="s">
        <v>215</v>
      </c>
      <c r="H1060" s="31" t="n">
        <v>1</v>
      </c>
      <c r="I1060" s="31" t="s">
        <v>197</v>
      </c>
      <c r="J1060" s="29"/>
      <c r="K1060" s="29" t="s">
        <v>4218</v>
      </c>
      <c r="L1060" s="32" t="n">
        <v>11</v>
      </c>
      <c r="M1060" s="33" t="s">
        <v>4219</v>
      </c>
      <c r="N1060" s="34" t="n">
        <v>75017</v>
      </c>
      <c r="O1060" s="35" t="s">
        <v>55</v>
      </c>
      <c r="P1060" s="36" t="s">
        <v>6537</v>
      </c>
      <c r="Q1060" s="36" t="n">
        <v>2</v>
      </c>
      <c r="R1060" s="32" t="n">
        <v>235</v>
      </c>
      <c r="S1060" s="32" t="n">
        <v>1</v>
      </c>
      <c r="T1060" s="32"/>
      <c r="U1060" s="32"/>
      <c r="V1060" s="37"/>
      <c r="W1060" s="32"/>
      <c r="X1060" s="34"/>
      <c r="Y1060" s="34"/>
      <c r="Z1060" s="32"/>
      <c r="AA1060" s="32" t="s">
        <v>6538</v>
      </c>
      <c r="AB1060" s="32" t="s">
        <v>6539</v>
      </c>
      <c r="AC1060" s="38" t="str">
        <f aca="false">HYPERLINK("https://biocodex6--c.vf.force.com/0014L00000KG3ekQAD", "TRAN DINH CAN MAURICE")</f>
        <v>TRAN DINH CAN MAURICE</v>
      </c>
      <c r="AD1060" s="38" t="str">
        <f aca="false">HYPERLINK("https://annuairesante.ameli.fr/professionnels-de-sante/recherche/fiche-detaillee-B7c1kDswMzu2.html", "TRAN DINH CAN MAURICE")</f>
        <v>TRAN DINH CAN MAURICE</v>
      </c>
      <c r="AE1060" s="39"/>
      <c r="AF1060" s="40"/>
      <c r="AG1060" s="41"/>
      <c r="AH1060" s="32"/>
      <c r="AI1060" s="32"/>
      <c r="AL1060" s="43" t="s">
        <v>657</v>
      </c>
      <c r="AM1060" s="43" t="s">
        <v>126</v>
      </c>
      <c r="AN1060" s="43" t="s">
        <v>657</v>
      </c>
      <c r="AO1060" s="43" t="s">
        <v>126</v>
      </c>
      <c r="AP1060" s="43" t="s">
        <v>657</v>
      </c>
      <c r="AQ1060" s="43" t="s">
        <v>126</v>
      </c>
      <c r="AR1060" s="43" t="s">
        <v>657</v>
      </c>
      <c r="AS1060" s="43" t="s">
        <v>126</v>
      </c>
      <c r="AT1060" s="43" t="s">
        <v>657</v>
      </c>
      <c r="AU1060" s="43" t="s">
        <v>126</v>
      </c>
      <c r="XEY1060" s="27"/>
      <c r="XEZ1060" s="27"/>
      <c r="XFA1060" s="27"/>
      <c r="XFB1060" s="27"/>
      <c r="XFC1060" s="27"/>
      <c r="XFD1060" s="27"/>
    </row>
    <row r="1061" s="42" customFormat="true" ht="14.15" hidden="false" customHeight="true" outlineLevel="0" collapsed="false">
      <c r="A1061" s="28" t="s">
        <v>6540</v>
      </c>
      <c r="B1061" s="29" t="s">
        <v>3063</v>
      </c>
      <c r="C1061" s="29" t="s">
        <v>6541</v>
      </c>
      <c r="D1061" s="30" t="s">
        <v>112</v>
      </c>
      <c r="E1061" s="30" t="s">
        <v>452</v>
      </c>
      <c r="F1061" s="32" t="n">
        <v>61</v>
      </c>
      <c r="G1061" s="31" t="s">
        <v>215</v>
      </c>
      <c r="H1061" s="31" t="n">
        <v>3</v>
      </c>
      <c r="I1061" s="31" t="s">
        <v>51</v>
      </c>
      <c r="J1061" s="29" t="s">
        <v>52</v>
      </c>
      <c r="K1061" s="29" t="s">
        <v>53</v>
      </c>
      <c r="L1061" s="32" t="n">
        <v>149</v>
      </c>
      <c r="M1061" s="33" t="s">
        <v>54</v>
      </c>
      <c r="N1061" s="34" t="n">
        <v>75015</v>
      </c>
      <c r="O1061" s="35" t="s">
        <v>55</v>
      </c>
      <c r="P1061" s="36" t="s">
        <v>6542</v>
      </c>
      <c r="Q1061" s="36" t="n">
        <v>236</v>
      </c>
      <c r="R1061" s="32" t="n">
        <v>234</v>
      </c>
      <c r="S1061" s="32" t="n">
        <v>1</v>
      </c>
      <c r="T1061" s="32"/>
      <c r="U1061" s="32"/>
      <c r="V1061" s="37"/>
      <c r="W1061" s="32"/>
      <c r="X1061" s="34"/>
      <c r="Y1061" s="34"/>
      <c r="Z1061" s="32"/>
      <c r="AA1061" s="32" t="s">
        <v>6543</v>
      </c>
      <c r="AB1061" s="32" t="s">
        <v>6544</v>
      </c>
      <c r="AC1061" s="38" t="str">
        <f aca="false">HYPERLINK("https://biocodex6--c.vf.force.com/0014L00000KFxwGQAT", "REFABERT LUC")</f>
        <v>REFABERT LUC</v>
      </c>
      <c r="AD1061" s="38" t="str">
        <f aca="false">HYPERLINK("https://annuairesante.ameli.fr/professionnels-de-sante/recherche/fiche-detaillee-B7c1lzo1NDaw.html", "REFABERT LUC")</f>
        <v>REFABERT LUC</v>
      </c>
      <c r="AE1061" s="39"/>
      <c r="AF1061" s="40"/>
      <c r="AG1061" s="41"/>
      <c r="AH1061" s="32"/>
      <c r="AI1061" s="32"/>
      <c r="AL1061" s="43" t="s">
        <v>1301</v>
      </c>
      <c r="AM1061" s="43" t="s">
        <v>1443</v>
      </c>
      <c r="AN1061" s="43" t="s">
        <v>1301</v>
      </c>
      <c r="AO1061" s="43" t="s">
        <v>1443</v>
      </c>
      <c r="AP1061" s="43" t="s">
        <v>1301</v>
      </c>
      <c r="AQ1061" s="43" t="s">
        <v>137</v>
      </c>
      <c r="AR1061" s="43" t="s">
        <v>1301</v>
      </c>
      <c r="AS1061" s="43" t="s">
        <v>137</v>
      </c>
      <c r="AT1061" s="32"/>
      <c r="AU1061" s="43" t="s">
        <v>137</v>
      </c>
      <c r="XEY1061" s="27"/>
      <c r="XEZ1061" s="27"/>
      <c r="XFA1061" s="27"/>
      <c r="XFB1061" s="27"/>
      <c r="XFC1061" s="27"/>
      <c r="XFD1061" s="27"/>
    </row>
    <row r="1062" s="42" customFormat="true" ht="14.15" hidden="false" customHeight="true" outlineLevel="0" collapsed="false">
      <c r="A1062" s="28" t="s">
        <v>6545</v>
      </c>
      <c r="B1062" s="29" t="s">
        <v>6546</v>
      </c>
      <c r="C1062" s="29" t="s">
        <v>6547</v>
      </c>
      <c r="D1062" s="30" t="s">
        <v>244</v>
      </c>
      <c r="E1062" s="30" t="s">
        <v>245</v>
      </c>
      <c r="F1062" s="32" t="n">
        <v>63</v>
      </c>
      <c r="G1062" s="31"/>
      <c r="H1062" s="31" t="n">
        <v>1</v>
      </c>
      <c r="I1062" s="31" t="s">
        <v>173</v>
      </c>
      <c r="J1062" s="29"/>
      <c r="K1062" s="29" t="s">
        <v>6548</v>
      </c>
      <c r="L1062" s="32" t="n">
        <v>82</v>
      </c>
      <c r="M1062" s="33" t="s">
        <v>6504</v>
      </c>
      <c r="N1062" s="34" t="n">
        <v>75016</v>
      </c>
      <c r="O1062" s="35" t="s">
        <v>55</v>
      </c>
      <c r="P1062" s="36" t="s">
        <v>6549</v>
      </c>
      <c r="Q1062" s="36" t="n">
        <v>4</v>
      </c>
      <c r="R1062" s="32" t="n">
        <v>234</v>
      </c>
      <c r="S1062" s="32" t="n">
        <v>1</v>
      </c>
      <c r="T1062" s="32"/>
      <c r="U1062" s="32"/>
      <c r="V1062" s="37"/>
      <c r="W1062" s="32"/>
      <c r="X1062" s="34"/>
      <c r="Y1062" s="34"/>
      <c r="Z1062" s="36"/>
      <c r="AA1062" s="32" t="s">
        <v>6550</v>
      </c>
      <c r="AB1062" s="32"/>
      <c r="AC1062" s="38" t="str">
        <f aca="false">HYPERLINK("https://biocodex6--c.vf.force.com/0014L00000KFTX1QAP", "DUTOYA BENFTIMA SIHEM")</f>
        <v>DUTOYA BENFTIMA SIHEM</v>
      </c>
      <c r="AD1062" s="38"/>
      <c r="AE1062" s="39"/>
      <c r="AF1062" s="40"/>
      <c r="AG1062" s="41"/>
      <c r="AH1062" s="32" t="s">
        <v>179</v>
      </c>
      <c r="AI1062" s="32"/>
      <c r="AL1062" s="32"/>
      <c r="AM1062" s="32"/>
      <c r="AN1062" s="32"/>
      <c r="AO1062" s="32"/>
      <c r="AP1062" s="32"/>
      <c r="AQ1062" s="32"/>
      <c r="AR1062" s="32"/>
      <c r="AS1062" s="32"/>
      <c r="AT1062" s="32"/>
      <c r="AU1062" s="32"/>
      <c r="XEY1062" s="27"/>
      <c r="XEZ1062" s="27"/>
      <c r="XFA1062" s="27"/>
      <c r="XFB1062" s="27"/>
      <c r="XFC1062" s="27"/>
      <c r="XFD1062" s="27"/>
    </row>
    <row r="1063" s="42" customFormat="true" ht="14.15" hidden="false" customHeight="true" outlineLevel="0" collapsed="false">
      <c r="A1063" s="28" t="s">
        <v>6551</v>
      </c>
      <c r="B1063" s="29" t="s">
        <v>5792</v>
      </c>
      <c r="C1063" s="29" t="s">
        <v>6552</v>
      </c>
      <c r="D1063" s="30" t="s">
        <v>244</v>
      </c>
      <c r="E1063" s="30" t="s">
        <v>245</v>
      </c>
      <c r="F1063" s="32" t="n">
        <v>60</v>
      </c>
      <c r="G1063" s="31" t="s">
        <v>215</v>
      </c>
      <c r="H1063" s="31" t="n">
        <v>3</v>
      </c>
      <c r="I1063" s="31" t="s">
        <v>435</v>
      </c>
      <c r="J1063" s="29" t="s">
        <v>3117</v>
      </c>
      <c r="K1063" s="29" t="s">
        <v>3118</v>
      </c>
      <c r="L1063" s="32" t="n">
        <v>46</v>
      </c>
      <c r="M1063" s="33" t="s">
        <v>1450</v>
      </c>
      <c r="N1063" s="34" t="n">
        <v>75016</v>
      </c>
      <c r="O1063" s="35" t="s">
        <v>55</v>
      </c>
      <c r="P1063" s="36" t="s">
        <v>6553</v>
      </c>
      <c r="Q1063" s="36" t="n">
        <v>14</v>
      </c>
      <c r="R1063" s="32" t="n">
        <v>233</v>
      </c>
      <c r="S1063" s="32" t="n">
        <v>1</v>
      </c>
      <c r="T1063" s="32"/>
      <c r="U1063" s="32"/>
      <c r="V1063" s="37"/>
      <c r="W1063" s="32"/>
      <c r="X1063" s="34"/>
      <c r="Y1063" s="34"/>
      <c r="Z1063" s="36"/>
      <c r="AA1063" s="32" t="s">
        <v>6554</v>
      </c>
      <c r="AB1063" s="32" t="s">
        <v>6555</v>
      </c>
      <c r="AC1063" s="38" t="str">
        <f aca="false">HYPERLINK("https://biocodex6--c.vf.force.com/0014L00000KFTecQAH", "BENZAKINE YVES")</f>
        <v>BENZAKINE YVES</v>
      </c>
      <c r="AD1063" s="38" t="str">
        <f aca="false">HYPERLINK("https://annuairesante.ameli.fr/professionnels-de-sante/recherche/fiche-detaillee-B7c1lTI3NTC2.html", "BENZAKINE YVES")</f>
        <v>BENZAKINE YVES</v>
      </c>
      <c r="AE1063" s="39"/>
      <c r="AF1063" s="40"/>
      <c r="AG1063" s="41"/>
      <c r="AH1063" s="32" t="s">
        <v>179</v>
      </c>
      <c r="AI1063" s="32"/>
      <c r="AL1063" s="32"/>
      <c r="AM1063" s="43" t="s">
        <v>262</v>
      </c>
      <c r="AN1063" s="43" t="s">
        <v>263</v>
      </c>
      <c r="AO1063" s="43" t="s">
        <v>792</v>
      </c>
      <c r="AP1063" s="32"/>
      <c r="AQ1063" s="43" t="s">
        <v>534</v>
      </c>
      <c r="AR1063" s="32"/>
      <c r="AS1063" s="43" t="s">
        <v>126</v>
      </c>
      <c r="AT1063" s="32"/>
      <c r="AU1063" s="32"/>
      <c r="XEY1063" s="27"/>
      <c r="XEZ1063" s="27"/>
      <c r="XFA1063" s="27"/>
      <c r="XFB1063" s="27"/>
      <c r="XFC1063" s="27"/>
      <c r="XFD1063" s="27"/>
    </row>
    <row r="1064" s="42" customFormat="true" ht="14.15" hidden="false" customHeight="true" outlineLevel="0" collapsed="false">
      <c r="A1064" s="28" t="s">
        <v>6556</v>
      </c>
      <c r="B1064" s="29" t="s">
        <v>6557</v>
      </c>
      <c r="C1064" s="29" t="s">
        <v>6558</v>
      </c>
      <c r="D1064" s="30" t="s">
        <v>244</v>
      </c>
      <c r="E1064" s="30" t="s">
        <v>245</v>
      </c>
      <c r="F1064" s="32" t="n">
        <v>49</v>
      </c>
      <c r="G1064" s="31"/>
      <c r="H1064" s="31" t="n">
        <v>2</v>
      </c>
      <c r="I1064" s="31" t="s">
        <v>197</v>
      </c>
      <c r="J1064" s="29"/>
      <c r="K1064" s="29" t="s">
        <v>3043</v>
      </c>
      <c r="L1064" s="32" t="n">
        <v>28</v>
      </c>
      <c r="M1064" s="33" t="s">
        <v>3044</v>
      </c>
      <c r="N1064" s="34" t="n">
        <v>75017</v>
      </c>
      <c r="O1064" s="35" t="s">
        <v>55</v>
      </c>
      <c r="P1064" s="36" t="s">
        <v>6559</v>
      </c>
      <c r="Q1064" s="36" t="n">
        <v>3</v>
      </c>
      <c r="R1064" s="32" t="n">
        <v>233</v>
      </c>
      <c r="S1064" s="32" t="n">
        <v>1</v>
      </c>
      <c r="T1064" s="32"/>
      <c r="U1064" s="32"/>
      <c r="V1064" s="37"/>
      <c r="W1064" s="32"/>
      <c r="X1064" s="34"/>
      <c r="Y1064" s="34"/>
      <c r="Z1064" s="36"/>
      <c r="AA1064" s="32" t="s">
        <v>6560</v>
      </c>
      <c r="AB1064" s="32"/>
      <c r="AC1064" s="38" t="str">
        <f aca="false">HYPERLINK("https://biocodex6--c.vf.force.com/0014L00000KG3KiQAL", "THERON GERARD LUCIE MARIE")</f>
        <v>THERON GERARD LUCIE MARIE</v>
      </c>
      <c r="AD1064" s="38"/>
      <c r="AE1064" s="39"/>
      <c r="AF1064" s="40"/>
      <c r="AG1064" s="41"/>
      <c r="AH1064" s="32" t="s">
        <v>179</v>
      </c>
      <c r="AI1064" s="32"/>
      <c r="AL1064" s="32"/>
      <c r="AM1064" s="32"/>
      <c r="AN1064" s="32"/>
      <c r="AO1064" s="32"/>
      <c r="AP1064" s="32"/>
      <c r="AQ1064" s="32"/>
      <c r="AR1064" s="32"/>
      <c r="AS1064" s="32"/>
      <c r="AT1064" s="32"/>
      <c r="AU1064" s="32"/>
      <c r="XEY1064" s="27"/>
      <c r="XEZ1064" s="27"/>
      <c r="XFA1064" s="27"/>
      <c r="XFB1064" s="27"/>
      <c r="XFC1064" s="27"/>
      <c r="XFD1064" s="27"/>
    </row>
    <row r="1065" s="42" customFormat="true" ht="14.15" hidden="false" customHeight="true" outlineLevel="0" collapsed="false">
      <c r="A1065" s="28" t="s">
        <v>6561</v>
      </c>
      <c r="B1065" s="29" t="s">
        <v>690</v>
      </c>
      <c r="C1065" s="29" t="s">
        <v>6562</v>
      </c>
      <c r="D1065" s="30" t="s">
        <v>50</v>
      </c>
      <c r="E1065" s="31"/>
      <c r="F1065" s="32" t="n">
        <v>56</v>
      </c>
      <c r="G1065" s="31"/>
      <c r="H1065" s="31" t="n">
        <v>1</v>
      </c>
      <c r="I1065" s="31" t="s">
        <v>119</v>
      </c>
      <c r="J1065" s="29"/>
      <c r="K1065" s="29" t="s">
        <v>4428</v>
      </c>
      <c r="L1065" s="32" t="n">
        <v>1</v>
      </c>
      <c r="M1065" s="33" t="s">
        <v>4429</v>
      </c>
      <c r="N1065" s="34" t="n">
        <v>75007</v>
      </c>
      <c r="O1065" s="35" t="s">
        <v>55</v>
      </c>
      <c r="P1065" s="36" t="s">
        <v>6563</v>
      </c>
      <c r="Q1065" s="36" t="n">
        <v>2</v>
      </c>
      <c r="R1065" s="32" t="n">
        <v>232</v>
      </c>
      <c r="S1065" s="32" t="n">
        <v>1</v>
      </c>
      <c r="T1065" s="32"/>
      <c r="U1065" s="32"/>
      <c r="V1065" s="37"/>
      <c r="W1065" s="32"/>
      <c r="X1065" s="34"/>
      <c r="Y1065" s="34"/>
      <c r="Z1065" s="36"/>
      <c r="AA1065" s="32" t="s">
        <v>6564</v>
      </c>
      <c r="AB1065" s="32"/>
      <c r="AC1065" s="38" t="str">
        <f aca="false">HYPERLINK("https://biocodex6--c.vf.force.com/0014L00000KFwMZQA1", "PALISSON ERIC")</f>
        <v>PALISSON ERIC</v>
      </c>
      <c r="AD1065" s="38"/>
      <c r="AE1065" s="39"/>
      <c r="AF1065" s="40"/>
      <c r="AG1065" s="41"/>
      <c r="AH1065" s="32" t="s">
        <v>179</v>
      </c>
      <c r="AI1065" s="32"/>
      <c r="AL1065" s="32"/>
      <c r="AM1065" s="32"/>
      <c r="AN1065" s="32"/>
      <c r="AO1065" s="32"/>
      <c r="AP1065" s="32"/>
      <c r="AQ1065" s="32"/>
      <c r="AR1065" s="32"/>
      <c r="AS1065" s="32"/>
      <c r="AT1065" s="32"/>
      <c r="AU1065" s="32"/>
      <c r="XEY1065" s="27"/>
      <c r="XEZ1065" s="27"/>
      <c r="XFA1065" s="27"/>
      <c r="XFB1065" s="27"/>
      <c r="XFC1065" s="27"/>
      <c r="XFD1065" s="27"/>
    </row>
    <row r="1066" s="42" customFormat="true" ht="14.15" hidden="false" customHeight="true" outlineLevel="0" collapsed="false">
      <c r="A1066" s="28" t="s">
        <v>1677</v>
      </c>
      <c r="B1066" s="29" t="s">
        <v>3255</v>
      </c>
      <c r="C1066" s="29" t="s">
        <v>6565</v>
      </c>
      <c r="D1066" s="30" t="s">
        <v>244</v>
      </c>
      <c r="E1066" s="30" t="s">
        <v>245</v>
      </c>
      <c r="F1066" s="32" t="n">
        <v>60</v>
      </c>
      <c r="G1066" s="31" t="s">
        <v>215</v>
      </c>
      <c r="H1066" s="31" t="n">
        <v>4</v>
      </c>
      <c r="I1066" s="31" t="s">
        <v>119</v>
      </c>
      <c r="J1066" s="29" t="s">
        <v>4001</v>
      </c>
      <c r="K1066" s="29" t="s">
        <v>4002</v>
      </c>
      <c r="L1066" s="32" t="n">
        <v>19</v>
      </c>
      <c r="M1066" s="33" t="s">
        <v>4003</v>
      </c>
      <c r="N1066" s="34" t="n">
        <v>75007</v>
      </c>
      <c r="O1066" s="35" t="s">
        <v>55</v>
      </c>
      <c r="P1066" s="36" t="s">
        <v>6566</v>
      </c>
      <c r="Q1066" s="36" t="n">
        <v>5</v>
      </c>
      <c r="R1066" s="32" t="n">
        <v>232</v>
      </c>
      <c r="S1066" s="32" t="n">
        <v>1</v>
      </c>
      <c r="T1066" s="32"/>
      <c r="U1066" s="32" t="n">
        <v>3</v>
      </c>
      <c r="V1066" s="37"/>
      <c r="W1066" s="32" t="n">
        <v>2</v>
      </c>
      <c r="X1066" s="34"/>
      <c r="Y1066" s="34" t="n">
        <v>1</v>
      </c>
      <c r="Z1066" s="36"/>
      <c r="AA1066" s="32" t="s">
        <v>6567</v>
      </c>
      <c r="AB1066" s="44" t="s">
        <v>6568</v>
      </c>
      <c r="AC1066" s="38" t="str">
        <f aca="false">HYPERLINK("https://biocodex6--c.vf.force.com/0014L00000KFgiKQAT", "JACOB DENIS")</f>
        <v>JACOB DENIS</v>
      </c>
      <c r="AD1066" s="38" t="str">
        <f aca="false">HYPERLINK("https://annuairesante.ameli.fr/professionnels-de-sante/recherche/fiche-detaillee-B7c1lTM1MjCz.html", "JACOB DENIS")</f>
        <v>JACOB DENIS</v>
      </c>
      <c r="AE1066" s="39"/>
      <c r="AF1066" s="40"/>
      <c r="AG1066" s="41"/>
      <c r="AH1066" s="32" t="s">
        <v>179</v>
      </c>
      <c r="AI1066" s="32"/>
      <c r="AL1066" s="32"/>
      <c r="AM1066" s="32"/>
      <c r="AN1066" s="32"/>
      <c r="AO1066" s="32"/>
      <c r="AP1066" s="32"/>
      <c r="AQ1066" s="32"/>
      <c r="AR1066" s="32"/>
      <c r="AS1066" s="32"/>
      <c r="AT1066" s="32"/>
      <c r="AU1066" s="32"/>
      <c r="XEY1066" s="27"/>
      <c r="XEZ1066" s="27"/>
      <c r="XFA1066" s="27"/>
      <c r="XFB1066" s="27"/>
      <c r="XFC1066" s="27"/>
      <c r="XFD1066" s="27"/>
    </row>
    <row r="1067" s="42" customFormat="true" ht="14.15" hidden="false" customHeight="true" outlineLevel="0" collapsed="false">
      <c r="A1067" s="28" t="s">
        <v>6569</v>
      </c>
      <c r="B1067" s="29" t="s">
        <v>3255</v>
      </c>
      <c r="C1067" s="29" t="s">
        <v>6570</v>
      </c>
      <c r="D1067" s="30" t="s">
        <v>244</v>
      </c>
      <c r="E1067" s="30" t="s">
        <v>245</v>
      </c>
      <c r="F1067" s="32" t="n">
        <v>75</v>
      </c>
      <c r="G1067" s="31" t="s">
        <v>215</v>
      </c>
      <c r="H1067" s="31" t="n">
        <v>1</v>
      </c>
      <c r="I1067" s="31" t="s">
        <v>435</v>
      </c>
      <c r="J1067" s="29"/>
      <c r="K1067" s="29" t="s">
        <v>6571</v>
      </c>
      <c r="L1067" s="32" t="n">
        <v>16</v>
      </c>
      <c r="M1067" s="33" t="s">
        <v>2100</v>
      </c>
      <c r="N1067" s="34" t="n">
        <v>75016</v>
      </c>
      <c r="O1067" s="35" t="s">
        <v>55</v>
      </c>
      <c r="P1067" s="36" t="s">
        <v>6572</v>
      </c>
      <c r="Q1067" s="36" t="n">
        <v>1</v>
      </c>
      <c r="R1067" s="32" t="n">
        <v>232</v>
      </c>
      <c r="S1067" s="32" t="n">
        <v>1</v>
      </c>
      <c r="T1067" s="32"/>
      <c r="U1067" s="32"/>
      <c r="V1067" s="37"/>
      <c r="W1067" s="32"/>
      <c r="X1067" s="34"/>
      <c r="Y1067" s="34"/>
      <c r="Z1067" s="36"/>
      <c r="AA1067" s="32" t="s">
        <v>6573</v>
      </c>
      <c r="AB1067" s="32" t="s">
        <v>6574</v>
      </c>
      <c r="AC1067" s="38" t="str">
        <f aca="false">HYPERLINK("https://biocodex6--c.vf.force.com/0014L00000KFQ2wQAH", "AIM DENIS")</f>
        <v>AIM DENIS</v>
      </c>
      <c r="AD1067" s="38" t="str">
        <f aca="false">HYPERLINK("https://annuairesante.ameli.fr/professionnels-de-sante/recherche/fiche-detaillee-B7c1lDoyMTq0.html", "AIM DENIS")</f>
        <v>AIM DENIS</v>
      </c>
      <c r="AE1067" s="39"/>
      <c r="AF1067" s="40"/>
      <c r="AG1067" s="41"/>
      <c r="AH1067" s="32" t="s">
        <v>179</v>
      </c>
      <c r="AI1067" s="32"/>
      <c r="AL1067" s="32"/>
      <c r="AM1067" s="32"/>
      <c r="AN1067" s="32"/>
      <c r="AO1067" s="32"/>
      <c r="AP1067" s="32"/>
      <c r="AQ1067" s="32"/>
      <c r="AR1067" s="32"/>
      <c r="AS1067" s="32"/>
      <c r="AT1067" s="32"/>
      <c r="AU1067" s="32"/>
      <c r="XEY1067" s="27"/>
      <c r="XEZ1067" s="27"/>
      <c r="XFA1067" s="27"/>
      <c r="XFB1067" s="27"/>
      <c r="XFC1067" s="27"/>
      <c r="XFD1067" s="27"/>
    </row>
    <row r="1068" s="42" customFormat="true" ht="14.15" hidden="false" customHeight="true" outlineLevel="0" collapsed="false">
      <c r="A1068" s="28" t="s">
        <v>6575</v>
      </c>
      <c r="B1068" s="29" t="s">
        <v>2043</v>
      </c>
      <c r="C1068" s="29" t="s">
        <v>6576</v>
      </c>
      <c r="D1068" s="30" t="s">
        <v>50</v>
      </c>
      <c r="E1068" s="30" t="s">
        <v>916</v>
      </c>
      <c r="F1068" s="32"/>
      <c r="G1068" s="31" t="s">
        <v>98</v>
      </c>
      <c r="H1068" s="31" t="n">
        <v>1</v>
      </c>
      <c r="I1068" s="31" t="s">
        <v>62</v>
      </c>
      <c r="J1068" s="29"/>
      <c r="K1068" s="29" t="s">
        <v>6577</v>
      </c>
      <c r="L1068" s="32" t="n">
        <v>1</v>
      </c>
      <c r="M1068" s="33" t="s">
        <v>6578</v>
      </c>
      <c r="N1068" s="34" t="n">
        <v>75017</v>
      </c>
      <c r="O1068" s="35" t="s">
        <v>55</v>
      </c>
      <c r="P1068" s="36"/>
      <c r="Q1068" s="36" t="n">
        <v>1</v>
      </c>
      <c r="R1068" s="32" t="n">
        <v>232</v>
      </c>
      <c r="S1068" s="32" t="n">
        <v>1</v>
      </c>
      <c r="T1068" s="32"/>
      <c r="U1068" s="32"/>
      <c r="V1068" s="37"/>
      <c r="W1068" s="32"/>
      <c r="X1068" s="34"/>
      <c r="Y1068" s="34"/>
      <c r="Z1068" s="36"/>
      <c r="AA1068" s="32" t="s">
        <v>6579</v>
      </c>
      <c r="AB1068" s="32" t="s">
        <v>6580</v>
      </c>
      <c r="AC1068" s="38" t="str">
        <f aca="false">HYPERLINK("https://biocodex6--c.vf.force.com/0014L00000KG7EuQAL", "HOUBANI MIMERAN ELODIE")</f>
        <v>HOUBANI MIMERAN ELODIE</v>
      </c>
      <c r="AD1068" s="38" t="str">
        <f aca="false">HYPERLINK("https://annuairesante.ameli.fr/professionnels-de-sante/recherche/fiche-detaillee-B7c1lTEyNDC7.html", "HOUBANI MIMERAN ELODIE")</f>
        <v>HOUBANI MIMERAN ELODIE</v>
      </c>
      <c r="AE1068" s="39"/>
      <c r="AF1068" s="40"/>
      <c r="AG1068" s="41"/>
      <c r="AH1068" s="32" t="s">
        <v>179</v>
      </c>
      <c r="AI1068" s="32"/>
      <c r="AL1068" s="43" t="s">
        <v>657</v>
      </c>
      <c r="AM1068" s="43" t="s">
        <v>137</v>
      </c>
      <c r="AN1068" s="43" t="s">
        <v>657</v>
      </c>
      <c r="AO1068" s="43" t="s">
        <v>137</v>
      </c>
      <c r="AP1068" s="43" t="s">
        <v>657</v>
      </c>
      <c r="AQ1068" s="43" t="s">
        <v>137</v>
      </c>
      <c r="AR1068" s="43" t="s">
        <v>657</v>
      </c>
      <c r="AS1068" s="43" t="s">
        <v>137</v>
      </c>
      <c r="AT1068" s="43" t="s">
        <v>657</v>
      </c>
      <c r="AU1068" s="43" t="s">
        <v>137</v>
      </c>
      <c r="XEY1068" s="27"/>
      <c r="XEZ1068" s="27"/>
      <c r="XFA1068" s="27"/>
      <c r="XFB1068" s="27"/>
      <c r="XFC1068" s="27"/>
      <c r="XFD1068" s="27"/>
    </row>
    <row r="1069" s="42" customFormat="true" ht="14.15" hidden="false" customHeight="true" outlineLevel="0" collapsed="false">
      <c r="A1069" s="28" t="s">
        <v>6581</v>
      </c>
      <c r="B1069" s="29" t="s">
        <v>59</v>
      </c>
      <c r="C1069" s="29" t="s">
        <v>6582</v>
      </c>
      <c r="D1069" s="30" t="s">
        <v>50</v>
      </c>
      <c r="E1069" s="30" t="s">
        <v>386</v>
      </c>
      <c r="F1069" s="32" t="n">
        <v>69</v>
      </c>
      <c r="G1069" s="31"/>
      <c r="H1069" s="31" t="n">
        <v>1</v>
      </c>
      <c r="I1069" s="31" t="s">
        <v>51</v>
      </c>
      <c r="J1069" s="29" t="s">
        <v>2010</v>
      </c>
      <c r="K1069" s="29" t="s">
        <v>2011</v>
      </c>
      <c r="L1069" s="32" t="n">
        <v>37</v>
      </c>
      <c r="M1069" s="33" t="s">
        <v>2012</v>
      </c>
      <c r="N1069" s="34" t="n">
        <v>75015</v>
      </c>
      <c r="O1069" s="35" t="s">
        <v>55</v>
      </c>
      <c r="P1069" s="36" t="s">
        <v>2013</v>
      </c>
      <c r="Q1069" s="36" t="n">
        <v>19</v>
      </c>
      <c r="R1069" s="32" t="n">
        <v>231</v>
      </c>
      <c r="S1069" s="32" t="n">
        <v>1</v>
      </c>
      <c r="T1069" s="32"/>
      <c r="U1069" s="32"/>
      <c r="V1069" s="37"/>
      <c r="W1069" s="32"/>
      <c r="X1069" s="34"/>
      <c r="Y1069" s="34"/>
      <c r="Z1069" s="36"/>
      <c r="AA1069" s="32" t="s">
        <v>6583</v>
      </c>
      <c r="AB1069" s="32"/>
      <c r="AC1069" s="38" t="str">
        <f aca="false">HYPERLINK("https://biocodex6--c.vf.force.com/0014L00000KFgUFQA1", "GOLDSTEIN RICHARD")</f>
        <v>GOLDSTEIN RICHARD</v>
      </c>
      <c r="AD1069" s="38"/>
      <c r="AE1069" s="39"/>
      <c r="AF1069" s="40"/>
      <c r="AG1069" s="41"/>
      <c r="AH1069" s="32" t="s">
        <v>179</v>
      </c>
      <c r="AI1069" s="32"/>
      <c r="AL1069" s="32"/>
      <c r="AM1069" s="32"/>
      <c r="AN1069" s="32"/>
      <c r="AO1069" s="32"/>
      <c r="AP1069" s="32"/>
      <c r="AQ1069" s="32"/>
      <c r="AR1069" s="32"/>
      <c r="AS1069" s="32"/>
      <c r="AT1069" s="32"/>
      <c r="AU1069" s="32"/>
      <c r="XEY1069" s="27"/>
      <c r="XEZ1069" s="27"/>
      <c r="XFA1069" s="27"/>
      <c r="XFB1069" s="27"/>
      <c r="XFC1069" s="27"/>
      <c r="XFD1069" s="27"/>
    </row>
    <row r="1070" s="42" customFormat="true" ht="14.15" hidden="false" customHeight="true" outlineLevel="0" collapsed="false">
      <c r="A1070" s="28" t="s">
        <v>6584</v>
      </c>
      <c r="B1070" s="29" t="s">
        <v>6585</v>
      </c>
      <c r="C1070" s="29" t="s">
        <v>6586</v>
      </c>
      <c r="D1070" s="30" t="s">
        <v>50</v>
      </c>
      <c r="E1070" s="31"/>
      <c r="F1070" s="32" t="n">
        <v>36</v>
      </c>
      <c r="G1070" s="31"/>
      <c r="H1070" s="31" t="n">
        <v>1</v>
      </c>
      <c r="I1070" s="31" t="s">
        <v>62</v>
      </c>
      <c r="J1070" s="29" t="s">
        <v>1123</v>
      </c>
      <c r="K1070" s="29" t="s">
        <v>1124</v>
      </c>
      <c r="L1070" s="32" t="n">
        <v>97</v>
      </c>
      <c r="M1070" s="33" t="s">
        <v>1125</v>
      </c>
      <c r="N1070" s="34" t="n">
        <v>75017</v>
      </c>
      <c r="O1070" s="35" t="s">
        <v>55</v>
      </c>
      <c r="P1070" s="36" t="s">
        <v>1126</v>
      </c>
      <c r="Q1070" s="36" t="n">
        <v>6</v>
      </c>
      <c r="R1070" s="32" t="n">
        <v>231</v>
      </c>
      <c r="S1070" s="32" t="n">
        <v>1</v>
      </c>
      <c r="T1070" s="32"/>
      <c r="U1070" s="32"/>
      <c r="V1070" s="37"/>
      <c r="W1070" s="32"/>
      <c r="X1070" s="34"/>
      <c r="Y1070" s="34"/>
      <c r="Z1070" s="36"/>
      <c r="AA1070" s="32" t="s">
        <v>6587</v>
      </c>
      <c r="AB1070" s="32"/>
      <c r="AC1070" s="38" t="str">
        <f aca="false">HYPERLINK("https://biocodex6--c.vf.force.com/0014L00000KG9kfQAD", "HAKMI ASMAA")</f>
        <v>HAKMI ASMAA</v>
      </c>
      <c r="AD1070" s="38"/>
      <c r="AE1070" s="39"/>
      <c r="AF1070" s="40"/>
      <c r="AG1070" s="41"/>
      <c r="AH1070" s="32" t="s">
        <v>179</v>
      </c>
      <c r="AI1070" s="32"/>
      <c r="AJ1070" s="42" t="s">
        <v>1128</v>
      </c>
      <c r="AL1070" s="32"/>
      <c r="AM1070" s="32"/>
      <c r="AN1070" s="32"/>
      <c r="AO1070" s="32"/>
      <c r="AP1070" s="32"/>
      <c r="AQ1070" s="32"/>
      <c r="AR1070" s="32"/>
      <c r="AS1070" s="32"/>
      <c r="AT1070" s="32"/>
      <c r="AU1070" s="32"/>
      <c r="XEY1070" s="27"/>
      <c r="XEZ1070" s="27"/>
      <c r="XFA1070" s="27"/>
      <c r="XFB1070" s="27"/>
      <c r="XFC1070" s="27"/>
      <c r="XFD1070" s="27"/>
    </row>
    <row r="1071" s="42" customFormat="true" ht="14.15" hidden="false" customHeight="true" outlineLevel="0" collapsed="false">
      <c r="A1071" s="28" t="s">
        <v>6588</v>
      </c>
      <c r="B1071" s="29" t="s">
        <v>6589</v>
      </c>
      <c r="C1071" s="29" t="s">
        <v>6590</v>
      </c>
      <c r="D1071" s="30" t="s">
        <v>50</v>
      </c>
      <c r="E1071" s="30" t="s">
        <v>386</v>
      </c>
      <c r="F1071" s="32" t="n">
        <v>36</v>
      </c>
      <c r="G1071" s="31" t="s">
        <v>98</v>
      </c>
      <c r="H1071" s="31" t="n">
        <v>1</v>
      </c>
      <c r="I1071" s="31" t="s">
        <v>77</v>
      </c>
      <c r="J1071" s="29" t="s">
        <v>78</v>
      </c>
      <c r="K1071" s="29" t="s">
        <v>79</v>
      </c>
      <c r="L1071" s="32" t="n">
        <v>26</v>
      </c>
      <c r="M1071" s="33" t="s">
        <v>80</v>
      </c>
      <c r="N1071" s="34" t="n">
        <v>92200</v>
      </c>
      <c r="O1071" s="35" t="s">
        <v>81</v>
      </c>
      <c r="P1071" s="36"/>
      <c r="Q1071" s="36" t="n">
        <v>10</v>
      </c>
      <c r="R1071" s="32" t="n">
        <v>231</v>
      </c>
      <c r="S1071" s="32" t="n">
        <v>1</v>
      </c>
      <c r="T1071" s="32"/>
      <c r="U1071" s="32"/>
      <c r="V1071" s="37"/>
      <c r="W1071" s="32"/>
      <c r="X1071" s="34"/>
      <c r="Y1071" s="34"/>
      <c r="Z1071" s="36"/>
      <c r="AA1071" s="32" t="s">
        <v>6591</v>
      </c>
      <c r="AB1071" s="32" t="s">
        <v>6592</v>
      </c>
      <c r="AC1071" s="38" t="str">
        <f aca="false">HYPERLINK("https://biocodex6--c.vf.force.com/0014L00000KGAVnQAP", "SCHMITT CECILIA")</f>
        <v>SCHMITT CECILIA</v>
      </c>
      <c r="AD1071" s="38" t="str">
        <f aca="false">HYPERLINK("https://annuairesante.ameli.fr/professionnels-de-sante/recherche/fiche-detaillee-CbA1kjE4ODu1.html", "SCHMITT CECILIA")</f>
        <v>SCHMITT CECILIA</v>
      </c>
      <c r="AE1071" s="39"/>
      <c r="AF1071" s="40"/>
      <c r="AG1071" s="41"/>
      <c r="AH1071" s="32" t="s">
        <v>179</v>
      </c>
      <c r="AI1071" s="32"/>
      <c r="AL1071" s="32"/>
      <c r="AM1071" s="32"/>
      <c r="AN1071" s="32"/>
      <c r="AO1071" s="32"/>
      <c r="AP1071" s="32"/>
      <c r="AQ1071" s="32"/>
      <c r="AR1071" s="32"/>
      <c r="AS1071" s="32"/>
      <c r="AT1071" s="32"/>
      <c r="AU1071" s="32"/>
      <c r="XEY1071" s="27"/>
      <c r="XEZ1071" s="27"/>
      <c r="XFA1071" s="27"/>
      <c r="XFB1071" s="27"/>
      <c r="XFC1071" s="27"/>
      <c r="XFD1071" s="27"/>
    </row>
    <row r="1072" s="42" customFormat="true" ht="14.15" hidden="false" customHeight="true" outlineLevel="0" collapsed="false">
      <c r="A1072" s="28" t="s">
        <v>6593</v>
      </c>
      <c r="B1072" s="29" t="s">
        <v>4456</v>
      </c>
      <c r="C1072" s="29" t="s">
        <v>6594</v>
      </c>
      <c r="D1072" s="30" t="s">
        <v>50</v>
      </c>
      <c r="E1072" s="30" t="s">
        <v>6595</v>
      </c>
      <c r="F1072" s="32" t="n">
        <v>63</v>
      </c>
      <c r="G1072" s="31"/>
      <c r="H1072" s="31" t="n">
        <v>1</v>
      </c>
      <c r="I1072" s="31" t="s">
        <v>99</v>
      </c>
      <c r="J1072" s="29"/>
      <c r="K1072" s="29" t="s">
        <v>6596</v>
      </c>
      <c r="L1072" s="32" t="n">
        <v>24</v>
      </c>
      <c r="M1072" s="33" t="s">
        <v>961</v>
      </c>
      <c r="N1072" s="34" t="n">
        <v>75015</v>
      </c>
      <c r="O1072" s="35" t="s">
        <v>55</v>
      </c>
      <c r="P1072" s="36"/>
      <c r="Q1072" s="36" t="n">
        <v>2</v>
      </c>
      <c r="R1072" s="32" t="n">
        <v>230</v>
      </c>
      <c r="S1072" s="32" t="n">
        <v>1</v>
      </c>
      <c r="T1072" s="32"/>
      <c r="U1072" s="32"/>
      <c r="V1072" s="37"/>
      <c r="W1072" s="32"/>
      <c r="X1072" s="34"/>
      <c r="Y1072" s="34"/>
      <c r="Z1072" s="36"/>
      <c r="AA1072" s="32" t="s">
        <v>6597</v>
      </c>
      <c r="AB1072" s="32"/>
      <c r="AC1072" s="38" t="str">
        <f aca="false">HYPERLINK("https://biocodex6--c.vf.force.com/0014L00000KG4W5QAL", "VAUTIER FRANCE")</f>
        <v>VAUTIER FRANCE</v>
      </c>
      <c r="AD1072" s="38"/>
      <c r="AE1072" s="39"/>
      <c r="AF1072" s="40"/>
      <c r="AG1072" s="41"/>
      <c r="AH1072" s="32" t="s">
        <v>179</v>
      </c>
      <c r="AI1072" s="32"/>
      <c r="AL1072" s="32"/>
      <c r="AM1072" s="32"/>
      <c r="AN1072" s="32"/>
      <c r="AO1072" s="32"/>
      <c r="AP1072" s="32"/>
      <c r="AQ1072" s="32"/>
      <c r="AR1072" s="32"/>
      <c r="AS1072" s="32"/>
      <c r="AT1072" s="32"/>
      <c r="AU1072" s="32"/>
      <c r="XEY1072" s="27"/>
      <c r="XEZ1072" s="27"/>
      <c r="XFA1072" s="27"/>
      <c r="XFB1072" s="27"/>
      <c r="XFC1072" s="27"/>
      <c r="XFD1072" s="27"/>
    </row>
    <row r="1073" s="42" customFormat="true" ht="14.15" hidden="false" customHeight="true" outlineLevel="0" collapsed="false">
      <c r="A1073" s="28" t="s">
        <v>6598</v>
      </c>
      <c r="B1073" s="29" t="s">
        <v>6599</v>
      </c>
      <c r="C1073" s="29" t="s">
        <v>6600</v>
      </c>
      <c r="D1073" s="30" t="s">
        <v>50</v>
      </c>
      <c r="E1073" s="30" t="s">
        <v>421</v>
      </c>
      <c r="F1073" s="32" t="n">
        <v>73</v>
      </c>
      <c r="G1073" s="31"/>
      <c r="H1073" s="31" t="n">
        <v>1</v>
      </c>
      <c r="I1073" s="31" t="s">
        <v>435</v>
      </c>
      <c r="J1073" s="29"/>
      <c r="K1073" s="29" t="s">
        <v>6601</v>
      </c>
      <c r="L1073" s="32" t="n">
        <v>42</v>
      </c>
      <c r="M1073" s="33" t="s">
        <v>1340</v>
      </c>
      <c r="N1073" s="34" t="n">
        <v>75016</v>
      </c>
      <c r="O1073" s="35" t="s">
        <v>55</v>
      </c>
      <c r="P1073" s="36" t="s">
        <v>6602</v>
      </c>
      <c r="Q1073" s="36" t="n">
        <v>1</v>
      </c>
      <c r="R1073" s="32" t="n">
        <v>230</v>
      </c>
      <c r="S1073" s="32" t="n">
        <v>1</v>
      </c>
      <c r="T1073" s="32"/>
      <c r="U1073" s="32"/>
      <c r="V1073" s="37"/>
      <c r="W1073" s="32"/>
      <c r="X1073" s="34"/>
      <c r="Y1073" s="34"/>
      <c r="Z1073" s="36"/>
      <c r="AA1073" s="32" t="s">
        <v>6603</v>
      </c>
      <c r="AB1073" s="32"/>
      <c r="AC1073" s="38" t="str">
        <f aca="false">HYPERLINK("https://biocodex6--c.vf.force.com/0014L00000KFQHDQA5", "MAVROV ALMOSNI DONKA")</f>
        <v>MAVROV ALMOSNI DONKA</v>
      </c>
      <c r="AD1073" s="38"/>
      <c r="AE1073" s="39"/>
      <c r="AF1073" s="40"/>
      <c r="AG1073" s="41"/>
      <c r="AH1073" s="32" t="s">
        <v>179</v>
      </c>
      <c r="AI1073" s="32"/>
      <c r="AL1073" s="32"/>
      <c r="AM1073" s="32"/>
      <c r="AN1073" s="32"/>
      <c r="AO1073" s="32"/>
      <c r="AP1073" s="32"/>
      <c r="AQ1073" s="32"/>
      <c r="AR1073" s="32"/>
      <c r="AS1073" s="32"/>
      <c r="AT1073" s="32"/>
      <c r="AU1073" s="32"/>
      <c r="XEY1073" s="27"/>
      <c r="XEZ1073" s="27"/>
      <c r="XFA1073" s="27"/>
      <c r="XFB1073" s="27"/>
      <c r="XFC1073" s="27"/>
      <c r="XFD1073" s="27"/>
    </row>
    <row r="1074" s="42" customFormat="true" ht="14.15" hidden="false" customHeight="true" outlineLevel="0" collapsed="false">
      <c r="A1074" s="28" t="s">
        <v>6604</v>
      </c>
      <c r="B1074" s="29" t="s">
        <v>195</v>
      </c>
      <c r="C1074" s="29" t="s">
        <v>6605</v>
      </c>
      <c r="D1074" s="30" t="s">
        <v>244</v>
      </c>
      <c r="E1074" s="30" t="s">
        <v>245</v>
      </c>
      <c r="F1074" s="32" t="n">
        <v>74</v>
      </c>
      <c r="G1074" s="31" t="s">
        <v>215</v>
      </c>
      <c r="H1074" s="31" t="n">
        <v>2</v>
      </c>
      <c r="I1074" s="31" t="s">
        <v>435</v>
      </c>
      <c r="J1074" s="29"/>
      <c r="K1074" s="29" t="s">
        <v>6606</v>
      </c>
      <c r="L1074" s="32" t="n">
        <v>33</v>
      </c>
      <c r="M1074" s="33" t="s">
        <v>1450</v>
      </c>
      <c r="N1074" s="34" t="n">
        <v>75016</v>
      </c>
      <c r="O1074" s="35" t="s">
        <v>55</v>
      </c>
      <c r="P1074" s="36" t="s">
        <v>6607</v>
      </c>
      <c r="Q1074" s="36" t="n">
        <v>2</v>
      </c>
      <c r="R1074" s="32" t="n">
        <v>230</v>
      </c>
      <c r="S1074" s="32" t="n">
        <v>1</v>
      </c>
      <c r="T1074" s="32"/>
      <c r="U1074" s="32"/>
      <c r="V1074" s="37"/>
      <c r="W1074" s="32"/>
      <c r="X1074" s="34"/>
      <c r="Y1074" s="34"/>
      <c r="Z1074" s="36"/>
      <c r="AA1074" s="32" t="s">
        <v>6608</v>
      </c>
      <c r="AB1074" s="32" t="s">
        <v>6609</v>
      </c>
      <c r="AC1074" s="38" t="str">
        <f aca="false">HYPERLINK("https://biocodex6--c.vf.force.com/0014L00000KG54QQAT", "VIGNAL PHILIPPE")</f>
        <v>VIGNAL PHILIPPE</v>
      </c>
      <c r="AD1074" s="38" t="str">
        <f aca="false">HYPERLINK("https://annuairesante.ameli.fr/professionnels-de-sante/recherche/fiche-detaillee-B7c1lTI0Mju2.html", "VIGNAL PHILIPPE")</f>
        <v>VIGNAL PHILIPPE</v>
      </c>
      <c r="AE1074" s="39"/>
      <c r="AF1074" s="40"/>
      <c r="AG1074" s="41"/>
      <c r="AH1074" s="32" t="s">
        <v>179</v>
      </c>
      <c r="AI1074" s="32"/>
      <c r="AL1074" s="32"/>
      <c r="AM1074" s="32"/>
      <c r="AN1074" s="32"/>
      <c r="AO1074" s="32"/>
      <c r="AP1074" s="32"/>
      <c r="AQ1074" s="32"/>
      <c r="AR1074" s="32"/>
      <c r="AS1074" s="32"/>
      <c r="AT1074" s="32"/>
      <c r="AU1074" s="32"/>
      <c r="XEY1074" s="27"/>
      <c r="XEZ1074" s="27"/>
      <c r="XFA1074" s="27"/>
      <c r="XFB1074" s="27"/>
      <c r="XFC1074" s="27"/>
      <c r="XFD1074" s="27"/>
    </row>
    <row r="1075" s="42" customFormat="true" ht="14.15" hidden="false" customHeight="true" outlineLevel="0" collapsed="false">
      <c r="A1075" s="28" t="s">
        <v>6610</v>
      </c>
      <c r="B1075" s="29" t="s">
        <v>6611</v>
      </c>
      <c r="C1075" s="29" t="s">
        <v>6612</v>
      </c>
      <c r="D1075" s="30" t="s">
        <v>50</v>
      </c>
      <c r="E1075" s="31"/>
      <c r="F1075" s="32" t="n">
        <v>42</v>
      </c>
      <c r="G1075" s="31"/>
      <c r="H1075" s="31" t="n">
        <v>1</v>
      </c>
      <c r="I1075" s="31" t="s">
        <v>295</v>
      </c>
      <c r="J1075" s="29"/>
      <c r="K1075" s="29" t="s">
        <v>5522</v>
      </c>
      <c r="L1075" s="32" t="n">
        <v>88</v>
      </c>
      <c r="M1075" s="33" t="s">
        <v>5523</v>
      </c>
      <c r="N1075" s="34" t="n">
        <v>92300</v>
      </c>
      <c r="O1075" s="35" t="s">
        <v>298</v>
      </c>
      <c r="P1075" s="36" t="s">
        <v>5524</v>
      </c>
      <c r="Q1075" s="36" t="n">
        <v>3</v>
      </c>
      <c r="R1075" s="32" t="n">
        <v>229</v>
      </c>
      <c r="S1075" s="32" t="n">
        <v>1</v>
      </c>
      <c r="T1075" s="32"/>
      <c r="U1075" s="32"/>
      <c r="V1075" s="37"/>
      <c r="W1075" s="32"/>
      <c r="X1075" s="34"/>
      <c r="Y1075" s="34"/>
      <c r="Z1075" s="32"/>
      <c r="AA1075" s="32" t="s">
        <v>6613</v>
      </c>
      <c r="AB1075" s="32"/>
      <c r="AC1075" s="38" t="str">
        <f aca="false">HYPERLINK("https://biocodex6--c.vf.force.com/0014L00000KG0KxQAL", "RIAZUL ISSHAQUE")</f>
        <v>RIAZUL ISSHAQUE</v>
      </c>
      <c r="AD1075" s="38"/>
      <c r="AE1075" s="39" t="n">
        <v>45313.6666666667</v>
      </c>
      <c r="AF1075" s="40"/>
      <c r="AG1075" s="41" t="s">
        <v>69</v>
      </c>
      <c r="AH1075" s="32" t="s">
        <v>70</v>
      </c>
      <c r="AI1075" s="32"/>
      <c r="AL1075" s="32"/>
      <c r="AM1075" s="32"/>
      <c r="AN1075" s="32"/>
      <c r="AO1075" s="32"/>
      <c r="AP1075" s="32"/>
      <c r="AQ1075" s="32"/>
      <c r="AR1075" s="32"/>
      <c r="AS1075" s="32"/>
      <c r="AT1075" s="32"/>
      <c r="AU1075" s="32"/>
      <c r="XEY1075" s="27"/>
      <c r="XEZ1075" s="27"/>
      <c r="XFA1075" s="27"/>
      <c r="XFB1075" s="27"/>
      <c r="XFC1075" s="27"/>
      <c r="XFD1075" s="27"/>
    </row>
    <row r="1076" s="42" customFormat="true" ht="14.15" hidden="false" customHeight="true" outlineLevel="0" collapsed="false">
      <c r="A1076" s="28" t="s">
        <v>6614</v>
      </c>
      <c r="B1076" s="29" t="s">
        <v>1130</v>
      </c>
      <c r="C1076" s="29" t="s">
        <v>6615</v>
      </c>
      <c r="D1076" s="30" t="s">
        <v>244</v>
      </c>
      <c r="E1076" s="30" t="s">
        <v>245</v>
      </c>
      <c r="F1076" s="32" t="n">
        <v>77</v>
      </c>
      <c r="G1076" s="31" t="s">
        <v>215</v>
      </c>
      <c r="H1076" s="31" t="n">
        <v>1</v>
      </c>
      <c r="I1076" s="31" t="s">
        <v>435</v>
      </c>
      <c r="J1076" s="29"/>
      <c r="K1076" s="29" t="s">
        <v>6616</v>
      </c>
      <c r="L1076" s="32" t="n">
        <v>8</v>
      </c>
      <c r="M1076" s="33" t="s">
        <v>4389</v>
      </c>
      <c r="N1076" s="34" t="n">
        <v>75016</v>
      </c>
      <c r="O1076" s="35" t="s">
        <v>55</v>
      </c>
      <c r="P1076" s="36" t="s">
        <v>6617</v>
      </c>
      <c r="Q1076" s="36" t="n">
        <v>2</v>
      </c>
      <c r="R1076" s="32" t="n">
        <v>229</v>
      </c>
      <c r="S1076" s="32" t="n">
        <v>1</v>
      </c>
      <c r="T1076" s="32"/>
      <c r="U1076" s="32"/>
      <c r="V1076" s="37"/>
      <c r="W1076" s="32"/>
      <c r="X1076" s="34"/>
      <c r="Y1076" s="34"/>
      <c r="Z1076" s="36"/>
      <c r="AA1076" s="32" t="s">
        <v>6618</v>
      </c>
      <c r="AB1076" s="32" t="s">
        <v>6619</v>
      </c>
      <c r="AC1076" s="38" t="str">
        <f aca="false">HYPERLINK("https://biocodex6--c.vf.force.com/0014L00000KFZzVQAX", "DELUBAC DANIEL")</f>
        <v>DELUBAC DANIEL</v>
      </c>
      <c r="AD1076" s="38" t="str">
        <f aca="false">HYPERLINK("https://annuairesante.ameli.fr/professionnels-de-sante/recherche/fiche-detaillee-B7c1kTAyOTe1.html", "DELUBAC DANIEL")</f>
        <v>DELUBAC DANIEL</v>
      </c>
      <c r="AE1076" s="39"/>
      <c r="AF1076" s="40"/>
      <c r="AG1076" s="41"/>
      <c r="AH1076" s="32" t="s">
        <v>179</v>
      </c>
      <c r="AI1076" s="32"/>
      <c r="AL1076" s="43" t="s">
        <v>657</v>
      </c>
      <c r="AM1076" s="43" t="s">
        <v>126</v>
      </c>
      <c r="AN1076" s="43" t="s">
        <v>657</v>
      </c>
      <c r="AO1076" s="43" t="s">
        <v>126</v>
      </c>
      <c r="AP1076" s="43" t="s">
        <v>657</v>
      </c>
      <c r="AQ1076" s="43" t="s">
        <v>126</v>
      </c>
      <c r="AR1076" s="43" t="s">
        <v>657</v>
      </c>
      <c r="AS1076" s="43" t="s">
        <v>126</v>
      </c>
      <c r="AT1076" s="43" t="s">
        <v>657</v>
      </c>
      <c r="AU1076" s="43" t="s">
        <v>126</v>
      </c>
      <c r="XEY1076" s="27"/>
      <c r="XEZ1076" s="27"/>
      <c r="XFA1076" s="27"/>
      <c r="XFB1076" s="27"/>
      <c r="XFC1076" s="27"/>
      <c r="XFD1076" s="27"/>
    </row>
    <row r="1077" s="42" customFormat="true" ht="14.15" hidden="false" customHeight="true" outlineLevel="0" collapsed="false">
      <c r="A1077" s="28" t="s">
        <v>6620</v>
      </c>
      <c r="B1077" s="29" t="s">
        <v>1790</v>
      </c>
      <c r="C1077" s="29" t="s">
        <v>6621</v>
      </c>
      <c r="D1077" s="30" t="s">
        <v>244</v>
      </c>
      <c r="E1077" s="30" t="s">
        <v>6622</v>
      </c>
      <c r="F1077" s="32" t="n">
        <v>78</v>
      </c>
      <c r="G1077" s="31" t="s">
        <v>98</v>
      </c>
      <c r="H1077" s="31" t="n">
        <v>1</v>
      </c>
      <c r="I1077" s="31" t="s">
        <v>62</v>
      </c>
      <c r="J1077" s="29"/>
      <c r="K1077" s="29" t="s">
        <v>6623</v>
      </c>
      <c r="L1077" s="32" t="n">
        <v>1</v>
      </c>
      <c r="M1077" s="33" t="s">
        <v>6624</v>
      </c>
      <c r="N1077" s="34" t="n">
        <v>75017</v>
      </c>
      <c r="O1077" s="35" t="s">
        <v>55</v>
      </c>
      <c r="P1077" s="36" t="s">
        <v>6625</v>
      </c>
      <c r="Q1077" s="36" t="n">
        <v>1</v>
      </c>
      <c r="R1077" s="32" t="n">
        <v>229</v>
      </c>
      <c r="S1077" s="32" t="n">
        <v>1</v>
      </c>
      <c r="T1077" s="32"/>
      <c r="U1077" s="32"/>
      <c r="V1077" s="37"/>
      <c r="W1077" s="32"/>
      <c r="X1077" s="34"/>
      <c r="Y1077" s="34"/>
      <c r="Z1077" s="36"/>
      <c r="AA1077" s="32" t="s">
        <v>6626</v>
      </c>
      <c r="AB1077" s="32" t="s">
        <v>6627</v>
      </c>
      <c r="AC1077" s="38" t="str">
        <f aca="false">HYPERLINK("https://biocodex6--c.vf.force.com/0014L00000KFY3RQAX", "CREQUAT JOEL")</f>
        <v>CREQUAT JOEL</v>
      </c>
      <c r="AD1077" s="38" t="str">
        <f aca="false">HYPERLINK("https://annuairesante.ameli.fr/professionnels-de-sante/recherche/fiche-detaillee-B7c1kTo1Mje0.html", "CREQUAT JOEL")</f>
        <v>CREQUAT JOEL</v>
      </c>
      <c r="AE1077" s="39"/>
      <c r="AF1077" s="40"/>
      <c r="AG1077" s="41"/>
      <c r="AH1077" s="32" t="s">
        <v>179</v>
      </c>
      <c r="AI1077" s="32"/>
      <c r="AL1077" s="32"/>
      <c r="AM1077" s="32"/>
      <c r="AN1077" s="32"/>
      <c r="AO1077" s="32"/>
      <c r="AP1077" s="32"/>
      <c r="AQ1077" s="32"/>
      <c r="AR1077" s="32"/>
      <c r="AS1077" s="32"/>
      <c r="AT1077" s="32"/>
      <c r="AU1077" s="32"/>
      <c r="XEY1077" s="27"/>
      <c r="XEZ1077" s="27"/>
      <c r="XFA1077" s="27"/>
      <c r="XFB1077" s="27"/>
      <c r="XFC1077" s="27"/>
      <c r="XFD1077" s="27"/>
    </row>
    <row r="1078" s="42" customFormat="true" ht="14.15" hidden="false" customHeight="true" outlineLevel="0" collapsed="false">
      <c r="A1078" s="28" t="s">
        <v>6628</v>
      </c>
      <c r="B1078" s="29" t="s">
        <v>6629</v>
      </c>
      <c r="C1078" s="29" t="s">
        <v>6630</v>
      </c>
      <c r="D1078" s="30" t="s">
        <v>50</v>
      </c>
      <c r="E1078" s="31"/>
      <c r="F1078" s="32" t="n">
        <v>57</v>
      </c>
      <c r="G1078" s="31" t="s">
        <v>98</v>
      </c>
      <c r="H1078" s="31" t="n">
        <v>1</v>
      </c>
      <c r="I1078" s="31" t="s">
        <v>197</v>
      </c>
      <c r="J1078" s="29"/>
      <c r="K1078" s="29" t="s">
        <v>6631</v>
      </c>
      <c r="L1078" s="32" t="n">
        <v>102</v>
      </c>
      <c r="M1078" s="33" t="s">
        <v>347</v>
      </c>
      <c r="N1078" s="34" t="n">
        <v>75017</v>
      </c>
      <c r="O1078" s="35" t="s">
        <v>55</v>
      </c>
      <c r="P1078" s="36"/>
      <c r="Q1078" s="36" t="n">
        <v>1</v>
      </c>
      <c r="R1078" s="32" t="n">
        <v>229</v>
      </c>
      <c r="S1078" s="32" t="n">
        <v>1</v>
      </c>
      <c r="T1078" s="32"/>
      <c r="U1078" s="32"/>
      <c r="V1078" s="37"/>
      <c r="W1078" s="32"/>
      <c r="X1078" s="34"/>
      <c r="Y1078" s="34"/>
      <c r="Z1078" s="36"/>
      <c r="AA1078" s="32" t="s">
        <v>6632</v>
      </c>
      <c r="AB1078" s="32" t="s">
        <v>6633</v>
      </c>
      <c r="AC1078" s="38" t="str">
        <f aca="false">HYPERLINK("https://biocodex6--c.vf.force.com/0014L00000KFYq4QAH", "DRAGOS SIMONE")</f>
        <v>DRAGOS SIMONE</v>
      </c>
      <c r="AD1078" s="38" t="str">
        <f aca="false">HYPERLINK("https://annuairesante.ameli.fr/professionnels-de-sante/recherche/fiche-detaillee-B7c1kjczMze6.html", "DRAGOS SIMONE")</f>
        <v>DRAGOS SIMONE</v>
      </c>
      <c r="AE1078" s="39"/>
      <c r="AF1078" s="40"/>
      <c r="AG1078" s="41"/>
      <c r="AH1078" s="32" t="s">
        <v>179</v>
      </c>
      <c r="AI1078" s="32"/>
      <c r="AL1078" s="32"/>
      <c r="AM1078" s="32"/>
      <c r="AN1078" s="32"/>
      <c r="AO1078" s="32"/>
      <c r="AP1078" s="32"/>
      <c r="AQ1078" s="32"/>
      <c r="AR1078" s="32"/>
      <c r="AS1078" s="32"/>
      <c r="AT1078" s="32"/>
      <c r="AU1078" s="32"/>
      <c r="XEY1078" s="27"/>
      <c r="XEZ1078" s="27"/>
      <c r="XFA1078" s="27"/>
      <c r="XFB1078" s="27"/>
      <c r="XFC1078" s="27"/>
      <c r="XFD1078" s="27"/>
    </row>
    <row r="1079" s="42" customFormat="true" ht="14.15" hidden="false" customHeight="true" outlineLevel="0" collapsed="false">
      <c r="A1079" s="28" t="s">
        <v>221</v>
      </c>
      <c r="B1079" s="29" t="s">
        <v>5792</v>
      </c>
      <c r="C1079" s="29" t="s">
        <v>6634</v>
      </c>
      <c r="D1079" s="30" t="s">
        <v>50</v>
      </c>
      <c r="E1079" s="30" t="s">
        <v>2401</v>
      </c>
      <c r="F1079" s="32" t="n">
        <v>73</v>
      </c>
      <c r="G1079" s="31" t="s">
        <v>215</v>
      </c>
      <c r="H1079" s="31" t="n">
        <v>1</v>
      </c>
      <c r="I1079" s="31" t="s">
        <v>173</v>
      </c>
      <c r="J1079" s="29"/>
      <c r="K1079" s="29" t="s">
        <v>5756</v>
      </c>
      <c r="L1079" s="32" t="n">
        <v>28</v>
      </c>
      <c r="M1079" s="33" t="s">
        <v>3039</v>
      </c>
      <c r="N1079" s="34" t="n">
        <v>75016</v>
      </c>
      <c r="O1079" s="35" t="s">
        <v>55</v>
      </c>
      <c r="P1079" s="36" t="s">
        <v>6635</v>
      </c>
      <c r="Q1079" s="36" t="n">
        <v>2</v>
      </c>
      <c r="R1079" s="32" t="n">
        <v>229</v>
      </c>
      <c r="S1079" s="32" t="n">
        <v>1</v>
      </c>
      <c r="T1079" s="32"/>
      <c r="U1079" s="32"/>
      <c r="V1079" s="37"/>
      <c r="W1079" s="32"/>
      <c r="X1079" s="34"/>
      <c r="Y1079" s="34"/>
      <c r="Z1079" s="36"/>
      <c r="AA1079" s="32" t="s">
        <v>6636</v>
      </c>
      <c r="AB1079" s="32" t="s">
        <v>6637</v>
      </c>
      <c r="AC1079" s="38" t="str">
        <f aca="false">HYPERLINK("https://biocodex6--c.vf.force.com/0014L00000KFShJQAX", "BENOIT YVES")</f>
        <v>BENOIT YVES</v>
      </c>
      <c r="AD1079" s="38" t="str">
        <f aca="false">HYPERLINK("https://annuairesante.ameli.fr/professionnels-de-sante/recherche/fiche-detaillee-B7c1kTo4MzCz.html", "BENOIT YVES")</f>
        <v>BENOIT YVES</v>
      </c>
      <c r="AE1079" s="39"/>
      <c r="AF1079" s="40"/>
      <c r="AG1079" s="41"/>
      <c r="AH1079" s="32" t="s">
        <v>179</v>
      </c>
      <c r="AI1079" s="32"/>
      <c r="AL1079" s="32"/>
      <c r="AM1079" s="32"/>
      <c r="AN1079" s="32"/>
      <c r="AO1079" s="32"/>
      <c r="AP1079" s="32"/>
      <c r="AQ1079" s="32"/>
      <c r="AR1079" s="32"/>
      <c r="AS1079" s="32"/>
      <c r="AT1079" s="32"/>
      <c r="AU1079" s="32"/>
      <c r="XEY1079" s="27"/>
      <c r="XEZ1079" s="27"/>
      <c r="XFA1079" s="27"/>
      <c r="XFB1079" s="27"/>
      <c r="XFC1079" s="27"/>
      <c r="XFD1079" s="27"/>
    </row>
    <row r="1080" s="42" customFormat="true" ht="14.15" hidden="false" customHeight="true" outlineLevel="0" collapsed="false">
      <c r="A1080" s="28" t="s">
        <v>6638</v>
      </c>
      <c r="B1080" s="29" t="s">
        <v>1928</v>
      </c>
      <c r="C1080" s="29" t="s">
        <v>6639</v>
      </c>
      <c r="D1080" s="30" t="s">
        <v>50</v>
      </c>
      <c r="E1080" s="31"/>
      <c r="F1080" s="32" t="n">
        <v>40</v>
      </c>
      <c r="G1080" s="31"/>
      <c r="H1080" s="31" t="n">
        <v>1</v>
      </c>
      <c r="I1080" s="31" t="s">
        <v>387</v>
      </c>
      <c r="J1080" s="29" t="s">
        <v>777</v>
      </c>
      <c r="K1080" s="29" t="s">
        <v>3138</v>
      </c>
      <c r="L1080" s="32" t="n">
        <v>95</v>
      </c>
      <c r="M1080" s="33" t="s">
        <v>2778</v>
      </c>
      <c r="N1080" s="34" t="n">
        <v>75016</v>
      </c>
      <c r="O1080" s="35" t="s">
        <v>55</v>
      </c>
      <c r="P1080" s="36" t="s">
        <v>6022</v>
      </c>
      <c r="Q1080" s="36" t="n">
        <v>7</v>
      </c>
      <c r="R1080" s="32" t="n">
        <v>228</v>
      </c>
      <c r="S1080" s="32" t="n">
        <v>1</v>
      </c>
      <c r="T1080" s="32"/>
      <c r="U1080" s="32"/>
      <c r="V1080" s="37"/>
      <c r="W1080" s="32"/>
      <c r="X1080" s="34"/>
      <c r="Y1080" s="34"/>
      <c r="Z1080" s="36"/>
      <c r="AA1080" s="32" t="s">
        <v>6640</v>
      </c>
      <c r="AB1080" s="32"/>
      <c r="AC1080" s="38" t="str">
        <f aca="false">HYPERLINK("https://biocodex6--c.vf.force.com/0014L00000KFREbQAP", "AGOGUE MATHILDE")</f>
        <v>AGOGUE MATHILDE</v>
      </c>
      <c r="AD1080" s="38"/>
      <c r="AE1080" s="39"/>
      <c r="AF1080" s="40"/>
      <c r="AG1080" s="41"/>
      <c r="AH1080" s="32" t="s">
        <v>179</v>
      </c>
      <c r="AI1080" s="32"/>
      <c r="AL1080" s="32"/>
      <c r="AM1080" s="32"/>
      <c r="AN1080" s="32"/>
      <c r="AO1080" s="32"/>
      <c r="AP1080" s="32"/>
      <c r="AQ1080" s="32"/>
      <c r="AR1080" s="32"/>
      <c r="AS1080" s="32"/>
      <c r="AT1080" s="32"/>
      <c r="AU1080" s="32"/>
      <c r="XEY1080" s="27"/>
      <c r="XEZ1080" s="27"/>
      <c r="XFA1080" s="27"/>
      <c r="XFB1080" s="27"/>
      <c r="XFC1080" s="27"/>
      <c r="XFD1080" s="27"/>
    </row>
    <row r="1081" s="42" customFormat="true" ht="14.15" hidden="false" customHeight="true" outlineLevel="0" collapsed="false">
      <c r="A1081" s="28" t="s">
        <v>6641</v>
      </c>
      <c r="B1081" s="29" t="s">
        <v>883</v>
      </c>
      <c r="C1081" s="29" t="s">
        <v>6642</v>
      </c>
      <c r="D1081" s="30" t="s">
        <v>244</v>
      </c>
      <c r="E1081" s="30" t="s">
        <v>245</v>
      </c>
      <c r="F1081" s="32" t="n">
        <v>88</v>
      </c>
      <c r="G1081" s="31"/>
      <c r="H1081" s="31" t="n">
        <v>2</v>
      </c>
      <c r="I1081" s="31" t="s">
        <v>99</v>
      </c>
      <c r="J1081" s="29"/>
      <c r="K1081" s="29" t="s">
        <v>6643</v>
      </c>
      <c r="L1081" s="32" t="n">
        <v>31</v>
      </c>
      <c r="M1081" s="33" t="s">
        <v>4893</v>
      </c>
      <c r="N1081" s="34" t="n">
        <v>75015</v>
      </c>
      <c r="O1081" s="35" t="s">
        <v>55</v>
      </c>
      <c r="P1081" s="36" t="s">
        <v>6644</v>
      </c>
      <c r="Q1081" s="36" t="n">
        <v>1</v>
      </c>
      <c r="R1081" s="32" t="n">
        <v>228</v>
      </c>
      <c r="S1081" s="32" t="n">
        <v>1</v>
      </c>
      <c r="T1081" s="32"/>
      <c r="U1081" s="32"/>
      <c r="V1081" s="37"/>
      <c r="W1081" s="32"/>
      <c r="X1081" s="34"/>
      <c r="Y1081" s="34"/>
      <c r="Z1081" s="36"/>
      <c r="AA1081" s="32" t="s">
        <v>6645</v>
      </c>
      <c r="AB1081" s="32"/>
      <c r="AC1081" s="38" t="str">
        <f aca="false">HYPERLINK("https://biocodex6--c.vf.force.com/0014L00000KFi8XQAT", "HAMOU JACQUES")</f>
        <v>HAMOU JACQUES</v>
      </c>
      <c r="AD1081" s="38"/>
      <c r="AE1081" s="39"/>
      <c r="AF1081" s="40"/>
      <c r="AG1081" s="41"/>
      <c r="AH1081" s="32" t="s">
        <v>179</v>
      </c>
      <c r="AI1081" s="32"/>
      <c r="AL1081" s="32"/>
      <c r="AM1081" s="32"/>
      <c r="AN1081" s="32"/>
      <c r="AO1081" s="32"/>
      <c r="AP1081" s="32"/>
      <c r="AQ1081" s="32"/>
      <c r="AR1081" s="32"/>
      <c r="AS1081" s="32"/>
      <c r="AT1081" s="32"/>
      <c r="AU1081" s="32"/>
      <c r="XEY1081" s="27"/>
      <c r="XEZ1081" s="27"/>
      <c r="XFA1081" s="27"/>
      <c r="XFB1081" s="27"/>
      <c r="XFC1081" s="27"/>
      <c r="XFD1081" s="27"/>
    </row>
    <row r="1082" s="42" customFormat="true" ht="14.15" hidden="false" customHeight="true" outlineLevel="0" collapsed="false">
      <c r="A1082" s="28" t="s">
        <v>6646</v>
      </c>
      <c r="B1082" s="29" t="s">
        <v>3454</v>
      </c>
      <c r="C1082" s="29" t="s">
        <v>6647</v>
      </c>
      <c r="D1082" s="30" t="s">
        <v>50</v>
      </c>
      <c r="E1082" s="31"/>
      <c r="F1082" s="32" t="n">
        <v>53</v>
      </c>
      <c r="G1082" s="31"/>
      <c r="H1082" s="31" t="n">
        <v>1</v>
      </c>
      <c r="I1082" s="31" t="s">
        <v>51</v>
      </c>
      <c r="J1082" s="29" t="s">
        <v>2172</v>
      </c>
      <c r="K1082" s="29" t="s">
        <v>2173</v>
      </c>
      <c r="L1082" s="32" t="n">
        <v>2</v>
      </c>
      <c r="M1082" s="33" t="s">
        <v>2174</v>
      </c>
      <c r="N1082" s="34" t="n">
        <v>75015</v>
      </c>
      <c r="O1082" s="35" t="s">
        <v>55</v>
      </c>
      <c r="P1082" s="36"/>
      <c r="Q1082" s="36" t="n">
        <v>5</v>
      </c>
      <c r="R1082" s="32" t="n">
        <v>228</v>
      </c>
      <c r="S1082" s="32" t="n">
        <v>1</v>
      </c>
      <c r="T1082" s="32"/>
      <c r="U1082" s="32"/>
      <c r="V1082" s="37"/>
      <c r="W1082" s="32"/>
      <c r="X1082" s="34"/>
      <c r="Y1082" s="34"/>
      <c r="Z1082" s="36"/>
      <c r="AA1082" s="32" t="s">
        <v>6648</v>
      </c>
      <c r="AB1082" s="32"/>
      <c r="AC1082" s="38" t="str">
        <f aca="false">HYPERLINK("https://biocodex6--c.vf.force.com/0014L00000KFeZiQAL", "GOURLET DESFONTAINES DELPHINE")</f>
        <v>GOURLET DESFONTAINES DELPHINE</v>
      </c>
      <c r="AD1082" s="38"/>
      <c r="AE1082" s="39"/>
      <c r="AF1082" s="40"/>
      <c r="AG1082" s="41"/>
      <c r="AH1082" s="32" t="s">
        <v>179</v>
      </c>
      <c r="AI1082" s="32"/>
      <c r="AJ1082" s="42" t="s">
        <v>2175</v>
      </c>
      <c r="AL1082" s="32"/>
      <c r="AM1082" s="32"/>
      <c r="AN1082" s="32"/>
      <c r="AO1082" s="32"/>
      <c r="AP1082" s="32"/>
      <c r="AQ1082" s="32"/>
      <c r="AR1082" s="32"/>
      <c r="AS1082" s="32"/>
      <c r="AT1082" s="32"/>
      <c r="AU1082" s="32"/>
      <c r="XEY1082" s="27"/>
      <c r="XEZ1082" s="27"/>
      <c r="XFA1082" s="27"/>
      <c r="XFB1082" s="27"/>
      <c r="XFC1082" s="27"/>
      <c r="XFD1082" s="27"/>
    </row>
    <row r="1083" s="42" customFormat="true" ht="14.15" hidden="false" customHeight="true" outlineLevel="0" collapsed="false">
      <c r="A1083" s="28" t="s">
        <v>6649</v>
      </c>
      <c r="B1083" s="29" t="s">
        <v>619</v>
      </c>
      <c r="C1083" s="29" t="s">
        <v>6650</v>
      </c>
      <c r="D1083" s="30" t="s">
        <v>50</v>
      </c>
      <c r="E1083" s="31"/>
      <c r="F1083" s="32" t="n">
        <v>61</v>
      </c>
      <c r="G1083" s="31" t="s">
        <v>98</v>
      </c>
      <c r="H1083" s="31" t="n">
        <v>1</v>
      </c>
      <c r="I1083" s="31" t="s">
        <v>99</v>
      </c>
      <c r="J1083" s="29"/>
      <c r="K1083" s="29" t="s">
        <v>5869</v>
      </c>
      <c r="L1083" s="32" t="n">
        <v>12</v>
      </c>
      <c r="M1083" s="33" t="s">
        <v>3849</v>
      </c>
      <c r="N1083" s="34" t="n">
        <v>75015</v>
      </c>
      <c r="O1083" s="35" t="s">
        <v>55</v>
      </c>
      <c r="P1083" s="36" t="s">
        <v>6651</v>
      </c>
      <c r="Q1083" s="36" t="n">
        <v>2</v>
      </c>
      <c r="R1083" s="32" t="n">
        <v>227</v>
      </c>
      <c r="S1083" s="32" t="n">
        <v>1</v>
      </c>
      <c r="T1083" s="32"/>
      <c r="U1083" s="32"/>
      <c r="V1083" s="37"/>
      <c r="W1083" s="32"/>
      <c r="X1083" s="34"/>
      <c r="Y1083" s="34"/>
      <c r="Z1083" s="32"/>
      <c r="AA1083" s="32" t="s">
        <v>6652</v>
      </c>
      <c r="AB1083" s="32" t="s">
        <v>6653</v>
      </c>
      <c r="AC1083" s="38" t="str">
        <f aca="false">HYPERLINK("https://biocodex6--c.vf.force.com/0014L00000KFmDZQA1", "LARROUY CHARLES")</f>
        <v>LARROUY CHARLES</v>
      </c>
      <c r="AD1083" s="38" t="str">
        <f aca="false">HYPERLINK("https://annuairesante.ameli.fr/professionnels-de-sante/recherche/fiche-detaillee-B7c1lzQ4NTW3.html", "LARROUY CHARLES")</f>
        <v>LARROUY CHARLES</v>
      </c>
      <c r="AE1083" s="39"/>
      <c r="AF1083" s="40"/>
      <c r="AG1083" s="41"/>
      <c r="AH1083" s="32"/>
      <c r="AI1083" s="32"/>
      <c r="AL1083" s="43" t="s">
        <v>6654</v>
      </c>
      <c r="AM1083" s="43" t="s">
        <v>661</v>
      </c>
      <c r="AN1083" s="43" t="s">
        <v>6654</v>
      </c>
      <c r="AO1083" s="43" t="s">
        <v>661</v>
      </c>
      <c r="AP1083" s="43" t="s">
        <v>1065</v>
      </c>
      <c r="AQ1083" s="32"/>
      <c r="AR1083" s="43" t="s">
        <v>6654</v>
      </c>
      <c r="AS1083" s="43" t="s">
        <v>661</v>
      </c>
      <c r="AT1083" s="43" t="s">
        <v>6654</v>
      </c>
      <c r="AU1083" s="43" t="s">
        <v>661</v>
      </c>
      <c r="XEY1083" s="27"/>
      <c r="XEZ1083" s="27"/>
      <c r="XFA1083" s="27"/>
      <c r="XFB1083" s="27"/>
      <c r="XFC1083" s="27"/>
      <c r="XFD1083" s="27"/>
    </row>
    <row r="1084" s="42" customFormat="true" ht="14.15" hidden="false" customHeight="true" outlineLevel="0" collapsed="false">
      <c r="A1084" s="28" t="s">
        <v>6655</v>
      </c>
      <c r="B1084" s="29" t="s">
        <v>2481</v>
      </c>
      <c r="C1084" s="29" t="s">
        <v>6656</v>
      </c>
      <c r="D1084" s="30" t="s">
        <v>50</v>
      </c>
      <c r="E1084" s="31"/>
      <c r="F1084" s="32" t="n">
        <v>36</v>
      </c>
      <c r="G1084" s="31"/>
      <c r="H1084" s="31" t="n">
        <v>1</v>
      </c>
      <c r="I1084" s="31" t="s">
        <v>99</v>
      </c>
      <c r="J1084" s="29" t="s">
        <v>595</v>
      </c>
      <c r="K1084" s="29" t="s">
        <v>596</v>
      </c>
      <c r="L1084" s="32" t="n">
        <v>20</v>
      </c>
      <c r="M1084" s="33" t="s">
        <v>597</v>
      </c>
      <c r="N1084" s="34" t="n">
        <v>75015</v>
      </c>
      <c r="O1084" s="35" t="s">
        <v>55</v>
      </c>
      <c r="P1084" s="36" t="s">
        <v>4409</v>
      </c>
      <c r="Q1084" s="36" t="n">
        <v>90</v>
      </c>
      <c r="R1084" s="32" t="n">
        <v>227</v>
      </c>
      <c r="S1084" s="32" t="n">
        <v>1</v>
      </c>
      <c r="T1084" s="32"/>
      <c r="U1084" s="32"/>
      <c r="V1084" s="37"/>
      <c r="W1084" s="32"/>
      <c r="X1084" s="34"/>
      <c r="Y1084" s="34"/>
      <c r="Z1084" s="36"/>
      <c r="AA1084" s="32" t="s">
        <v>6657</v>
      </c>
      <c r="AB1084" s="32"/>
      <c r="AC1084" s="38" t="str">
        <f aca="false">HYPERLINK("https://biocodex6--c.vf.force.com/0014L00000KFejrQAD", "CHESNEAU ANNE SOPHIE")</f>
        <v>CHESNEAU ANNE SOPHIE</v>
      </c>
      <c r="AD1084" s="38"/>
      <c r="AE1084" s="39"/>
      <c r="AF1084" s="40"/>
      <c r="AG1084" s="41"/>
      <c r="AH1084" s="32" t="s">
        <v>179</v>
      </c>
      <c r="AI1084" s="32"/>
      <c r="AL1084" s="32"/>
      <c r="AM1084" s="32"/>
      <c r="AN1084" s="32"/>
      <c r="AO1084" s="32"/>
      <c r="AP1084" s="32"/>
      <c r="AQ1084" s="32"/>
      <c r="AR1084" s="32"/>
      <c r="AS1084" s="32"/>
      <c r="AT1084" s="32"/>
      <c r="AU1084" s="32"/>
      <c r="XEY1084" s="27"/>
      <c r="XEZ1084" s="27"/>
      <c r="XFA1084" s="27"/>
      <c r="XFB1084" s="27"/>
      <c r="XFC1084" s="27"/>
      <c r="XFD1084" s="27"/>
    </row>
    <row r="1085" s="42" customFormat="true" ht="14.15" hidden="false" customHeight="true" outlineLevel="0" collapsed="false">
      <c r="A1085" s="28" t="s">
        <v>6413</v>
      </c>
      <c r="B1085" s="29" t="s">
        <v>3527</v>
      </c>
      <c r="C1085" s="29" t="s">
        <v>6658</v>
      </c>
      <c r="D1085" s="30" t="s">
        <v>50</v>
      </c>
      <c r="E1085" s="31"/>
      <c r="F1085" s="32" t="n">
        <v>38</v>
      </c>
      <c r="G1085" s="31" t="s">
        <v>61</v>
      </c>
      <c r="H1085" s="31" t="n">
        <v>1</v>
      </c>
      <c r="I1085" s="31" t="s">
        <v>62</v>
      </c>
      <c r="J1085" s="29"/>
      <c r="K1085" s="29" t="s">
        <v>5979</v>
      </c>
      <c r="L1085" s="32" t="n">
        <v>13</v>
      </c>
      <c r="M1085" s="33" t="s">
        <v>5980</v>
      </c>
      <c r="N1085" s="34" t="n">
        <v>75017</v>
      </c>
      <c r="O1085" s="35" t="s">
        <v>55</v>
      </c>
      <c r="P1085" s="36" t="s">
        <v>6659</v>
      </c>
      <c r="Q1085" s="36" t="n">
        <v>2</v>
      </c>
      <c r="R1085" s="32" t="n">
        <v>227</v>
      </c>
      <c r="S1085" s="32" t="n">
        <v>1</v>
      </c>
      <c r="T1085" s="32"/>
      <c r="U1085" s="32"/>
      <c r="V1085" s="37"/>
      <c r="W1085" s="32"/>
      <c r="X1085" s="34"/>
      <c r="Y1085" s="34"/>
      <c r="Z1085" s="36"/>
      <c r="AA1085" s="32" t="s">
        <v>6660</v>
      </c>
      <c r="AB1085" s="32" t="s">
        <v>6661</v>
      </c>
      <c r="AC1085" s="38" t="str">
        <f aca="false">HYPERLINK("https://biocodex6--c.vf.force.com/0014L00000KFMWGQA5", "MARZOUK JEAN")</f>
        <v>MARZOUK JEAN</v>
      </c>
      <c r="AD1085" s="38" t="str">
        <f aca="false">HYPERLINK("https://annuairesante.ameli.fr/professionnels-de-sante/recherche/fiche-detaillee-B7c1kjczMzW2.html", "MARZOUK JEAN")</f>
        <v>MARZOUK JEAN</v>
      </c>
      <c r="AE1085" s="39"/>
      <c r="AF1085" s="40"/>
      <c r="AG1085" s="41"/>
      <c r="AH1085" s="32" t="s">
        <v>179</v>
      </c>
      <c r="AI1085" s="32"/>
      <c r="AL1085" s="32"/>
      <c r="AM1085" s="32"/>
      <c r="AN1085" s="32"/>
      <c r="AO1085" s="32"/>
      <c r="AP1085" s="32"/>
      <c r="AQ1085" s="32"/>
      <c r="AR1085" s="32"/>
      <c r="AS1085" s="32"/>
      <c r="AT1085" s="32"/>
      <c r="AU1085" s="32"/>
      <c r="XEY1085" s="27"/>
      <c r="XEZ1085" s="27"/>
      <c r="XFA1085" s="27"/>
      <c r="XFB1085" s="27"/>
      <c r="XFC1085" s="27"/>
      <c r="XFD1085" s="27"/>
    </row>
    <row r="1086" s="42" customFormat="true" ht="14.15" hidden="false" customHeight="true" outlineLevel="0" collapsed="false">
      <c r="A1086" s="28" t="s">
        <v>6662</v>
      </c>
      <c r="B1086" s="29" t="s">
        <v>2987</v>
      </c>
      <c r="C1086" s="29" t="s">
        <v>6663</v>
      </c>
      <c r="D1086" s="30" t="s">
        <v>50</v>
      </c>
      <c r="E1086" s="30" t="s">
        <v>831</v>
      </c>
      <c r="F1086" s="32" t="n">
        <v>75</v>
      </c>
      <c r="G1086" s="31" t="s">
        <v>215</v>
      </c>
      <c r="H1086" s="31" t="n">
        <v>1</v>
      </c>
      <c r="I1086" s="31" t="s">
        <v>173</v>
      </c>
      <c r="J1086" s="29" t="s">
        <v>1986</v>
      </c>
      <c r="K1086" s="29" t="s">
        <v>1987</v>
      </c>
      <c r="L1086" s="32" t="n">
        <v>76</v>
      </c>
      <c r="M1086" s="33" t="s">
        <v>1988</v>
      </c>
      <c r="N1086" s="34" t="n">
        <v>75016</v>
      </c>
      <c r="O1086" s="35" t="s">
        <v>55</v>
      </c>
      <c r="P1086" s="36" t="s">
        <v>6664</v>
      </c>
      <c r="Q1086" s="36" t="n">
        <v>5</v>
      </c>
      <c r="R1086" s="32" t="n">
        <v>227</v>
      </c>
      <c r="S1086" s="32" t="n">
        <v>1</v>
      </c>
      <c r="T1086" s="32"/>
      <c r="U1086" s="32"/>
      <c r="V1086" s="37"/>
      <c r="W1086" s="32"/>
      <c r="X1086" s="34"/>
      <c r="Y1086" s="34"/>
      <c r="Z1086" s="36"/>
      <c r="AA1086" s="32" t="s">
        <v>6665</v>
      </c>
      <c r="AB1086" s="32" t="s">
        <v>6666</v>
      </c>
      <c r="AC1086" s="38" t="str">
        <f aca="false">HYPERLINK("https://biocodex6--c.vf.force.com/0014L00000KFpx3QAD", "MARECHAL THIERRY")</f>
        <v>MARECHAL THIERRY</v>
      </c>
      <c r="AD1086" s="38" t="str">
        <f aca="false">HYPERLINK("https://annuairesante.ameli.fr/professionnels-de-sante/recherche/fiche-detaillee-B7c1kTUxNjW1.html", "MARECHAL THIERRY")</f>
        <v>MARECHAL THIERRY</v>
      </c>
      <c r="AE1086" s="39"/>
      <c r="AF1086" s="40"/>
      <c r="AG1086" s="41"/>
      <c r="AH1086" s="32" t="s">
        <v>179</v>
      </c>
      <c r="AI1086" s="32"/>
      <c r="AL1086" s="32"/>
      <c r="AM1086" s="32"/>
      <c r="AN1086" s="32"/>
      <c r="AO1086" s="32"/>
      <c r="AP1086" s="32"/>
      <c r="AQ1086" s="32"/>
      <c r="AR1086" s="32"/>
      <c r="AS1086" s="32"/>
      <c r="AT1086" s="32"/>
      <c r="AU1086" s="32"/>
      <c r="XEY1086" s="27"/>
      <c r="XEZ1086" s="27"/>
      <c r="XFA1086" s="27"/>
      <c r="XFB1086" s="27"/>
      <c r="XFC1086" s="27"/>
      <c r="XFD1086" s="27"/>
    </row>
    <row r="1087" s="42" customFormat="true" ht="14.15" hidden="false" customHeight="true" outlineLevel="0" collapsed="false">
      <c r="A1087" s="28" t="s">
        <v>6667</v>
      </c>
      <c r="B1087" s="29" t="s">
        <v>543</v>
      </c>
      <c r="C1087" s="29" t="s">
        <v>6668</v>
      </c>
      <c r="D1087" s="30" t="s">
        <v>50</v>
      </c>
      <c r="E1087" s="30" t="s">
        <v>112</v>
      </c>
      <c r="F1087" s="32" t="n">
        <v>49</v>
      </c>
      <c r="G1087" s="31"/>
      <c r="H1087" s="31" t="n">
        <v>1</v>
      </c>
      <c r="I1087" s="31" t="s">
        <v>119</v>
      </c>
      <c r="J1087" s="29"/>
      <c r="K1087" s="29" t="s">
        <v>6669</v>
      </c>
      <c r="L1087" s="32" t="n">
        <v>3</v>
      </c>
      <c r="M1087" s="33" t="s">
        <v>4003</v>
      </c>
      <c r="N1087" s="34" t="n">
        <v>75007</v>
      </c>
      <c r="O1087" s="35" t="s">
        <v>55</v>
      </c>
      <c r="P1087" s="36" t="s">
        <v>6670</v>
      </c>
      <c r="Q1087" s="36" t="n">
        <v>1</v>
      </c>
      <c r="R1087" s="32" t="n">
        <v>226</v>
      </c>
      <c r="S1087" s="32" t="n">
        <v>1</v>
      </c>
      <c r="T1087" s="32"/>
      <c r="U1087" s="32"/>
      <c r="V1087" s="37"/>
      <c r="W1087" s="32"/>
      <c r="X1087" s="34"/>
      <c r="Y1087" s="34"/>
      <c r="Z1087" s="36"/>
      <c r="AA1087" s="32" t="s">
        <v>6671</v>
      </c>
      <c r="AB1087" s="32"/>
      <c r="AC1087" s="38" t="str">
        <f aca="false">HYPERLINK("https://biocodex6--c.vf.force.com/0014L00000KFv4UQAT", "HOCHET LABROUSSE CHRISTINE")</f>
        <v>HOCHET LABROUSSE CHRISTINE</v>
      </c>
      <c r="AD1087" s="38"/>
      <c r="AE1087" s="39"/>
      <c r="AF1087" s="40"/>
      <c r="AG1087" s="41"/>
      <c r="AH1087" s="32" t="s">
        <v>179</v>
      </c>
      <c r="AI1087" s="32"/>
      <c r="AL1087" s="32"/>
      <c r="AM1087" s="32"/>
      <c r="AN1087" s="32"/>
      <c r="AO1087" s="32"/>
      <c r="AP1087" s="32"/>
      <c r="AQ1087" s="32"/>
      <c r="AR1087" s="32"/>
      <c r="AS1087" s="32"/>
      <c r="AT1087" s="32"/>
      <c r="AU1087" s="32"/>
      <c r="XEY1087" s="27"/>
      <c r="XEZ1087" s="27"/>
      <c r="XFA1087" s="27"/>
      <c r="XFB1087" s="27"/>
      <c r="XFC1087" s="27"/>
      <c r="XFD1087" s="27"/>
    </row>
    <row r="1088" s="42" customFormat="true" ht="14.15" hidden="false" customHeight="true" outlineLevel="0" collapsed="false">
      <c r="A1088" s="28" t="s">
        <v>6672</v>
      </c>
      <c r="B1088" s="29" t="s">
        <v>3439</v>
      </c>
      <c r="C1088" s="29" t="s">
        <v>6673</v>
      </c>
      <c r="D1088" s="30" t="s">
        <v>244</v>
      </c>
      <c r="E1088" s="30" t="s">
        <v>245</v>
      </c>
      <c r="F1088" s="32" t="n">
        <v>64</v>
      </c>
      <c r="G1088" s="31" t="s">
        <v>215</v>
      </c>
      <c r="H1088" s="31" t="n">
        <v>2</v>
      </c>
      <c r="I1088" s="31" t="s">
        <v>435</v>
      </c>
      <c r="J1088" s="29"/>
      <c r="K1088" s="29" t="s">
        <v>6674</v>
      </c>
      <c r="L1088" s="32" t="n">
        <v>17</v>
      </c>
      <c r="M1088" s="33" t="s">
        <v>6291</v>
      </c>
      <c r="N1088" s="34" t="n">
        <v>75016</v>
      </c>
      <c r="O1088" s="35" t="s">
        <v>55</v>
      </c>
      <c r="P1088" s="36" t="s">
        <v>6675</v>
      </c>
      <c r="Q1088" s="36" t="n">
        <v>1</v>
      </c>
      <c r="R1088" s="32" t="n">
        <v>226</v>
      </c>
      <c r="S1088" s="32" t="n">
        <v>1</v>
      </c>
      <c r="T1088" s="32"/>
      <c r="U1088" s="32"/>
      <c r="V1088" s="37"/>
      <c r="W1088" s="32"/>
      <c r="X1088" s="34"/>
      <c r="Y1088" s="34"/>
      <c r="Z1088" s="36"/>
      <c r="AA1088" s="32" t="s">
        <v>6676</v>
      </c>
      <c r="AB1088" s="32" t="s">
        <v>6677</v>
      </c>
      <c r="AC1088" s="38" t="str">
        <f aca="false">HYPERLINK("https://biocodex6--c.vf.force.com/0014L00000KG026QAD", "SABBAN SERFATI PASCALE")</f>
        <v>SABBAN SERFATI PASCALE</v>
      </c>
      <c r="AD1088" s="38" t="str">
        <f aca="false">HYPERLINK("https://annuairesante.ameli.fr/professionnels-de-sante/recherche/fiche-detaillee-B7c1lzM5NTqy.html", "SABBAN SERFATI PASCALE")</f>
        <v>SABBAN SERFATI PASCALE</v>
      </c>
      <c r="AE1088" s="39"/>
      <c r="AF1088" s="40"/>
      <c r="AG1088" s="41"/>
      <c r="AH1088" s="32" t="s">
        <v>179</v>
      </c>
      <c r="AI1088" s="32"/>
      <c r="AL1088" s="32"/>
      <c r="AM1088" s="32"/>
      <c r="AN1088" s="32"/>
      <c r="AO1088" s="32"/>
      <c r="AP1088" s="32"/>
      <c r="AQ1088" s="32"/>
      <c r="AR1088" s="32"/>
      <c r="AS1088" s="32"/>
      <c r="AT1088" s="32"/>
      <c r="AU1088" s="32"/>
      <c r="XEY1088" s="27"/>
      <c r="XEZ1088" s="27"/>
      <c r="XFA1088" s="27"/>
      <c r="XFB1088" s="27"/>
      <c r="XFC1088" s="27"/>
      <c r="XFD1088" s="27"/>
    </row>
    <row r="1089" s="42" customFormat="true" ht="14.15" hidden="false" customHeight="true" outlineLevel="0" collapsed="false">
      <c r="A1089" s="28" t="s">
        <v>6678</v>
      </c>
      <c r="B1089" s="29" t="s">
        <v>6679</v>
      </c>
      <c r="C1089" s="29" t="s">
        <v>6680</v>
      </c>
      <c r="D1089" s="30" t="s">
        <v>50</v>
      </c>
      <c r="E1089" s="30" t="s">
        <v>172</v>
      </c>
      <c r="F1089" s="32" t="n">
        <v>71</v>
      </c>
      <c r="G1089" s="31" t="s">
        <v>61</v>
      </c>
      <c r="H1089" s="31" t="n">
        <v>1</v>
      </c>
      <c r="I1089" s="31" t="s">
        <v>173</v>
      </c>
      <c r="J1089" s="29"/>
      <c r="K1089" s="29" t="s">
        <v>6548</v>
      </c>
      <c r="L1089" s="32" t="n">
        <v>82</v>
      </c>
      <c r="M1089" s="33" t="s">
        <v>6504</v>
      </c>
      <c r="N1089" s="34" t="n">
        <v>75016</v>
      </c>
      <c r="O1089" s="35" t="s">
        <v>55</v>
      </c>
      <c r="P1089" s="36" t="s">
        <v>6681</v>
      </c>
      <c r="Q1089" s="36" t="n">
        <v>4</v>
      </c>
      <c r="R1089" s="32" t="n">
        <v>225</v>
      </c>
      <c r="S1089" s="32" t="n">
        <v>1</v>
      </c>
      <c r="T1089" s="32"/>
      <c r="U1089" s="32"/>
      <c r="V1089" s="37"/>
      <c r="W1089" s="32"/>
      <c r="X1089" s="34"/>
      <c r="Y1089" s="34"/>
      <c r="Z1089" s="32"/>
      <c r="AA1089" s="32" t="s">
        <v>6682</v>
      </c>
      <c r="AB1089" s="32" t="s">
        <v>6683</v>
      </c>
      <c r="AC1089" s="38" t="str">
        <f aca="false">HYPERLINK("https://biocodex6--c.vf.force.com/0014L00000KFy1BQAT", "RELOUZAT RAOUL")</f>
        <v>RELOUZAT RAOUL</v>
      </c>
      <c r="AD1089" s="38" t="str">
        <f aca="false">HYPERLINK("https://annuairesante.ameli.fr/professionnels-de-sante/recherche/fiche-detaillee-B7c1ljQ5NTq6.html", "RELOUZAT RAOUL")</f>
        <v>RELOUZAT RAOUL</v>
      </c>
      <c r="AE1089" s="39"/>
      <c r="AF1089" s="40"/>
      <c r="AG1089" s="41"/>
      <c r="AH1089" s="32"/>
      <c r="AI1089" s="32"/>
      <c r="AL1089" s="32"/>
      <c r="AM1089" s="43" t="s">
        <v>3832</v>
      </c>
      <c r="AN1089" s="32"/>
      <c r="AO1089" s="43" t="s">
        <v>3832</v>
      </c>
      <c r="AP1089" s="32"/>
      <c r="AQ1089" s="43" t="s">
        <v>3832</v>
      </c>
      <c r="AR1089" s="32"/>
      <c r="AS1089" s="32"/>
      <c r="AT1089" s="32"/>
      <c r="AU1089" s="43" t="s">
        <v>3832</v>
      </c>
      <c r="XEY1089" s="27"/>
      <c r="XEZ1089" s="27"/>
      <c r="XFA1089" s="27"/>
      <c r="XFB1089" s="27"/>
      <c r="XFC1089" s="27"/>
      <c r="XFD1089" s="27"/>
    </row>
    <row r="1090" s="42" customFormat="true" ht="14.15" hidden="false" customHeight="true" outlineLevel="0" collapsed="false">
      <c r="A1090" s="28" t="s">
        <v>6684</v>
      </c>
      <c r="B1090" s="29" t="s">
        <v>3360</v>
      </c>
      <c r="C1090" s="29" t="s">
        <v>6685</v>
      </c>
      <c r="D1090" s="30" t="s">
        <v>50</v>
      </c>
      <c r="E1090" s="30" t="s">
        <v>1798</v>
      </c>
      <c r="F1090" s="32" t="n">
        <v>79</v>
      </c>
      <c r="G1090" s="31" t="s">
        <v>215</v>
      </c>
      <c r="H1090" s="31" t="n">
        <v>2</v>
      </c>
      <c r="I1090" s="31" t="s">
        <v>77</v>
      </c>
      <c r="J1090" s="29"/>
      <c r="K1090" s="29" t="s">
        <v>6686</v>
      </c>
      <c r="L1090" s="32" t="n">
        <v>15</v>
      </c>
      <c r="M1090" s="33" t="s">
        <v>458</v>
      </c>
      <c r="N1090" s="34" t="n">
        <v>92200</v>
      </c>
      <c r="O1090" s="35" t="s">
        <v>81</v>
      </c>
      <c r="P1090" s="36" t="s">
        <v>6687</v>
      </c>
      <c r="Q1090" s="36" t="n">
        <v>1</v>
      </c>
      <c r="R1090" s="32" t="n">
        <v>225</v>
      </c>
      <c r="S1090" s="32" t="n">
        <v>1</v>
      </c>
      <c r="T1090" s="32"/>
      <c r="U1090" s="32"/>
      <c r="V1090" s="37"/>
      <c r="W1090" s="32"/>
      <c r="X1090" s="34"/>
      <c r="Y1090" s="34"/>
      <c r="Z1090" s="36"/>
      <c r="AA1090" s="32" t="s">
        <v>6688</v>
      </c>
      <c r="AB1090" s="32" t="s">
        <v>6689</v>
      </c>
      <c r="AC1090" s="38" t="str">
        <f aca="false">HYPERLINK("https://biocodex6--c.vf.force.com/0014L00000KFtTKQA1", "NEUKIRCH GILBERT")</f>
        <v>NEUKIRCH GILBERT</v>
      </c>
      <c r="AD1090" s="38" t="str">
        <f aca="false">HYPERLINK("https://annuairesante.ameli.fr/professionnels-de-sante/recherche/fiche-detaillee-CbA1kjEwMze1.html", "NEUKIRCH GILBERT")</f>
        <v>NEUKIRCH GILBERT</v>
      </c>
      <c r="AE1090" s="39"/>
      <c r="AF1090" s="40"/>
      <c r="AG1090" s="41"/>
      <c r="AH1090" s="32" t="s">
        <v>179</v>
      </c>
      <c r="AI1090" s="32"/>
      <c r="AL1090" s="32"/>
      <c r="AM1090" s="43" t="s">
        <v>6690</v>
      </c>
      <c r="AN1090" s="32"/>
      <c r="AO1090" s="43" t="s">
        <v>6690</v>
      </c>
      <c r="AP1090" s="32"/>
      <c r="AQ1090" s="43" t="s">
        <v>6690</v>
      </c>
      <c r="AR1090" s="32"/>
      <c r="AS1090" s="43" t="s">
        <v>6690</v>
      </c>
      <c r="AT1090" s="32"/>
      <c r="AU1090" s="43" t="s">
        <v>6690</v>
      </c>
      <c r="XEY1090" s="27"/>
      <c r="XEZ1090" s="27"/>
      <c r="XFA1090" s="27"/>
      <c r="XFB1090" s="27"/>
      <c r="XFC1090" s="27"/>
      <c r="XFD1090" s="27"/>
    </row>
    <row r="1091" s="42" customFormat="true" ht="14.15" hidden="false" customHeight="true" outlineLevel="0" collapsed="false">
      <c r="A1091" s="28" t="s">
        <v>6691</v>
      </c>
      <c r="B1091" s="29" t="s">
        <v>6692</v>
      </c>
      <c r="C1091" s="29" t="s">
        <v>6693</v>
      </c>
      <c r="D1091" s="30" t="s">
        <v>50</v>
      </c>
      <c r="E1091" s="30" t="s">
        <v>113</v>
      </c>
      <c r="F1091" s="32" t="n">
        <v>64</v>
      </c>
      <c r="G1091" s="31"/>
      <c r="H1091" s="31" t="n">
        <v>1</v>
      </c>
      <c r="I1091" s="31" t="s">
        <v>572</v>
      </c>
      <c r="J1091" s="29"/>
      <c r="K1091" s="29" t="s">
        <v>6694</v>
      </c>
      <c r="L1091" s="32" t="n">
        <v>8</v>
      </c>
      <c r="M1091" s="33" t="s">
        <v>2957</v>
      </c>
      <c r="N1091" s="34" t="n">
        <v>75008</v>
      </c>
      <c r="O1091" s="35" t="s">
        <v>55</v>
      </c>
      <c r="P1091" s="36" t="s">
        <v>6695</v>
      </c>
      <c r="Q1091" s="36" t="n">
        <v>1</v>
      </c>
      <c r="R1091" s="32" t="n">
        <v>224</v>
      </c>
      <c r="S1091" s="32" t="n">
        <v>1</v>
      </c>
      <c r="T1091" s="32"/>
      <c r="U1091" s="32"/>
      <c r="V1091" s="37"/>
      <c r="W1091" s="32"/>
      <c r="X1091" s="34"/>
      <c r="Y1091" s="34"/>
      <c r="Z1091" s="36"/>
      <c r="AA1091" s="32" t="s">
        <v>6696</v>
      </c>
      <c r="AB1091" s="32"/>
      <c r="AC1091" s="38" t="str">
        <f aca="false">HYPERLINK("https://biocodex6--c.vf.force.com/0014L00000KFSXqQAP", "BEN HAMOU MARTIAL")</f>
        <v>BEN HAMOU MARTIAL</v>
      </c>
      <c r="AD1091" s="38"/>
      <c r="AE1091" s="39"/>
      <c r="AF1091" s="40"/>
      <c r="AG1091" s="41"/>
      <c r="AH1091" s="32" t="s">
        <v>179</v>
      </c>
      <c r="AI1091" s="32"/>
      <c r="AL1091" s="32"/>
      <c r="AM1091" s="32"/>
      <c r="AN1091" s="32"/>
      <c r="AO1091" s="32"/>
      <c r="AP1091" s="32"/>
      <c r="AQ1091" s="32"/>
      <c r="AR1091" s="32"/>
      <c r="AS1091" s="32"/>
      <c r="AT1091" s="32"/>
      <c r="AU1091" s="32"/>
      <c r="XEY1091" s="27"/>
      <c r="XEZ1091" s="27"/>
      <c r="XFA1091" s="27"/>
      <c r="XFB1091" s="27"/>
      <c r="XFC1091" s="27"/>
      <c r="XFD1091" s="27"/>
    </row>
    <row r="1092" s="42" customFormat="true" ht="14.15" hidden="false" customHeight="true" outlineLevel="0" collapsed="false">
      <c r="A1092" s="28" t="s">
        <v>6697</v>
      </c>
      <c r="B1092" s="29" t="s">
        <v>6698</v>
      </c>
      <c r="C1092" s="29" t="s">
        <v>6699</v>
      </c>
      <c r="D1092" s="30" t="s">
        <v>50</v>
      </c>
      <c r="E1092" s="30" t="s">
        <v>386</v>
      </c>
      <c r="F1092" s="32" t="n">
        <v>67</v>
      </c>
      <c r="G1092" s="31" t="s">
        <v>61</v>
      </c>
      <c r="H1092" s="31" t="n">
        <v>1</v>
      </c>
      <c r="I1092" s="31" t="s">
        <v>62</v>
      </c>
      <c r="J1092" s="29"/>
      <c r="K1092" s="29" t="s">
        <v>6700</v>
      </c>
      <c r="L1092" s="32" t="n">
        <v>141</v>
      </c>
      <c r="M1092" s="33" t="s">
        <v>4230</v>
      </c>
      <c r="N1092" s="34" t="n">
        <v>75017</v>
      </c>
      <c r="O1092" s="35" t="s">
        <v>55</v>
      </c>
      <c r="P1092" s="36" t="s">
        <v>6701</v>
      </c>
      <c r="Q1092" s="36" t="n">
        <v>1</v>
      </c>
      <c r="R1092" s="32" t="n">
        <v>224</v>
      </c>
      <c r="S1092" s="32" t="n">
        <v>1</v>
      </c>
      <c r="T1092" s="32"/>
      <c r="U1092" s="32"/>
      <c r="V1092" s="37"/>
      <c r="W1092" s="32"/>
      <c r="X1092" s="34"/>
      <c r="Y1092" s="34"/>
      <c r="Z1092" s="32"/>
      <c r="AA1092" s="32" t="s">
        <v>6702</v>
      </c>
      <c r="AB1092" s="32" t="s">
        <v>6703</v>
      </c>
      <c r="AC1092" s="38" t="str">
        <f aca="false">HYPERLINK("https://biocodex6--c.vf.force.com/0014L00000KFtYeQAL", "NGUYEN THE HUNG")</f>
        <v>NGUYEN THE HUNG</v>
      </c>
      <c r="AD1092" s="38" t="str">
        <f aca="false">HYPERLINK("https://annuairesante.ameli.fr/professionnels-de-sante/recherche/fiche-detaillee-B7c1ljszMju7.html", "NGUYEN THE HUNG")</f>
        <v>NGUYEN THE HUNG</v>
      </c>
      <c r="AE1092" s="39"/>
      <c r="AF1092" s="40"/>
      <c r="AG1092" s="41"/>
      <c r="AH1092" s="32"/>
      <c r="AI1092" s="32"/>
      <c r="AL1092" s="43" t="s">
        <v>474</v>
      </c>
      <c r="AM1092" s="43" t="s">
        <v>137</v>
      </c>
      <c r="AN1092" s="43" t="s">
        <v>474</v>
      </c>
      <c r="AO1092" s="43" t="s">
        <v>476</v>
      </c>
      <c r="AP1092" s="43" t="s">
        <v>474</v>
      </c>
      <c r="AQ1092" s="43" t="s">
        <v>137</v>
      </c>
      <c r="AR1092" s="43" t="s">
        <v>474</v>
      </c>
      <c r="AS1092" s="43" t="s">
        <v>476</v>
      </c>
      <c r="AT1092" s="43" t="s">
        <v>474</v>
      </c>
      <c r="AU1092" s="43" t="s">
        <v>137</v>
      </c>
      <c r="XEY1092" s="27"/>
      <c r="XEZ1092" s="27"/>
      <c r="XFA1092" s="27"/>
      <c r="XFB1092" s="27"/>
      <c r="XFC1092" s="27"/>
      <c r="XFD1092" s="27"/>
    </row>
    <row r="1093" s="42" customFormat="true" ht="14.15" hidden="false" customHeight="true" outlineLevel="0" collapsed="false">
      <c r="A1093" s="28" t="s">
        <v>6704</v>
      </c>
      <c r="B1093" s="29" t="s">
        <v>612</v>
      </c>
      <c r="C1093" s="29" t="s">
        <v>6705</v>
      </c>
      <c r="D1093" s="30" t="s">
        <v>50</v>
      </c>
      <c r="E1093" s="31"/>
      <c r="F1093" s="32" t="n">
        <v>52</v>
      </c>
      <c r="G1093" s="31" t="s">
        <v>345</v>
      </c>
      <c r="H1093" s="31" t="n">
        <v>1</v>
      </c>
      <c r="I1093" s="31" t="s">
        <v>173</v>
      </c>
      <c r="J1093" s="29"/>
      <c r="K1093" s="29" t="s">
        <v>6706</v>
      </c>
      <c r="L1093" s="32" t="n">
        <v>30</v>
      </c>
      <c r="M1093" s="33" t="s">
        <v>3105</v>
      </c>
      <c r="N1093" s="34" t="n">
        <v>75016</v>
      </c>
      <c r="O1093" s="35" t="s">
        <v>55</v>
      </c>
      <c r="P1093" s="36" t="s">
        <v>6707</v>
      </c>
      <c r="Q1093" s="36" t="n">
        <v>1</v>
      </c>
      <c r="R1093" s="32" t="n">
        <v>223</v>
      </c>
      <c r="S1093" s="32" t="n">
        <v>1</v>
      </c>
      <c r="T1093" s="32"/>
      <c r="U1093" s="32"/>
      <c r="V1093" s="37"/>
      <c r="W1093" s="32"/>
      <c r="X1093" s="34"/>
      <c r="Y1093" s="34"/>
      <c r="Z1093" s="36"/>
      <c r="AA1093" s="32" t="s">
        <v>6708</v>
      </c>
      <c r="AB1093" s="32" t="s">
        <v>6709</v>
      </c>
      <c r="AC1093" s="38" t="str">
        <f aca="false">HYPERLINK("https://biocodex6--c.vf.force.com/0014L00000KIavPQAT", "CHICHEPORTICHE AYACHE CORINNE")</f>
        <v>CHICHEPORTICHE AYACHE CORINNE</v>
      </c>
      <c r="AD1093" s="38" t="str">
        <f aca="false">HYPERLINK("https://annuairesante.ameli.fr/professionnels-de-sante/recherche/fiche-detaillee-B7c1lTM0Mjux.html", "CHICHEPORTICHE AYACHE CORINNE")</f>
        <v>CHICHEPORTICHE AYACHE CORINNE</v>
      </c>
      <c r="AE1093" s="39"/>
      <c r="AF1093" s="40"/>
      <c r="AG1093" s="41"/>
      <c r="AH1093" s="32" t="s">
        <v>179</v>
      </c>
      <c r="AI1093" s="32"/>
      <c r="AL1093" s="32"/>
      <c r="AM1093" s="32"/>
      <c r="AN1093" s="32"/>
      <c r="AO1093" s="32"/>
      <c r="AP1093" s="32"/>
      <c r="AQ1093" s="32"/>
      <c r="AR1093" s="32"/>
      <c r="AS1093" s="32"/>
      <c r="AT1093" s="32"/>
      <c r="AU1093" s="32"/>
      <c r="XEY1093" s="27"/>
      <c r="XEZ1093" s="27"/>
      <c r="XFA1093" s="27"/>
      <c r="XFB1093" s="27"/>
      <c r="XFC1093" s="27"/>
      <c r="XFD1093" s="27"/>
    </row>
    <row r="1094" s="42" customFormat="true" ht="14.15" hidden="false" customHeight="true" outlineLevel="0" collapsed="false">
      <c r="A1094" s="28" t="s">
        <v>6710</v>
      </c>
      <c r="B1094" s="29" t="s">
        <v>6711</v>
      </c>
      <c r="C1094" s="29" t="s">
        <v>6712</v>
      </c>
      <c r="D1094" s="30" t="s">
        <v>50</v>
      </c>
      <c r="E1094" s="31"/>
      <c r="F1094" s="32" t="n">
        <v>41</v>
      </c>
      <c r="G1094" s="31"/>
      <c r="H1094" s="31" t="n">
        <v>1</v>
      </c>
      <c r="I1094" s="31" t="s">
        <v>233</v>
      </c>
      <c r="J1094" s="29"/>
      <c r="K1094" s="29" t="s">
        <v>973</v>
      </c>
      <c r="L1094" s="32" t="n">
        <v>64</v>
      </c>
      <c r="M1094" s="33" t="s">
        <v>974</v>
      </c>
      <c r="N1094" s="34" t="n">
        <v>75015</v>
      </c>
      <c r="O1094" s="35" t="s">
        <v>55</v>
      </c>
      <c r="P1094" s="36"/>
      <c r="Q1094" s="36" t="n">
        <v>4</v>
      </c>
      <c r="R1094" s="32" t="n">
        <v>223</v>
      </c>
      <c r="S1094" s="32" t="n">
        <v>1</v>
      </c>
      <c r="T1094" s="32"/>
      <c r="U1094" s="32"/>
      <c r="V1094" s="37"/>
      <c r="W1094" s="32"/>
      <c r="X1094" s="34"/>
      <c r="Y1094" s="34"/>
      <c r="Z1094" s="36"/>
      <c r="AA1094" s="32" t="s">
        <v>6713</v>
      </c>
      <c r="AB1094" s="32"/>
      <c r="AC1094" s="38" t="str">
        <f aca="false">HYPERLINK("https://biocodex6--c.vf.force.com/0014L00000KFcjiQAD", "GARCIA TATIANA")</f>
        <v>GARCIA TATIANA</v>
      </c>
      <c r="AD1094" s="38"/>
      <c r="AE1094" s="39"/>
      <c r="AF1094" s="40"/>
      <c r="AG1094" s="41"/>
      <c r="AH1094" s="32" t="s">
        <v>179</v>
      </c>
      <c r="AI1094" s="32"/>
      <c r="AL1094" s="32"/>
      <c r="AM1094" s="32"/>
      <c r="AN1094" s="32"/>
      <c r="AO1094" s="32"/>
      <c r="AP1094" s="32"/>
      <c r="AQ1094" s="32"/>
      <c r="AR1094" s="32"/>
      <c r="AS1094" s="32"/>
      <c r="AT1094" s="32"/>
      <c r="AU1094" s="32"/>
      <c r="XEY1094" s="27"/>
      <c r="XEZ1094" s="27"/>
      <c r="XFA1094" s="27"/>
      <c r="XFB1094" s="27"/>
      <c r="XFC1094" s="27"/>
      <c r="XFD1094" s="27"/>
    </row>
    <row r="1095" s="42" customFormat="true" ht="14.15" hidden="false" customHeight="true" outlineLevel="0" collapsed="false">
      <c r="A1095" s="28" t="s">
        <v>6714</v>
      </c>
      <c r="B1095" s="29" t="s">
        <v>2941</v>
      </c>
      <c r="C1095" s="29" t="s">
        <v>6715</v>
      </c>
      <c r="D1095" s="30" t="s">
        <v>244</v>
      </c>
      <c r="E1095" s="30" t="s">
        <v>245</v>
      </c>
      <c r="F1095" s="32" t="n">
        <v>74</v>
      </c>
      <c r="G1095" s="31" t="s">
        <v>215</v>
      </c>
      <c r="H1095" s="31" t="n">
        <v>1</v>
      </c>
      <c r="I1095" s="31" t="s">
        <v>387</v>
      </c>
      <c r="J1095" s="29"/>
      <c r="K1095" s="29" t="s">
        <v>6716</v>
      </c>
      <c r="L1095" s="32" t="n">
        <v>136</v>
      </c>
      <c r="M1095" s="33" t="s">
        <v>1627</v>
      </c>
      <c r="N1095" s="34" t="n">
        <v>75016</v>
      </c>
      <c r="O1095" s="35" t="s">
        <v>55</v>
      </c>
      <c r="P1095" s="36" t="s">
        <v>6717</v>
      </c>
      <c r="Q1095" s="36" t="n">
        <v>1</v>
      </c>
      <c r="R1095" s="32" t="n">
        <v>222</v>
      </c>
      <c r="S1095" s="32" t="n">
        <v>1</v>
      </c>
      <c r="T1095" s="32"/>
      <c r="U1095" s="32"/>
      <c r="V1095" s="37"/>
      <c r="W1095" s="32"/>
      <c r="X1095" s="34"/>
      <c r="Y1095" s="34"/>
      <c r="Z1095" s="36"/>
      <c r="AA1095" s="32" t="s">
        <v>6718</v>
      </c>
      <c r="AB1095" s="32" t="s">
        <v>6719</v>
      </c>
      <c r="AC1095" s="38" t="str">
        <f aca="false">HYPERLINK("https://biocodex6--c.vf.force.com/0014L00000KFzchQAD", "ROURE SABINE")</f>
        <v>ROURE SABINE</v>
      </c>
      <c r="AD1095" s="38" t="str">
        <f aca="false">HYPERLINK("https://annuairesante.ameli.fr/professionnels-de-sante/recherche/fiche-detaillee-B7c1ljI5MDq7.html", "ROURE SABINE")</f>
        <v>ROURE SABINE</v>
      </c>
      <c r="AE1095" s="39"/>
      <c r="AF1095" s="40"/>
      <c r="AG1095" s="41"/>
      <c r="AH1095" s="32" t="s">
        <v>179</v>
      </c>
      <c r="AI1095" s="32"/>
      <c r="AL1095" s="43" t="s">
        <v>2148</v>
      </c>
      <c r="AM1095" s="43" t="s">
        <v>534</v>
      </c>
      <c r="AN1095" s="32"/>
      <c r="AO1095" s="43" t="s">
        <v>534</v>
      </c>
      <c r="AP1095" s="43" t="s">
        <v>396</v>
      </c>
      <c r="AQ1095" s="43" t="s">
        <v>6720</v>
      </c>
      <c r="AR1095" s="32"/>
      <c r="AS1095" s="43" t="s">
        <v>534</v>
      </c>
      <c r="AT1095" s="43" t="s">
        <v>2148</v>
      </c>
      <c r="AU1095" s="43" t="s">
        <v>126</v>
      </c>
      <c r="XEY1095" s="27"/>
      <c r="XEZ1095" s="27"/>
      <c r="XFA1095" s="27"/>
      <c r="XFB1095" s="27"/>
      <c r="XFC1095" s="27"/>
      <c r="XFD1095" s="27"/>
    </row>
    <row r="1096" s="42" customFormat="true" ht="14.15" hidden="false" customHeight="true" outlineLevel="0" collapsed="false">
      <c r="A1096" s="28" t="s">
        <v>6721</v>
      </c>
      <c r="B1096" s="29" t="s">
        <v>195</v>
      </c>
      <c r="C1096" s="29" t="s">
        <v>6722</v>
      </c>
      <c r="D1096" s="30" t="s">
        <v>50</v>
      </c>
      <c r="E1096" s="31"/>
      <c r="F1096" s="32" t="n">
        <v>74</v>
      </c>
      <c r="G1096" s="31" t="s">
        <v>215</v>
      </c>
      <c r="H1096" s="31" t="n">
        <v>1</v>
      </c>
      <c r="I1096" s="31" t="s">
        <v>173</v>
      </c>
      <c r="J1096" s="29"/>
      <c r="K1096" s="29" t="s">
        <v>6723</v>
      </c>
      <c r="L1096" s="32" t="n">
        <v>28</v>
      </c>
      <c r="M1096" s="33" t="s">
        <v>6724</v>
      </c>
      <c r="N1096" s="34" t="n">
        <v>75016</v>
      </c>
      <c r="O1096" s="35" t="s">
        <v>55</v>
      </c>
      <c r="P1096" s="36" t="s">
        <v>6725</v>
      </c>
      <c r="Q1096" s="36" t="n">
        <v>1</v>
      </c>
      <c r="R1096" s="32" t="n">
        <v>221</v>
      </c>
      <c r="S1096" s="32" t="n">
        <v>1</v>
      </c>
      <c r="T1096" s="32"/>
      <c r="U1096" s="32"/>
      <c r="V1096" s="37"/>
      <c r="W1096" s="32"/>
      <c r="X1096" s="34" t="n">
        <v>1</v>
      </c>
      <c r="Y1096" s="34" t="n">
        <v>1</v>
      </c>
      <c r="Z1096" s="32"/>
      <c r="AA1096" s="32" t="s">
        <v>6726</v>
      </c>
      <c r="AB1096" s="32" t="s">
        <v>6727</v>
      </c>
      <c r="AC1096" s="38" t="str">
        <f aca="false">HYPERLINK("https://biocodex6--c.vf.force.com/0014L00000KFnhZQAT", "LEMAIRE PHILIPPE")</f>
        <v>LEMAIRE PHILIPPE</v>
      </c>
      <c r="AD1096" s="38" t="str">
        <f aca="false">HYPERLINK("https://annuairesante.ameli.fr/professionnels-de-sante/recherche/fiche-detaillee-B7c1ljAyNjS0.html", "LEMAIRE PHILIPPE")</f>
        <v>LEMAIRE PHILIPPE</v>
      </c>
      <c r="AE1096" s="39" t="n">
        <v>45110.6458333333</v>
      </c>
      <c r="AF1096" s="40"/>
      <c r="AG1096" s="41"/>
      <c r="AH1096" s="32"/>
      <c r="AI1096" s="32"/>
      <c r="AL1096" s="32"/>
      <c r="AM1096" s="32"/>
      <c r="AN1096" s="32"/>
      <c r="AO1096" s="32"/>
      <c r="AP1096" s="32"/>
      <c r="AQ1096" s="32"/>
      <c r="AR1096" s="32"/>
      <c r="AS1096" s="32"/>
      <c r="AT1096" s="32"/>
      <c r="AU1096" s="32"/>
      <c r="XEY1096" s="27"/>
      <c r="XEZ1096" s="27"/>
      <c r="XFA1096" s="27"/>
      <c r="XFB1096" s="27"/>
      <c r="XFC1096" s="27"/>
      <c r="XFD1096" s="27"/>
    </row>
    <row r="1097" s="42" customFormat="true" ht="14.15" hidden="false" customHeight="true" outlineLevel="0" collapsed="false">
      <c r="A1097" s="28" t="s">
        <v>6728</v>
      </c>
      <c r="B1097" s="29" t="s">
        <v>6729</v>
      </c>
      <c r="C1097" s="29" t="s">
        <v>6730</v>
      </c>
      <c r="D1097" s="30" t="s">
        <v>50</v>
      </c>
      <c r="E1097" s="30" t="s">
        <v>255</v>
      </c>
      <c r="F1097" s="32" t="n">
        <v>52</v>
      </c>
      <c r="G1097" s="31"/>
      <c r="H1097" s="31" t="n">
        <v>1</v>
      </c>
      <c r="I1097" s="31" t="s">
        <v>51</v>
      </c>
      <c r="J1097" s="29"/>
      <c r="K1097" s="29" t="s">
        <v>6731</v>
      </c>
      <c r="L1097" s="32" t="n">
        <v>40</v>
      </c>
      <c r="M1097" s="33" t="s">
        <v>6732</v>
      </c>
      <c r="N1097" s="34" t="n">
        <v>75015</v>
      </c>
      <c r="O1097" s="35" t="s">
        <v>55</v>
      </c>
      <c r="P1097" s="36" t="s">
        <v>6733</v>
      </c>
      <c r="Q1097" s="36" t="n">
        <v>1</v>
      </c>
      <c r="R1097" s="32" t="n">
        <v>221</v>
      </c>
      <c r="S1097" s="32" t="n">
        <v>1</v>
      </c>
      <c r="T1097" s="32"/>
      <c r="U1097" s="32"/>
      <c r="V1097" s="37"/>
      <c r="W1097" s="32"/>
      <c r="X1097" s="34"/>
      <c r="Y1097" s="34"/>
      <c r="Z1097" s="36"/>
      <c r="AA1097" s="32" t="s">
        <v>6734</v>
      </c>
      <c r="AB1097" s="32"/>
      <c r="AC1097" s="38" t="str">
        <f aca="false">HYPERLINK("https://biocodex6--c.vf.force.com/0014L00000huMupQAE", "BOUCHER CLAIRE NOELLE")</f>
        <v>BOUCHER CLAIRE NOELLE</v>
      </c>
      <c r="AD1097" s="38"/>
      <c r="AE1097" s="39"/>
      <c r="AF1097" s="40"/>
      <c r="AG1097" s="41"/>
      <c r="AH1097" s="32" t="s">
        <v>179</v>
      </c>
      <c r="AI1097" s="32"/>
      <c r="AL1097" s="32"/>
      <c r="AM1097" s="32"/>
      <c r="AN1097" s="32"/>
      <c r="AO1097" s="32"/>
      <c r="AP1097" s="32"/>
      <c r="AQ1097" s="32"/>
      <c r="AR1097" s="32"/>
      <c r="AS1097" s="32"/>
      <c r="AT1097" s="32"/>
      <c r="AU1097" s="32"/>
      <c r="XEY1097" s="27"/>
      <c r="XEZ1097" s="27"/>
      <c r="XFA1097" s="27"/>
      <c r="XFB1097" s="27"/>
      <c r="XFC1097" s="27"/>
      <c r="XFD1097" s="27"/>
    </row>
    <row r="1098" s="42" customFormat="true" ht="14.15" hidden="false" customHeight="true" outlineLevel="0" collapsed="false">
      <c r="A1098" s="28" t="s">
        <v>6735</v>
      </c>
      <c r="B1098" s="29" t="s">
        <v>6736</v>
      </c>
      <c r="C1098" s="29" t="s">
        <v>6737</v>
      </c>
      <c r="D1098" s="30" t="s">
        <v>244</v>
      </c>
      <c r="E1098" s="30" t="s">
        <v>4281</v>
      </c>
      <c r="F1098" s="32" t="n">
        <v>72</v>
      </c>
      <c r="G1098" s="31"/>
      <c r="H1098" s="31" t="n">
        <v>1</v>
      </c>
      <c r="I1098" s="31" t="s">
        <v>173</v>
      </c>
      <c r="J1098" s="29"/>
      <c r="K1098" s="29" t="s">
        <v>6738</v>
      </c>
      <c r="L1098" s="32" t="n">
        <v>17</v>
      </c>
      <c r="M1098" s="33" t="s">
        <v>175</v>
      </c>
      <c r="N1098" s="34" t="n">
        <v>75016</v>
      </c>
      <c r="O1098" s="35" t="s">
        <v>55</v>
      </c>
      <c r="P1098" s="36" t="s">
        <v>6739</v>
      </c>
      <c r="Q1098" s="36" t="n">
        <v>1</v>
      </c>
      <c r="R1098" s="32" t="n">
        <v>221</v>
      </c>
      <c r="S1098" s="32" t="n">
        <v>1</v>
      </c>
      <c r="T1098" s="32"/>
      <c r="U1098" s="32"/>
      <c r="V1098" s="37"/>
      <c r="W1098" s="32"/>
      <c r="X1098" s="34"/>
      <c r="Y1098" s="34"/>
      <c r="Z1098" s="36"/>
      <c r="AA1098" s="32" t="s">
        <v>6740</v>
      </c>
      <c r="AB1098" s="32"/>
      <c r="AC1098" s="38" t="str">
        <f aca="false">HYPERLINK("https://biocodex6--c.vf.force.com/0014L00000KFtpUQAT", "NORDMANN AMAR DANIELE MARION")</f>
        <v>NORDMANN AMAR DANIELE MARION</v>
      </c>
      <c r="AD1098" s="38"/>
      <c r="AE1098" s="39"/>
      <c r="AF1098" s="40"/>
      <c r="AG1098" s="41"/>
      <c r="AH1098" s="32" t="s">
        <v>179</v>
      </c>
      <c r="AI1098" s="32"/>
      <c r="AL1098" s="32"/>
      <c r="AM1098" s="32"/>
      <c r="AN1098" s="32"/>
      <c r="AO1098" s="32"/>
      <c r="AP1098" s="32"/>
      <c r="AQ1098" s="32"/>
      <c r="AR1098" s="32"/>
      <c r="AS1098" s="32"/>
      <c r="AT1098" s="32"/>
      <c r="AU1098" s="32"/>
      <c r="XEY1098" s="27"/>
      <c r="XEZ1098" s="27"/>
      <c r="XFA1098" s="27"/>
      <c r="XFB1098" s="27"/>
      <c r="XFC1098" s="27"/>
      <c r="XFD1098" s="27"/>
    </row>
    <row r="1099" s="42" customFormat="true" ht="14.15" hidden="false" customHeight="true" outlineLevel="0" collapsed="false">
      <c r="A1099" s="28" t="s">
        <v>6741</v>
      </c>
      <c r="B1099" s="29" t="s">
        <v>6742</v>
      </c>
      <c r="C1099" s="29" t="s">
        <v>6743</v>
      </c>
      <c r="D1099" s="30" t="s">
        <v>244</v>
      </c>
      <c r="E1099" s="30" t="s">
        <v>245</v>
      </c>
      <c r="F1099" s="32" t="n">
        <v>90</v>
      </c>
      <c r="G1099" s="31"/>
      <c r="H1099" s="31" t="n">
        <v>1</v>
      </c>
      <c r="I1099" s="31" t="s">
        <v>387</v>
      </c>
      <c r="J1099" s="29"/>
      <c r="K1099" s="29" t="s">
        <v>6744</v>
      </c>
      <c r="L1099" s="32" t="n">
        <v>72</v>
      </c>
      <c r="M1099" s="33" t="s">
        <v>1230</v>
      </c>
      <c r="N1099" s="34" t="n">
        <v>75016</v>
      </c>
      <c r="O1099" s="35" t="s">
        <v>55</v>
      </c>
      <c r="P1099" s="36" t="s">
        <v>6745</v>
      </c>
      <c r="Q1099" s="36" t="n">
        <v>1</v>
      </c>
      <c r="R1099" s="32" t="n">
        <v>220</v>
      </c>
      <c r="S1099" s="32" t="n">
        <v>1</v>
      </c>
      <c r="T1099" s="32"/>
      <c r="U1099" s="32"/>
      <c r="V1099" s="37"/>
      <c r="W1099" s="32"/>
      <c r="X1099" s="34"/>
      <c r="Y1099" s="34"/>
      <c r="Z1099" s="36"/>
      <c r="AA1099" s="32" t="s">
        <v>6746</v>
      </c>
      <c r="AB1099" s="32"/>
      <c r="AC1099" s="38" t="str">
        <f aca="false">HYPERLINK("https://biocodex6--c.vf.force.com/0014L00000KFv9mQAD", "PELISSIER CLARA")</f>
        <v>PELISSIER CLARA</v>
      </c>
      <c r="AD1099" s="38"/>
      <c r="AE1099" s="39"/>
      <c r="AF1099" s="40"/>
      <c r="AG1099" s="41"/>
      <c r="AH1099" s="32" t="s">
        <v>179</v>
      </c>
      <c r="AI1099" s="32"/>
      <c r="AL1099" s="32"/>
      <c r="AM1099" s="32"/>
      <c r="AN1099" s="32"/>
      <c r="AO1099" s="32"/>
      <c r="AP1099" s="32"/>
      <c r="AQ1099" s="32"/>
      <c r="AR1099" s="32"/>
      <c r="AS1099" s="32"/>
      <c r="AT1099" s="32"/>
      <c r="AU1099" s="32"/>
      <c r="XEY1099" s="27"/>
      <c r="XEZ1099" s="27"/>
      <c r="XFA1099" s="27"/>
      <c r="XFB1099" s="27"/>
      <c r="XFC1099" s="27"/>
      <c r="XFD1099" s="27"/>
    </row>
    <row r="1100" s="42" customFormat="true" ht="14.15" hidden="false" customHeight="true" outlineLevel="0" collapsed="false">
      <c r="A1100" s="28" t="s">
        <v>3004</v>
      </c>
      <c r="B1100" s="29" t="s">
        <v>4707</v>
      </c>
      <c r="C1100" s="29" t="s">
        <v>6747</v>
      </c>
      <c r="D1100" s="30" t="s">
        <v>50</v>
      </c>
      <c r="E1100" s="30" t="s">
        <v>255</v>
      </c>
      <c r="F1100" s="32" t="n">
        <v>59</v>
      </c>
      <c r="G1100" s="31"/>
      <c r="H1100" s="31" t="n">
        <v>2</v>
      </c>
      <c r="I1100" s="31" t="s">
        <v>435</v>
      </c>
      <c r="J1100" s="29"/>
      <c r="K1100" s="29" t="s">
        <v>6748</v>
      </c>
      <c r="L1100" s="32" t="n">
        <v>2</v>
      </c>
      <c r="M1100" s="33" t="s">
        <v>6749</v>
      </c>
      <c r="N1100" s="34" t="n">
        <v>75016</v>
      </c>
      <c r="O1100" s="35" t="s">
        <v>55</v>
      </c>
      <c r="P1100" s="36"/>
      <c r="Q1100" s="36" t="n">
        <v>1</v>
      </c>
      <c r="R1100" s="32" t="n">
        <v>220</v>
      </c>
      <c r="S1100" s="32" t="n">
        <v>1</v>
      </c>
      <c r="T1100" s="32"/>
      <c r="U1100" s="32"/>
      <c r="V1100" s="37"/>
      <c r="W1100" s="32"/>
      <c r="X1100" s="34"/>
      <c r="Y1100" s="34"/>
      <c r="Z1100" s="36"/>
      <c r="AA1100" s="32" t="s">
        <v>6750</v>
      </c>
      <c r="AB1100" s="32"/>
      <c r="AC1100" s="38" t="str">
        <f aca="false">HYPERLINK("https://biocodex6--c.vf.force.com/0014L00000KFvcFQAT", "PEREZ JOELLE")</f>
        <v>PEREZ JOELLE</v>
      </c>
      <c r="AD1100" s="38"/>
      <c r="AE1100" s="39"/>
      <c r="AF1100" s="40"/>
      <c r="AG1100" s="41"/>
      <c r="AH1100" s="32" t="s">
        <v>179</v>
      </c>
      <c r="AI1100" s="32"/>
      <c r="AL1100" s="32"/>
      <c r="AM1100" s="32"/>
      <c r="AN1100" s="32"/>
      <c r="AO1100" s="32"/>
      <c r="AP1100" s="32"/>
      <c r="AQ1100" s="32"/>
      <c r="AR1100" s="32"/>
      <c r="AS1100" s="32"/>
      <c r="AT1100" s="32"/>
      <c r="AU1100" s="32"/>
      <c r="XEY1100" s="27"/>
      <c r="XEZ1100" s="27"/>
      <c r="XFA1100" s="27"/>
      <c r="XFB1100" s="27"/>
      <c r="XFC1100" s="27"/>
      <c r="XFD1100" s="27"/>
    </row>
    <row r="1101" s="42" customFormat="true" ht="14.15" hidden="false" customHeight="true" outlineLevel="0" collapsed="false">
      <c r="A1101" s="28" t="s">
        <v>6751</v>
      </c>
      <c r="B1101" s="29" t="s">
        <v>6752</v>
      </c>
      <c r="C1101" s="29" t="s">
        <v>6753</v>
      </c>
      <c r="D1101" s="30" t="s">
        <v>112</v>
      </c>
      <c r="E1101" s="31"/>
      <c r="F1101" s="32" t="n">
        <v>40</v>
      </c>
      <c r="G1101" s="31" t="s">
        <v>215</v>
      </c>
      <c r="H1101" s="31" t="n">
        <v>2</v>
      </c>
      <c r="I1101" s="31" t="s">
        <v>119</v>
      </c>
      <c r="J1101" s="29"/>
      <c r="K1101" s="29" t="s">
        <v>6754</v>
      </c>
      <c r="L1101" s="32" t="n">
        <v>3</v>
      </c>
      <c r="M1101" s="33" t="s">
        <v>3458</v>
      </c>
      <c r="N1101" s="34" t="n">
        <v>75007</v>
      </c>
      <c r="O1101" s="35" t="s">
        <v>55</v>
      </c>
      <c r="P1101" s="36" t="s">
        <v>6755</v>
      </c>
      <c r="Q1101" s="36" t="n">
        <v>1</v>
      </c>
      <c r="R1101" s="32" t="n">
        <v>219</v>
      </c>
      <c r="S1101" s="32" t="n">
        <v>1</v>
      </c>
      <c r="T1101" s="32"/>
      <c r="U1101" s="32"/>
      <c r="V1101" s="37"/>
      <c r="W1101" s="32"/>
      <c r="X1101" s="34"/>
      <c r="Y1101" s="34"/>
      <c r="Z1101" s="36"/>
      <c r="AA1101" s="32" t="s">
        <v>6756</v>
      </c>
      <c r="AB1101" s="32" t="s">
        <v>6757</v>
      </c>
      <c r="AC1101" s="38" t="str">
        <f aca="false">HYPERLINK("https://biocodex6--c.vf.force.com/0014L00000KFLtTQAX", "JOURDAN DIANE")</f>
        <v>JOURDAN DIANE</v>
      </c>
      <c r="AD1101" s="38" t="str">
        <f aca="false">HYPERLINK("https://annuairesante.ameli.fr/professionnels-de-sante/recherche/fiche-detaillee-B7c1lTA4Njuy.html", "JOURDAN DIANE")</f>
        <v>JOURDAN DIANE</v>
      </c>
      <c r="AE1101" s="39" t="n">
        <v>45209.3958333333</v>
      </c>
      <c r="AF1101" s="40"/>
      <c r="AG1101" s="41"/>
      <c r="AH1101" s="32" t="s">
        <v>179</v>
      </c>
      <c r="AI1101" s="32"/>
      <c r="AL1101" s="32"/>
      <c r="AM1101" s="32"/>
      <c r="AN1101" s="32"/>
      <c r="AO1101" s="32"/>
      <c r="AP1101" s="32"/>
      <c r="AQ1101" s="32"/>
      <c r="AR1101" s="32"/>
      <c r="AS1101" s="32"/>
      <c r="AT1101" s="32"/>
      <c r="AU1101" s="32"/>
      <c r="XEY1101" s="27"/>
      <c r="XEZ1101" s="27"/>
      <c r="XFA1101" s="27"/>
      <c r="XFB1101" s="27"/>
      <c r="XFC1101" s="27"/>
      <c r="XFD1101" s="27"/>
    </row>
    <row r="1102" s="42" customFormat="true" ht="14.15" hidden="false" customHeight="true" outlineLevel="0" collapsed="false">
      <c r="A1102" s="28" t="s">
        <v>6758</v>
      </c>
      <c r="B1102" s="29" t="s">
        <v>1270</v>
      </c>
      <c r="C1102" s="29" t="s">
        <v>6759</v>
      </c>
      <c r="D1102" s="30" t="s">
        <v>50</v>
      </c>
      <c r="E1102" s="31"/>
      <c r="F1102" s="32" t="n">
        <v>49</v>
      </c>
      <c r="G1102" s="31"/>
      <c r="H1102" s="31" t="n">
        <v>1</v>
      </c>
      <c r="I1102" s="31" t="s">
        <v>51</v>
      </c>
      <c r="J1102" s="29" t="s">
        <v>2010</v>
      </c>
      <c r="K1102" s="29" t="s">
        <v>2011</v>
      </c>
      <c r="L1102" s="32" t="n">
        <v>37</v>
      </c>
      <c r="M1102" s="33" t="s">
        <v>2012</v>
      </c>
      <c r="N1102" s="34" t="n">
        <v>75015</v>
      </c>
      <c r="O1102" s="35" t="s">
        <v>55</v>
      </c>
      <c r="P1102" s="36" t="s">
        <v>2013</v>
      </c>
      <c r="Q1102" s="36" t="n">
        <v>19</v>
      </c>
      <c r="R1102" s="32" t="n">
        <v>218</v>
      </c>
      <c r="S1102" s="32" t="n">
        <v>1</v>
      </c>
      <c r="T1102" s="32"/>
      <c r="U1102" s="32"/>
      <c r="V1102" s="37"/>
      <c r="W1102" s="32"/>
      <c r="X1102" s="34"/>
      <c r="Y1102" s="34"/>
      <c r="Z1102" s="36"/>
      <c r="AA1102" s="32" t="s">
        <v>6760</v>
      </c>
      <c r="AB1102" s="32"/>
      <c r="AC1102" s="38" t="str">
        <f aca="false">HYPERLINK("https://biocodex6--c.vf.force.com/0014L00000NDOouQAH", "BROGNAUX DEVINOY ANNE MARIE")</f>
        <v>BROGNAUX DEVINOY ANNE MARIE</v>
      </c>
      <c r="AD1102" s="38"/>
      <c r="AE1102" s="39"/>
      <c r="AF1102" s="40"/>
      <c r="AG1102" s="41"/>
      <c r="AH1102" s="32" t="s">
        <v>179</v>
      </c>
      <c r="AI1102" s="32"/>
      <c r="AL1102" s="32"/>
      <c r="AM1102" s="32"/>
      <c r="AN1102" s="32"/>
      <c r="AO1102" s="32"/>
      <c r="AP1102" s="32"/>
      <c r="AQ1102" s="32"/>
      <c r="AR1102" s="32"/>
      <c r="AS1102" s="32"/>
      <c r="AT1102" s="32"/>
      <c r="AU1102" s="32"/>
      <c r="XEY1102" s="27"/>
      <c r="XEZ1102" s="27"/>
      <c r="XFA1102" s="27"/>
      <c r="XFB1102" s="27"/>
      <c r="XFC1102" s="27"/>
      <c r="XFD1102" s="27"/>
    </row>
    <row r="1103" s="42" customFormat="true" ht="14.15" hidden="false" customHeight="true" outlineLevel="0" collapsed="false">
      <c r="A1103" s="28" t="s">
        <v>6761</v>
      </c>
      <c r="B1103" s="29" t="s">
        <v>1143</v>
      </c>
      <c r="C1103" s="29" t="s">
        <v>6762</v>
      </c>
      <c r="D1103" s="30" t="s">
        <v>244</v>
      </c>
      <c r="E1103" s="30" t="s">
        <v>245</v>
      </c>
      <c r="F1103" s="32" t="n">
        <v>66</v>
      </c>
      <c r="G1103" s="31" t="s">
        <v>215</v>
      </c>
      <c r="H1103" s="31" t="n">
        <v>1</v>
      </c>
      <c r="I1103" s="31" t="s">
        <v>51</v>
      </c>
      <c r="J1103" s="29"/>
      <c r="K1103" s="29" t="s">
        <v>3258</v>
      </c>
      <c r="L1103" s="32" t="n">
        <v>4</v>
      </c>
      <c r="M1103" s="33" t="s">
        <v>3259</v>
      </c>
      <c r="N1103" s="34" t="n">
        <v>75015</v>
      </c>
      <c r="O1103" s="35" t="s">
        <v>55</v>
      </c>
      <c r="P1103" s="36" t="s">
        <v>6763</v>
      </c>
      <c r="Q1103" s="36" t="n">
        <v>3</v>
      </c>
      <c r="R1103" s="32" t="n">
        <v>217</v>
      </c>
      <c r="S1103" s="32" t="n">
        <v>1</v>
      </c>
      <c r="T1103" s="32"/>
      <c r="U1103" s="32" t="n">
        <v>3</v>
      </c>
      <c r="V1103" s="37"/>
      <c r="W1103" s="32" t="n">
        <v>3</v>
      </c>
      <c r="X1103" s="34"/>
      <c r="Y1103" s="34" t="n">
        <v>1</v>
      </c>
      <c r="Z1103" s="32"/>
      <c r="AA1103" s="32" t="s">
        <v>6764</v>
      </c>
      <c r="AB1103" s="32" t="s">
        <v>6765</v>
      </c>
      <c r="AC1103" s="38" t="str">
        <f aca="false">HYPERLINK("https://biocodex6--c.vf.force.com/0014L00000KFna4QAD", "LEGRIS MARC")</f>
        <v>LEGRIS MARC</v>
      </c>
      <c r="AD1103" s="38" t="str">
        <f aca="false">HYPERLINK("https://annuairesante.ameli.fr/professionnels-de-sante/recherche/fiche-detaillee-B7c1mjA5OTCw.html", "LEGRIS MARC")</f>
        <v>LEGRIS MARC</v>
      </c>
      <c r="AE1103" s="39" t="n">
        <v>45357.5208333333</v>
      </c>
      <c r="AF1103" s="40" t="s">
        <v>6766</v>
      </c>
      <c r="AG1103" s="41"/>
      <c r="AH1103" s="32"/>
      <c r="AI1103" s="32"/>
      <c r="AL1103" s="32"/>
      <c r="AM1103" s="32"/>
      <c r="AN1103" s="32"/>
      <c r="AO1103" s="32"/>
      <c r="AP1103" s="32"/>
      <c r="AQ1103" s="32"/>
      <c r="AR1103" s="43" t="s">
        <v>657</v>
      </c>
      <c r="AS1103" s="43" t="s">
        <v>137</v>
      </c>
      <c r="AT1103" s="43" t="s">
        <v>657</v>
      </c>
      <c r="AU1103" s="43" t="s">
        <v>137</v>
      </c>
      <c r="XEY1103" s="27"/>
      <c r="XEZ1103" s="27"/>
      <c r="XFA1103" s="27"/>
      <c r="XFB1103" s="27"/>
      <c r="XFC1103" s="27"/>
      <c r="XFD1103" s="27"/>
    </row>
    <row r="1104" s="42" customFormat="true" ht="14.15" hidden="false" customHeight="true" outlineLevel="0" collapsed="false">
      <c r="A1104" s="28" t="s">
        <v>6767</v>
      </c>
      <c r="B1104" s="29" t="s">
        <v>160</v>
      </c>
      <c r="C1104" s="29" t="s">
        <v>6768</v>
      </c>
      <c r="D1104" s="30" t="s">
        <v>50</v>
      </c>
      <c r="E1104" s="31"/>
      <c r="F1104" s="32" t="n">
        <v>51</v>
      </c>
      <c r="G1104" s="31"/>
      <c r="H1104" s="31" t="n">
        <v>1</v>
      </c>
      <c r="I1104" s="31" t="s">
        <v>51</v>
      </c>
      <c r="J1104" s="29"/>
      <c r="K1104" s="29" t="s">
        <v>6094</v>
      </c>
      <c r="L1104" s="32" t="n">
        <v>199</v>
      </c>
      <c r="M1104" s="33" t="s">
        <v>852</v>
      </c>
      <c r="N1104" s="34" t="n">
        <v>75015</v>
      </c>
      <c r="O1104" s="35" t="s">
        <v>55</v>
      </c>
      <c r="P1104" s="36" t="s">
        <v>6095</v>
      </c>
      <c r="Q1104" s="36" t="n">
        <v>2</v>
      </c>
      <c r="R1104" s="32" t="n">
        <v>217</v>
      </c>
      <c r="S1104" s="32" t="n">
        <v>1</v>
      </c>
      <c r="T1104" s="32"/>
      <c r="U1104" s="32"/>
      <c r="V1104" s="37"/>
      <c r="W1104" s="32"/>
      <c r="X1104" s="34"/>
      <c r="Y1104" s="34"/>
      <c r="Z1104" s="32"/>
      <c r="AA1104" s="32" t="s">
        <v>6769</v>
      </c>
      <c r="AB1104" s="32"/>
      <c r="AC1104" s="38" t="str">
        <f aca="false">HYPERLINK("https://biocodex6--c.vf.force.com/0014L00000KFaLpQAL", "FERRON FURGE CAMILLE")</f>
        <v>FERRON FURGE CAMILLE</v>
      </c>
      <c r="AD1104" s="38"/>
      <c r="AE1104" s="39"/>
      <c r="AF1104" s="40"/>
      <c r="AG1104" s="41"/>
      <c r="AH1104" s="32"/>
      <c r="AI1104" s="32"/>
      <c r="AL1104" s="32"/>
      <c r="AM1104" s="32"/>
      <c r="AN1104" s="32"/>
      <c r="AO1104" s="32"/>
      <c r="AP1104" s="32"/>
      <c r="AQ1104" s="32"/>
      <c r="AR1104" s="32"/>
      <c r="AS1104" s="32"/>
      <c r="AT1104" s="32"/>
      <c r="AU1104" s="32"/>
      <c r="XEY1104" s="27"/>
      <c r="XEZ1104" s="27"/>
      <c r="XFA1104" s="27"/>
      <c r="XFB1104" s="27"/>
      <c r="XFC1104" s="27"/>
      <c r="XFD1104" s="27"/>
    </row>
    <row r="1105" s="42" customFormat="true" ht="14.15" hidden="false" customHeight="true" outlineLevel="0" collapsed="false">
      <c r="A1105" s="28" t="s">
        <v>1875</v>
      </c>
      <c r="B1105" s="29" t="s">
        <v>1377</v>
      </c>
      <c r="C1105" s="29" t="s">
        <v>6770</v>
      </c>
      <c r="D1105" s="30" t="s">
        <v>244</v>
      </c>
      <c r="E1105" s="30" t="s">
        <v>741</v>
      </c>
      <c r="F1105" s="32" t="n">
        <v>75</v>
      </c>
      <c r="G1105" s="31" t="s">
        <v>215</v>
      </c>
      <c r="H1105" s="31" t="n">
        <v>1</v>
      </c>
      <c r="I1105" s="31" t="s">
        <v>435</v>
      </c>
      <c r="J1105" s="29"/>
      <c r="K1105" s="29" t="s">
        <v>6771</v>
      </c>
      <c r="L1105" s="32" t="n">
        <v>53</v>
      </c>
      <c r="M1105" s="33" t="s">
        <v>6772</v>
      </c>
      <c r="N1105" s="34" t="n">
        <v>75016</v>
      </c>
      <c r="O1105" s="35" t="s">
        <v>55</v>
      </c>
      <c r="P1105" s="36" t="s">
        <v>6773</v>
      </c>
      <c r="Q1105" s="36" t="n">
        <v>1</v>
      </c>
      <c r="R1105" s="32" t="n">
        <v>217</v>
      </c>
      <c r="S1105" s="32" t="n">
        <v>1</v>
      </c>
      <c r="T1105" s="32"/>
      <c r="U1105" s="32"/>
      <c r="V1105" s="37"/>
      <c r="W1105" s="32"/>
      <c r="X1105" s="34"/>
      <c r="Y1105" s="34"/>
      <c r="Z1105" s="36" t="s">
        <v>6774</v>
      </c>
      <c r="AA1105" s="32" t="s">
        <v>6775</v>
      </c>
      <c r="AB1105" s="32" t="s">
        <v>6776</v>
      </c>
      <c r="AC1105" s="38" t="str">
        <f aca="false">HYPERLINK("https://biocodex6--c.vf.force.com/0014L00000KFtGbQAL", "NAIM HELENE")</f>
        <v>NAIM HELENE</v>
      </c>
      <c r="AD1105" s="38" t="str">
        <f aca="false">HYPERLINK("https://annuairesante.ameli.fr/professionnels-de-sante/recherche/fiche-detaillee-B7c1kTQwNTOy.html", "NAIM HELENE")</f>
        <v>NAIM HELENE</v>
      </c>
      <c r="AE1105" s="39"/>
      <c r="AF1105" s="40"/>
      <c r="AG1105" s="41"/>
      <c r="AH1105" s="32" t="s">
        <v>179</v>
      </c>
      <c r="AI1105" s="32"/>
      <c r="AL1105" s="32"/>
      <c r="AM1105" s="32"/>
      <c r="AN1105" s="32"/>
      <c r="AO1105" s="32"/>
      <c r="AP1105" s="32"/>
      <c r="AQ1105" s="32"/>
      <c r="AR1105" s="32"/>
      <c r="AS1105" s="32"/>
      <c r="AT1105" s="32"/>
      <c r="AU1105" s="32"/>
      <c r="XEY1105" s="27"/>
      <c r="XEZ1105" s="27"/>
      <c r="XFA1105" s="27"/>
      <c r="XFB1105" s="27"/>
      <c r="XFC1105" s="27"/>
      <c r="XFD1105" s="27"/>
    </row>
    <row r="1106" s="42" customFormat="true" ht="14.15" hidden="false" customHeight="true" outlineLevel="0" collapsed="false">
      <c r="A1106" s="28" t="s">
        <v>6777</v>
      </c>
      <c r="B1106" s="29" t="s">
        <v>1143</v>
      </c>
      <c r="C1106" s="29" t="s">
        <v>6778</v>
      </c>
      <c r="D1106" s="30" t="s">
        <v>50</v>
      </c>
      <c r="E1106" s="30" t="s">
        <v>831</v>
      </c>
      <c r="F1106" s="32" t="n">
        <v>75</v>
      </c>
      <c r="G1106" s="31" t="s">
        <v>215</v>
      </c>
      <c r="H1106" s="31" t="n">
        <v>1</v>
      </c>
      <c r="I1106" s="31" t="s">
        <v>197</v>
      </c>
      <c r="J1106" s="29"/>
      <c r="K1106" s="29" t="s">
        <v>6779</v>
      </c>
      <c r="L1106" s="32" t="n">
        <v>3</v>
      </c>
      <c r="M1106" s="33" t="s">
        <v>6780</v>
      </c>
      <c r="N1106" s="34" t="n">
        <v>75017</v>
      </c>
      <c r="O1106" s="35" t="s">
        <v>55</v>
      </c>
      <c r="P1106" s="36" t="s">
        <v>6781</v>
      </c>
      <c r="Q1106" s="36" t="n">
        <v>1</v>
      </c>
      <c r="R1106" s="32" t="n">
        <v>216</v>
      </c>
      <c r="S1106" s="32" t="n">
        <v>1</v>
      </c>
      <c r="T1106" s="32"/>
      <c r="U1106" s="32"/>
      <c r="V1106" s="37"/>
      <c r="W1106" s="32"/>
      <c r="X1106" s="34"/>
      <c r="Y1106" s="34"/>
      <c r="Z1106" s="36"/>
      <c r="AA1106" s="32" t="s">
        <v>6782</v>
      </c>
      <c r="AB1106" s="32" t="s">
        <v>6783</v>
      </c>
      <c r="AC1106" s="38" t="str">
        <f aca="false">HYPERLINK("https://biocodex6--c.vf.force.com/0014L00000KFi2SQAT", "HAFFEN MARC")</f>
        <v>HAFFEN MARC</v>
      </c>
      <c r="AD1106" s="38" t="str">
        <f aca="false">HYPERLINK("https://annuairesante.ameli.fr/professionnels-de-sante/recherche/fiche-detaillee-B7c1kTE3OTW3.html", "HAFFEN MARC")</f>
        <v>HAFFEN MARC</v>
      </c>
      <c r="AE1106" s="39"/>
      <c r="AF1106" s="40"/>
      <c r="AG1106" s="41"/>
      <c r="AH1106" s="32" t="s">
        <v>179</v>
      </c>
      <c r="AI1106" s="32"/>
      <c r="AL1106" s="32"/>
      <c r="AM1106" s="32"/>
      <c r="AN1106" s="32"/>
      <c r="AO1106" s="32"/>
      <c r="AP1106" s="32"/>
      <c r="AQ1106" s="32"/>
      <c r="AR1106" s="32"/>
      <c r="AS1106" s="32"/>
      <c r="AT1106" s="32"/>
      <c r="AU1106" s="32"/>
      <c r="XEY1106" s="27"/>
      <c r="XEZ1106" s="27"/>
      <c r="XFA1106" s="27"/>
      <c r="XFB1106" s="27"/>
      <c r="XFC1106" s="27"/>
      <c r="XFD1106" s="27"/>
    </row>
    <row r="1107" s="42" customFormat="true" ht="14.15" hidden="false" customHeight="true" outlineLevel="0" collapsed="false">
      <c r="A1107" s="28" t="s">
        <v>6784</v>
      </c>
      <c r="B1107" s="29" t="s">
        <v>861</v>
      </c>
      <c r="C1107" s="29" t="s">
        <v>6785</v>
      </c>
      <c r="D1107" s="30" t="s">
        <v>50</v>
      </c>
      <c r="E1107" s="30" t="s">
        <v>112</v>
      </c>
      <c r="F1107" s="32" t="n">
        <v>73</v>
      </c>
      <c r="G1107" s="31" t="s">
        <v>215</v>
      </c>
      <c r="H1107" s="31" t="n">
        <v>1</v>
      </c>
      <c r="I1107" s="31" t="s">
        <v>173</v>
      </c>
      <c r="J1107" s="29"/>
      <c r="K1107" s="29" t="s">
        <v>6786</v>
      </c>
      <c r="L1107" s="32" t="n">
        <v>12</v>
      </c>
      <c r="M1107" s="33" t="s">
        <v>1637</v>
      </c>
      <c r="N1107" s="34" t="n">
        <v>75016</v>
      </c>
      <c r="O1107" s="35" t="s">
        <v>55</v>
      </c>
      <c r="P1107" s="36" t="s">
        <v>6787</v>
      </c>
      <c r="Q1107" s="36" t="n">
        <v>1</v>
      </c>
      <c r="R1107" s="32" t="n">
        <v>216</v>
      </c>
      <c r="S1107" s="32" t="n">
        <v>1</v>
      </c>
      <c r="T1107" s="32"/>
      <c r="U1107" s="32"/>
      <c r="V1107" s="37"/>
      <c r="W1107" s="32"/>
      <c r="X1107" s="34"/>
      <c r="Y1107" s="34"/>
      <c r="Z1107" s="36"/>
      <c r="AA1107" s="32" t="s">
        <v>6788</v>
      </c>
      <c r="AB1107" s="32" t="s">
        <v>6789</v>
      </c>
      <c r="AC1107" s="38" t="str">
        <f aca="false">HYPERLINK("https://biocodex6--c.vf.force.com/0014L00000KFngfQAD", "LELASSEUX CHRISTOPHE")</f>
        <v>LELASSEUX CHRISTOPHE</v>
      </c>
      <c r="AD1107" s="38" t="str">
        <f aca="false">HYPERLINK("https://annuairesante.ameli.fr/professionnels-de-sante/recherche/fiche-detaillee-B7c1ljM5MzS7.html", "LELASSEUX CHRISTOPHE")</f>
        <v>LELASSEUX CHRISTOPHE</v>
      </c>
      <c r="AE1107" s="39"/>
      <c r="AF1107" s="40"/>
      <c r="AG1107" s="41"/>
      <c r="AH1107" s="32" t="s">
        <v>179</v>
      </c>
      <c r="AI1107" s="32"/>
      <c r="AL1107" s="43" t="s">
        <v>338</v>
      </c>
      <c r="AM1107" s="43" t="s">
        <v>6790</v>
      </c>
      <c r="AN1107" s="43" t="s">
        <v>338</v>
      </c>
      <c r="AO1107" s="43" t="s">
        <v>6790</v>
      </c>
      <c r="AP1107" s="43" t="s">
        <v>338</v>
      </c>
      <c r="AQ1107" s="43" t="s">
        <v>6790</v>
      </c>
      <c r="AR1107" s="43" t="s">
        <v>338</v>
      </c>
      <c r="AS1107" s="43" t="s">
        <v>6790</v>
      </c>
      <c r="AT1107" s="43" t="s">
        <v>338</v>
      </c>
      <c r="AU1107" s="43" t="s">
        <v>6790</v>
      </c>
      <c r="XEY1107" s="27"/>
      <c r="XEZ1107" s="27"/>
      <c r="XFA1107" s="27"/>
      <c r="XFB1107" s="27"/>
      <c r="XFC1107" s="27"/>
      <c r="XFD1107" s="27"/>
    </row>
    <row r="1108" s="42" customFormat="true" ht="14.15" hidden="false" customHeight="true" outlineLevel="0" collapsed="false">
      <c r="A1108" s="28" t="s">
        <v>6791</v>
      </c>
      <c r="B1108" s="29" t="s">
        <v>6792</v>
      </c>
      <c r="C1108" s="29" t="s">
        <v>6793</v>
      </c>
      <c r="D1108" s="30" t="s">
        <v>50</v>
      </c>
      <c r="E1108" s="31"/>
      <c r="F1108" s="32" t="n">
        <v>38</v>
      </c>
      <c r="G1108" s="31" t="s">
        <v>98</v>
      </c>
      <c r="H1108" s="31" t="n">
        <v>1</v>
      </c>
      <c r="I1108" s="31" t="s">
        <v>387</v>
      </c>
      <c r="J1108" s="29"/>
      <c r="K1108" s="29" t="s">
        <v>6794</v>
      </c>
      <c r="L1108" s="32" t="n">
        <v>104</v>
      </c>
      <c r="M1108" s="33" t="s">
        <v>2778</v>
      </c>
      <c r="N1108" s="34" t="n">
        <v>75016</v>
      </c>
      <c r="O1108" s="35" t="s">
        <v>55</v>
      </c>
      <c r="P1108" s="36" t="s">
        <v>6795</v>
      </c>
      <c r="Q1108" s="36" t="n">
        <v>2</v>
      </c>
      <c r="R1108" s="32" t="n">
        <v>215</v>
      </c>
      <c r="S1108" s="32" t="n">
        <v>1</v>
      </c>
      <c r="T1108" s="32"/>
      <c r="U1108" s="32"/>
      <c r="V1108" s="37"/>
      <c r="W1108" s="32"/>
      <c r="X1108" s="34"/>
      <c r="Y1108" s="34"/>
      <c r="Z1108" s="36"/>
      <c r="AA1108" s="32" t="s">
        <v>6796</v>
      </c>
      <c r="AB1108" s="32" t="s">
        <v>6797</v>
      </c>
      <c r="AC1108" s="38" t="str">
        <f aca="false">HYPERLINK("https://biocodex6--c.vf.force.com/0014L00000KFOS6QAP", "BALYELI FILIZ")</f>
        <v>BALYELI FILIZ</v>
      </c>
      <c r="AD1108" s="38" t="str">
        <f aca="false">HYPERLINK("https://annuairesante.ameli.fr/professionnels-de-sante/recherche/fiche-detaillee-B7c1kjQxMzOy.html", "BALYELI FILIZ")</f>
        <v>BALYELI FILIZ</v>
      </c>
      <c r="AE1108" s="39"/>
      <c r="AF1108" s="40"/>
      <c r="AG1108" s="41"/>
      <c r="AH1108" s="32" t="s">
        <v>179</v>
      </c>
      <c r="AI1108" s="32"/>
      <c r="AL1108" s="43" t="s">
        <v>639</v>
      </c>
      <c r="AM1108" s="43" t="s">
        <v>6798</v>
      </c>
      <c r="AN1108" s="43" t="s">
        <v>639</v>
      </c>
      <c r="AO1108" s="43" t="s">
        <v>6798</v>
      </c>
      <c r="AP1108" s="43" t="s">
        <v>639</v>
      </c>
      <c r="AQ1108" s="43" t="s">
        <v>6798</v>
      </c>
      <c r="AR1108" s="43" t="s">
        <v>639</v>
      </c>
      <c r="AS1108" s="43" t="s">
        <v>6798</v>
      </c>
      <c r="AT1108" s="43" t="s">
        <v>639</v>
      </c>
      <c r="AU1108" s="43" t="s">
        <v>6798</v>
      </c>
      <c r="XEY1108" s="27"/>
      <c r="XEZ1108" s="27"/>
      <c r="XFA1108" s="27"/>
      <c r="XFB1108" s="27"/>
      <c r="XFC1108" s="27"/>
      <c r="XFD1108" s="27"/>
    </row>
    <row r="1109" s="42" customFormat="true" ht="14.15" hidden="false" customHeight="true" outlineLevel="0" collapsed="false">
      <c r="A1109" s="28" t="s">
        <v>6799</v>
      </c>
      <c r="B1109" s="29" t="s">
        <v>6800</v>
      </c>
      <c r="C1109" s="29" t="s">
        <v>6801</v>
      </c>
      <c r="D1109" s="30" t="s">
        <v>50</v>
      </c>
      <c r="E1109" s="30" t="s">
        <v>5786</v>
      </c>
      <c r="F1109" s="32" t="n">
        <v>63</v>
      </c>
      <c r="G1109" s="31"/>
      <c r="H1109" s="31" t="n">
        <v>1</v>
      </c>
      <c r="I1109" s="31" t="s">
        <v>119</v>
      </c>
      <c r="J1109" s="29"/>
      <c r="K1109" s="29" t="s">
        <v>6802</v>
      </c>
      <c r="L1109" s="32" t="n">
        <v>21</v>
      </c>
      <c r="M1109" s="33" t="s">
        <v>6803</v>
      </c>
      <c r="N1109" s="34" t="n">
        <v>75007</v>
      </c>
      <c r="O1109" s="35" t="s">
        <v>55</v>
      </c>
      <c r="P1109" s="36" t="s">
        <v>6804</v>
      </c>
      <c r="Q1109" s="36" t="n">
        <v>2</v>
      </c>
      <c r="R1109" s="32" t="n">
        <v>215</v>
      </c>
      <c r="S1109" s="32" t="n">
        <v>1</v>
      </c>
      <c r="T1109" s="32"/>
      <c r="U1109" s="32"/>
      <c r="V1109" s="37"/>
      <c r="W1109" s="32"/>
      <c r="X1109" s="34"/>
      <c r="Y1109" s="34"/>
      <c r="Z1109" s="36"/>
      <c r="AA1109" s="32" t="s">
        <v>6805</v>
      </c>
      <c r="AB1109" s="32"/>
      <c r="AC1109" s="38" t="str">
        <f aca="false">HYPERLINK("https://biocodex6--c.vf.force.com/0014L00000KFr2sQAD", "MARCHEIX REMY")</f>
        <v>MARCHEIX REMY</v>
      </c>
      <c r="AD1109" s="38"/>
      <c r="AE1109" s="39"/>
      <c r="AF1109" s="40"/>
      <c r="AG1109" s="41"/>
      <c r="AH1109" s="32" t="s">
        <v>179</v>
      </c>
      <c r="AI1109" s="32"/>
      <c r="AL1109" s="32"/>
      <c r="AM1109" s="32"/>
      <c r="AN1109" s="32"/>
      <c r="AO1109" s="32"/>
      <c r="AP1109" s="32"/>
      <c r="AQ1109" s="32"/>
      <c r="AR1109" s="32"/>
      <c r="AS1109" s="32"/>
      <c r="AT1109" s="32"/>
      <c r="AU1109" s="32"/>
      <c r="XEY1109" s="27"/>
      <c r="XEZ1109" s="27"/>
      <c r="XFA1109" s="27"/>
      <c r="XFB1109" s="27"/>
      <c r="XFC1109" s="27"/>
      <c r="XFD1109" s="27"/>
    </row>
    <row r="1110" s="42" customFormat="true" ht="14.15" hidden="false" customHeight="true" outlineLevel="0" collapsed="false">
      <c r="A1110" s="28" t="s">
        <v>6806</v>
      </c>
      <c r="B1110" s="29" t="s">
        <v>6807</v>
      </c>
      <c r="C1110" s="29" t="s">
        <v>6808</v>
      </c>
      <c r="D1110" s="30" t="s">
        <v>50</v>
      </c>
      <c r="E1110" s="30" t="s">
        <v>2281</v>
      </c>
      <c r="F1110" s="32" t="n">
        <v>59</v>
      </c>
      <c r="G1110" s="31" t="s">
        <v>98</v>
      </c>
      <c r="H1110" s="31" t="n">
        <v>1</v>
      </c>
      <c r="I1110" s="31" t="s">
        <v>51</v>
      </c>
      <c r="J1110" s="29"/>
      <c r="K1110" s="29" t="s">
        <v>6809</v>
      </c>
      <c r="L1110" s="32" t="n">
        <v>56</v>
      </c>
      <c r="M1110" s="33" t="s">
        <v>481</v>
      </c>
      <c r="N1110" s="34" t="n">
        <v>75015</v>
      </c>
      <c r="O1110" s="35" t="s">
        <v>55</v>
      </c>
      <c r="P1110" s="36" t="s">
        <v>6810</v>
      </c>
      <c r="Q1110" s="36" t="n">
        <v>3</v>
      </c>
      <c r="R1110" s="32" t="n">
        <v>215</v>
      </c>
      <c r="S1110" s="32" t="n">
        <v>1</v>
      </c>
      <c r="T1110" s="32"/>
      <c r="U1110" s="32"/>
      <c r="V1110" s="37"/>
      <c r="W1110" s="32"/>
      <c r="X1110" s="34"/>
      <c r="Y1110" s="34"/>
      <c r="Z1110" s="36"/>
      <c r="AA1110" s="32" t="s">
        <v>6811</v>
      </c>
      <c r="AB1110" s="32" t="s">
        <v>6812</v>
      </c>
      <c r="AC1110" s="38" t="str">
        <f aca="false">HYPERLINK("https://biocodex6--c.vf.force.com/0014L00000KFtfKQAT", "MOUSSALEM THERESE")</f>
        <v>MOUSSALEM THERESE</v>
      </c>
      <c r="AD1110" s="38" t="str">
        <f aca="false">HYPERLINK("https://annuairesante.ameli.fr/professionnels-de-sante/recherche/fiche-detaillee-B7c1lDsxMDe6.html", "MOUSSALEM THERESE")</f>
        <v>MOUSSALEM THERESE</v>
      </c>
      <c r="AE1110" s="39"/>
      <c r="AF1110" s="40"/>
      <c r="AG1110" s="41"/>
      <c r="AH1110" s="32" t="s">
        <v>179</v>
      </c>
      <c r="AI1110" s="32"/>
      <c r="AL1110" s="32"/>
      <c r="AM1110" s="32"/>
      <c r="AN1110" s="32"/>
      <c r="AO1110" s="32"/>
      <c r="AP1110" s="32"/>
      <c r="AQ1110" s="32"/>
      <c r="AR1110" s="32"/>
      <c r="AS1110" s="32"/>
      <c r="AT1110" s="32"/>
      <c r="AU1110" s="32"/>
      <c r="XEY1110" s="27"/>
      <c r="XEZ1110" s="27"/>
      <c r="XFA1110" s="27"/>
      <c r="XFB1110" s="27"/>
      <c r="XFC1110" s="27"/>
      <c r="XFD1110" s="27"/>
    </row>
    <row r="1111" s="42" customFormat="true" ht="14.15" hidden="false" customHeight="true" outlineLevel="0" collapsed="false">
      <c r="A1111" s="28" t="s">
        <v>6813</v>
      </c>
      <c r="B1111" s="29" t="s">
        <v>1304</v>
      </c>
      <c r="C1111" s="29" t="s">
        <v>6814</v>
      </c>
      <c r="D1111" s="30" t="s">
        <v>50</v>
      </c>
      <c r="E1111" s="31"/>
      <c r="F1111" s="32" t="n">
        <v>40</v>
      </c>
      <c r="G1111" s="31"/>
      <c r="H1111" s="31" t="n">
        <v>1</v>
      </c>
      <c r="I1111" s="31" t="s">
        <v>51</v>
      </c>
      <c r="J1111" s="29" t="s">
        <v>52</v>
      </c>
      <c r="K1111" s="29" t="s">
        <v>53</v>
      </c>
      <c r="L1111" s="32" t="n">
        <v>149</v>
      </c>
      <c r="M1111" s="33" t="s">
        <v>54</v>
      </c>
      <c r="N1111" s="34" t="n">
        <v>75015</v>
      </c>
      <c r="O1111" s="35" t="s">
        <v>55</v>
      </c>
      <c r="P1111" s="36" t="s">
        <v>1710</v>
      </c>
      <c r="Q1111" s="36" t="n">
        <v>236</v>
      </c>
      <c r="R1111" s="32" t="n">
        <v>215</v>
      </c>
      <c r="S1111" s="32" t="n">
        <v>1</v>
      </c>
      <c r="T1111" s="32"/>
      <c r="U1111" s="32"/>
      <c r="V1111" s="37"/>
      <c r="W1111" s="32"/>
      <c r="X1111" s="34"/>
      <c r="Y1111" s="34"/>
      <c r="Z1111" s="36"/>
      <c r="AA1111" s="32" t="s">
        <v>6815</v>
      </c>
      <c r="AB1111" s="32"/>
      <c r="AC1111" s="38" t="str">
        <f aca="false">HYPERLINK("https://biocodex6--c.vf.force.com/0014L00000KFOWyQAP", "BOURLET PAULINE")</f>
        <v>BOURLET PAULINE</v>
      </c>
      <c r="AD1111" s="38"/>
      <c r="AE1111" s="39"/>
      <c r="AF1111" s="40"/>
      <c r="AG1111" s="41"/>
      <c r="AH1111" s="32" t="s">
        <v>179</v>
      </c>
      <c r="AI1111" s="32"/>
      <c r="AL1111" s="32"/>
      <c r="AM1111" s="32"/>
      <c r="AN1111" s="32"/>
      <c r="AO1111" s="32"/>
      <c r="AP1111" s="32"/>
      <c r="AQ1111" s="32"/>
      <c r="AR1111" s="32"/>
      <c r="AS1111" s="32"/>
      <c r="AT1111" s="32"/>
      <c r="AU1111" s="32"/>
      <c r="XEY1111" s="27"/>
      <c r="XEZ1111" s="27"/>
      <c r="XFA1111" s="27"/>
      <c r="XFB1111" s="27"/>
      <c r="XFC1111" s="27"/>
      <c r="XFD1111" s="27"/>
    </row>
    <row r="1112" s="42" customFormat="true" ht="14.15" hidden="false" customHeight="true" outlineLevel="0" collapsed="false">
      <c r="A1112" s="28" t="s">
        <v>6816</v>
      </c>
      <c r="B1112" s="29" t="s">
        <v>4325</v>
      </c>
      <c r="C1112" s="29" t="s">
        <v>6817</v>
      </c>
      <c r="D1112" s="30" t="s">
        <v>244</v>
      </c>
      <c r="E1112" s="30" t="s">
        <v>245</v>
      </c>
      <c r="F1112" s="32"/>
      <c r="G1112" s="31" t="s">
        <v>215</v>
      </c>
      <c r="H1112" s="31" t="n">
        <v>1</v>
      </c>
      <c r="I1112" s="31" t="s">
        <v>435</v>
      </c>
      <c r="J1112" s="29"/>
      <c r="K1112" s="29" t="s">
        <v>6616</v>
      </c>
      <c r="L1112" s="32" t="n">
        <v>8</v>
      </c>
      <c r="M1112" s="33" t="s">
        <v>4389</v>
      </c>
      <c r="N1112" s="34" t="n">
        <v>75016</v>
      </c>
      <c r="O1112" s="35" t="s">
        <v>55</v>
      </c>
      <c r="P1112" s="36" t="s">
        <v>6617</v>
      </c>
      <c r="Q1112" s="36" t="n">
        <v>2</v>
      </c>
      <c r="R1112" s="32" t="n">
        <v>215</v>
      </c>
      <c r="S1112" s="32" t="n">
        <v>1</v>
      </c>
      <c r="T1112" s="32"/>
      <c r="U1112" s="32"/>
      <c r="V1112" s="37"/>
      <c r="W1112" s="32"/>
      <c r="X1112" s="34"/>
      <c r="Y1112" s="34"/>
      <c r="Z1112" s="36"/>
      <c r="AA1112" s="32" t="s">
        <v>6818</v>
      </c>
      <c r="AB1112" s="32" t="s">
        <v>6819</v>
      </c>
      <c r="AC1112" s="38" t="str">
        <f aca="false">HYPERLINK("https://biocodex6--c.vf.force.com/0014L00000KFWUAQA5", "DE QUILLACQ ALBANE")</f>
        <v>DE QUILLACQ ALBANE</v>
      </c>
      <c r="AD1112" s="38" t="str">
        <f aca="false">HYPERLINK("https://annuairesante.ameli.fr/professionnels-de-sante/recherche/fiche-detaillee-B7c1mzUwNTC2.html", "DE QUILLACQ ALBANE")</f>
        <v>DE QUILLACQ ALBANE</v>
      </c>
      <c r="AE1112" s="39"/>
      <c r="AF1112" s="40"/>
      <c r="AG1112" s="41"/>
      <c r="AH1112" s="32" t="s">
        <v>179</v>
      </c>
      <c r="AI1112" s="32"/>
      <c r="AL1112" s="32"/>
      <c r="AM1112" s="32"/>
      <c r="AN1112" s="32"/>
      <c r="AO1112" s="32"/>
      <c r="AP1112" s="32"/>
      <c r="AQ1112" s="32"/>
      <c r="AR1112" s="32"/>
      <c r="AS1112" s="32"/>
      <c r="AT1112" s="32"/>
      <c r="AU1112" s="32"/>
      <c r="XEY1112" s="27"/>
      <c r="XEZ1112" s="27"/>
      <c r="XFA1112" s="27"/>
      <c r="XFB1112" s="27"/>
      <c r="XFC1112" s="27"/>
      <c r="XFD1112" s="27"/>
    </row>
    <row r="1113" s="42" customFormat="true" ht="14.15" hidden="false" customHeight="true" outlineLevel="0" collapsed="false">
      <c r="A1113" s="28" t="s">
        <v>6820</v>
      </c>
      <c r="B1113" s="29" t="s">
        <v>3263</v>
      </c>
      <c r="C1113" s="29" t="s">
        <v>6821</v>
      </c>
      <c r="D1113" s="30" t="s">
        <v>50</v>
      </c>
      <c r="E1113" s="31"/>
      <c r="F1113" s="32"/>
      <c r="G1113" s="31" t="s">
        <v>61</v>
      </c>
      <c r="H1113" s="31" t="n">
        <v>1</v>
      </c>
      <c r="I1113" s="31" t="s">
        <v>62</v>
      </c>
      <c r="J1113" s="29"/>
      <c r="K1113" s="29" t="s">
        <v>6822</v>
      </c>
      <c r="L1113" s="32" t="n">
        <v>123</v>
      </c>
      <c r="M1113" s="33" t="s">
        <v>274</v>
      </c>
      <c r="N1113" s="34" t="n">
        <v>75017</v>
      </c>
      <c r="O1113" s="35" t="s">
        <v>55</v>
      </c>
      <c r="P1113" s="36" t="s">
        <v>6823</v>
      </c>
      <c r="Q1113" s="36" t="n">
        <v>1</v>
      </c>
      <c r="R1113" s="32" t="n">
        <v>215</v>
      </c>
      <c r="S1113" s="32" t="n">
        <v>1</v>
      </c>
      <c r="T1113" s="32"/>
      <c r="U1113" s="32"/>
      <c r="V1113" s="37"/>
      <c r="W1113" s="32"/>
      <c r="X1113" s="34"/>
      <c r="Y1113" s="34"/>
      <c r="Z1113" s="36"/>
      <c r="AA1113" s="32" t="s">
        <v>6824</v>
      </c>
      <c r="AB1113" s="32" t="s">
        <v>6825</v>
      </c>
      <c r="AC1113" s="38" t="str">
        <f aca="false">HYPERLINK("https://biocodex6--c.vf.force.com/0014L00000KFZTgQAP", "DUMONT GREGOIRE")</f>
        <v>DUMONT GREGOIRE</v>
      </c>
      <c r="AD1113" s="38" t="str">
        <f aca="false">HYPERLINK("https://annuairesante.ameli.fr/professionnels-de-sante/recherche/fiche-detaillee-B7c1kjE4NzC6.html", "DUMONT GREGOIRE")</f>
        <v>DUMONT GREGOIRE</v>
      </c>
      <c r="AE1113" s="39"/>
      <c r="AF1113" s="40"/>
      <c r="AG1113" s="41"/>
      <c r="AH1113" s="32" t="s">
        <v>179</v>
      </c>
      <c r="AI1113" s="32"/>
      <c r="AL1113" s="32"/>
      <c r="AM1113" s="32"/>
      <c r="AN1113" s="32"/>
      <c r="AO1113" s="32"/>
      <c r="AP1113" s="32"/>
      <c r="AQ1113" s="32"/>
      <c r="AR1113" s="32"/>
      <c r="AS1113" s="32"/>
      <c r="AT1113" s="32"/>
      <c r="AU1113" s="32"/>
      <c r="XEY1113" s="27"/>
      <c r="XEZ1113" s="27"/>
      <c r="XFA1113" s="27"/>
      <c r="XFB1113" s="27"/>
      <c r="XFC1113" s="27"/>
      <c r="XFD1113" s="27"/>
    </row>
    <row r="1114" s="42" customFormat="true" ht="14.15" hidden="false" customHeight="true" outlineLevel="0" collapsed="false">
      <c r="A1114" s="28" t="s">
        <v>6826</v>
      </c>
      <c r="B1114" s="29" t="s">
        <v>1534</v>
      </c>
      <c r="C1114" s="29" t="s">
        <v>6827</v>
      </c>
      <c r="D1114" s="30" t="s">
        <v>50</v>
      </c>
      <c r="E1114" s="31"/>
      <c r="F1114" s="32" t="n">
        <v>74</v>
      </c>
      <c r="G1114" s="31"/>
      <c r="H1114" s="31" t="n">
        <v>1</v>
      </c>
      <c r="I1114" s="31" t="s">
        <v>197</v>
      </c>
      <c r="J1114" s="29"/>
      <c r="K1114" s="29" t="s">
        <v>6828</v>
      </c>
      <c r="L1114" s="32" t="n">
        <v>21</v>
      </c>
      <c r="M1114" s="33" t="s">
        <v>2355</v>
      </c>
      <c r="N1114" s="34" t="n">
        <v>75017</v>
      </c>
      <c r="O1114" s="35" t="s">
        <v>55</v>
      </c>
      <c r="P1114" s="36" t="s">
        <v>6829</v>
      </c>
      <c r="Q1114" s="36" t="n">
        <v>1</v>
      </c>
      <c r="R1114" s="32" t="n">
        <v>215</v>
      </c>
      <c r="S1114" s="32" t="n">
        <v>1</v>
      </c>
      <c r="T1114" s="32"/>
      <c r="U1114" s="32"/>
      <c r="V1114" s="37"/>
      <c r="W1114" s="32"/>
      <c r="X1114" s="34"/>
      <c r="Y1114" s="34"/>
      <c r="Z1114" s="36"/>
      <c r="AA1114" s="32" t="s">
        <v>6830</v>
      </c>
      <c r="AB1114" s="32"/>
      <c r="AC1114" s="38" t="str">
        <f aca="false">HYPERLINK("https://biocodex6--c.vf.force.com/0014L00000KFp8OQAT", "LYON GERARD")</f>
        <v>LYON GERARD</v>
      </c>
      <c r="AD1114" s="38"/>
      <c r="AE1114" s="39"/>
      <c r="AF1114" s="40"/>
      <c r="AG1114" s="41"/>
      <c r="AH1114" s="32" t="s">
        <v>179</v>
      </c>
      <c r="AI1114" s="32"/>
      <c r="AL1114" s="32"/>
      <c r="AM1114" s="32"/>
      <c r="AN1114" s="32"/>
      <c r="AO1114" s="32"/>
      <c r="AP1114" s="32"/>
      <c r="AQ1114" s="32"/>
      <c r="AR1114" s="32"/>
      <c r="AS1114" s="32"/>
      <c r="AT1114" s="32"/>
      <c r="AU1114" s="32"/>
      <c r="XEY1114" s="27"/>
      <c r="XEZ1114" s="27"/>
      <c r="XFA1114" s="27"/>
      <c r="XFB1114" s="27"/>
      <c r="XFC1114" s="27"/>
      <c r="XFD1114" s="27"/>
    </row>
    <row r="1115" s="42" customFormat="true" ht="14.15" hidden="false" customHeight="true" outlineLevel="0" collapsed="false">
      <c r="A1115" s="28" t="s">
        <v>6831</v>
      </c>
      <c r="B1115" s="29" t="s">
        <v>2928</v>
      </c>
      <c r="C1115" s="29" t="s">
        <v>6832</v>
      </c>
      <c r="D1115" s="30" t="s">
        <v>50</v>
      </c>
      <c r="E1115" s="30" t="s">
        <v>386</v>
      </c>
      <c r="F1115" s="32" t="n">
        <v>65</v>
      </c>
      <c r="G1115" s="31" t="s">
        <v>215</v>
      </c>
      <c r="H1115" s="31" t="n">
        <v>1</v>
      </c>
      <c r="I1115" s="31" t="s">
        <v>173</v>
      </c>
      <c r="J1115" s="29"/>
      <c r="K1115" s="29" t="s">
        <v>742</v>
      </c>
      <c r="L1115" s="32" t="n">
        <v>60</v>
      </c>
      <c r="M1115" s="33" t="s">
        <v>743</v>
      </c>
      <c r="N1115" s="34" t="n">
        <v>75016</v>
      </c>
      <c r="O1115" s="35" t="s">
        <v>55</v>
      </c>
      <c r="P1115" s="36" t="s">
        <v>6833</v>
      </c>
      <c r="Q1115" s="36" t="n">
        <v>3</v>
      </c>
      <c r="R1115" s="32" t="n">
        <v>215</v>
      </c>
      <c r="S1115" s="32" t="n">
        <v>1</v>
      </c>
      <c r="T1115" s="32"/>
      <c r="U1115" s="32"/>
      <c r="V1115" s="37"/>
      <c r="W1115" s="32"/>
      <c r="X1115" s="34"/>
      <c r="Y1115" s="34"/>
      <c r="Z1115" s="36"/>
      <c r="AA1115" s="32" t="s">
        <v>6834</v>
      </c>
      <c r="AB1115" s="32" t="s">
        <v>6835</v>
      </c>
      <c r="AC1115" s="38" t="str">
        <f aca="false">HYPERLINK("https://biocodex6--c.vf.force.com/0014L00000KFXimQAH", "COUDRON LIONEL")</f>
        <v>COUDRON LIONEL</v>
      </c>
      <c r="AD1115" s="38" t="str">
        <f aca="false">HYPERLINK("https://annuairesante.ameli.fr/professionnels-de-sante/recherche/fiche-detaillee-B7c1ljUwNze0.html", "COUDRON LIONEL")</f>
        <v>COUDRON LIONEL</v>
      </c>
      <c r="AE1115" s="39"/>
      <c r="AF1115" s="40"/>
      <c r="AG1115" s="41"/>
      <c r="AH1115" s="32" t="s">
        <v>179</v>
      </c>
      <c r="AI1115" s="32"/>
      <c r="AL1115" s="43" t="s">
        <v>474</v>
      </c>
      <c r="AM1115" s="43" t="s">
        <v>661</v>
      </c>
      <c r="AN1115" s="43" t="s">
        <v>657</v>
      </c>
      <c r="AO1115" s="43" t="s">
        <v>476</v>
      </c>
      <c r="AP1115" s="43" t="s">
        <v>822</v>
      </c>
      <c r="AQ1115" s="43" t="s">
        <v>476</v>
      </c>
      <c r="AR1115" s="43" t="s">
        <v>822</v>
      </c>
      <c r="AS1115" s="43" t="s">
        <v>137</v>
      </c>
      <c r="AT1115" s="32"/>
      <c r="AU1115" s="32"/>
      <c r="XEY1115" s="27"/>
      <c r="XEZ1115" s="27"/>
      <c r="XFA1115" s="27"/>
      <c r="XFB1115" s="27"/>
      <c r="XFC1115" s="27"/>
      <c r="XFD1115" s="27"/>
    </row>
    <row r="1116" s="42" customFormat="true" ht="14.15" hidden="false" customHeight="true" outlineLevel="0" collapsed="false">
      <c r="A1116" s="28" t="s">
        <v>6836</v>
      </c>
      <c r="B1116" s="29" t="s">
        <v>6837</v>
      </c>
      <c r="C1116" s="29" t="s">
        <v>6838</v>
      </c>
      <c r="D1116" s="30" t="s">
        <v>50</v>
      </c>
      <c r="E1116" s="30" t="s">
        <v>386</v>
      </c>
      <c r="F1116" s="32" t="n">
        <v>59</v>
      </c>
      <c r="G1116" s="31"/>
      <c r="H1116" s="31" t="n">
        <v>1</v>
      </c>
      <c r="I1116" s="31" t="s">
        <v>197</v>
      </c>
      <c r="J1116" s="29"/>
      <c r="K1116" s="29" t="s">
        <v>6839</v>
      </c>
      <c r="L1116" s="32" t="n">
        <v>45</v>
      </c>
      <c r="M1116" s="33" t="s">
        <v>6840</v>
      </c>
      <c r="N1116" s="34" t="n">
        <v>75017</v>
      </c>
      <c r="O1116" s="35" t="s">
        <v>55</v>
      </c>
      <c r="P1116" s="36" t="s">
        <v>6841</v>
      </c>
      <c r="Q1116" s="36" t="n">
        <v>2</v>
      </c>
      <c r="R1116" s="32" t="n">
        <v>214</v>
      </c>
      <c r="S1116" s="32" t="n">
        <v>1</v>
      </c>
      <c r="T1116" s="32"/>
      <c r="U1116" s="32"/>
      <c r="V1116" s="37"/>
      <c r="W1116" s="32"/>
      <c r="X1116" s="34"/>
      <c r="Y1116" s="34"/>
      <c r="Z1116" s="32"/>
      <c r="AA1116" s="32" t="s">
        <v>6842</v>
      </c>
      <c r="AB1116" s="32"/>
      <c r="AC1116" s="38" t="str">
        <f aca="false">HYPERLINK("https://biocodex6--c.vf.force.com/0014L00000KFjxXQAT", "JERUZALSKA SAMY")</f>
        <v>JERUZALSKA SAMY</v>
      </c>
      <c r="AD1116" s="38"/>
      <c r="AE1116" s="39"/>
      <c r="AF1116" s="40"/>
      <c r="AG1116" s="41"/>
      <c r="AH1116" s="32"/>
      <c r="AI1116" s="32"/>
      <c r="AL1116" s="32"/>
      <c r="AM1116" s="32"/>
      <c r="AN1116" s="32"/>
      <c r="AO1116" s="32"/>
      <c r="AP1116" s="32"/>
      <c r="AQ1116" s="32"/>
      <c r="AR1116" s="32"/>
      <c r="AS1116" s="32"/>
      <c r="AT1116" s="32"/>
      <c r="AU1116" s="32"/>
      <c r="XEY1116" s="27"/>
      <c r="XEZ1116" s="27"/>
      <c r="XFA1116" s="27"/>
      <c r="XFB1116" s="27"/>
      <c r="XFC1116" s="27"/>
      <c r="XFD1116" s="27"/>
    </row>
    <row r="1117" s="42" customFormat="true" ht="14.15" hidden="false" customHeight="true" outlineLevel="0" collapsed="false">
      <c r="A1117" s="28" t="s">
        <v>6843</v>
      </c>
      <c r="B1117" s="29" t="s">
        <v>6844</v>
      </c>
      <c r="C1117" s="29" t="s">
        <v>6845</v>
      </c>
      <c r="D1117" s="30" t="s">
        <v>50</v>
      </c>
      <c r="E1117" s="30" t="s">
        <v>255</v>
      </c>
      <c r="F1117" s="32" t="n">
        <v>63</v>
      </c>
      <c r="G1117" s="31"/>
      <c r="H1117" s="31" t="n">
        <v>1</v>
      </c>
      <c r="I1117" s="31" t="s">
        <v>173</v>
      </c>
      <c r="J1117" s="29" t="s">
        <v>1331</v>
      </c>
      <c r="K1117" s="29" t="s">
        <v>1332</v>
      </c>
      <c r="L1117" s="32" t="n">
        <v>23</v>
      </c>
      <c r="M1117" s="33" t="s">
        <v>1333</v>
      </c>
      <c r="N1117" s="34" t="n">
        <v>75016</v>
      </c>
      <c r="O1117" s="35" t="s">
        <v>55</v>
      </c>
      <c r="P1117" s="36"/>
      <c r="Q1117" s="36" t="n">
        <v>3</v>
      </c>
      <c r="R1117" s="32" t="n">
        <v>214</v>
      </c>
      <c r="S1117" s="32" t="n">
        <v>1</v>
      </c>
      <c r="T1117" s="32"/>
      <c r="U1117" s="32"/>
      <c r="V1117" s="37"/>
      <c r="W1117" s="32"/>
      <c r="X1117" s="34"/>
      <c r="Y1117" s="34"/>
      <c r="Z1117" s="36"/>
      <c r="AA1117" s="32" t="s">
        <v>6846</v>
      </c>
      <c r="AB1117" s="32"/>
      <c r="AC1117" s="38" t="str">
        <f aca="false">HYPERLINK("https://biocodex6--c.vf.force.com/0014L00000KFtGkQAL", "MUSAT ANGELA")</f>
        <v>MUSAT ANGELA</v>
      </c>
      <c r="AD1117" s="38"/>
      <c r="AE1117" s="39"/>
      <c r="AF1117" s="40"/>
      <c r="AG1117" s="41"/>
      <c r="AH1117" s="32" t="s">
        <v>179</v>
      </c>
      <c r="AI1117" s="32"/>
      <c r="AL1117" s="32"/>
      <c r="AM1117" s="32"/>
      <c r="AN1117" s="32"/>
      <c r="AO1117" s="32"/>
      <c r="AP1117" s="32"/>
      <c r="AQ1117" s="32"/>
      <c r="AR1117" s="32"/>
      <c r="AS1117" s="32"/>
      <c r="AT1117" s="32"/>
      <c r="AU1117" s="32"/>
      <c r="XEY1117" s="27"/>
      <c r="XEZ1117" s="27"/>
      <c r="XFA1117" s="27"/>
      <c r="XFB1117" s="27"/>
      <c r="XFC1117" s="27"/>
      <c r="XFD1117" s="27"/>
    </row>
    <row r="1118" s="42" customFormat="true" ht="14.15" hidden="false" customHeight="true" outlineLevel="0" collapsed="false">
      <c r="A1118" s="28" t="s">
        <v>6847</v>
      </c>
      <c r="B1118" s="29" t="s">
        <v>4227</v>
      </c>
      <c r="C1118" s="29" t="s">
        <v>6848</v>
      </c>
      <c r="D1118" s="30" t="s">
        <v>50</v>
      </c>
      <c r="E1118" s="31"/>
      <c r="F1118" s="32" t="n">
        <v>36</v>
      </c>
      <c r="G1118" s="31" t="s">
        <v>98</v>
      </c>
      <c r="H1118" s="31" t="n">
        <v>1</v>
      </c>
      <c r="I1118" s="31" t="s">
        <v>295</v>
      </c>
      <c r="J1118" s="29"/>
      <c r="K1118" s="29" t="s">
        <v>1425</v>
      </c>
      <c r="L1118" s="32" t="n">
        <v>9</v>
      </c>
      <c r="M1118" s="33" t="s">
        <v>1426</v>
      </c>
      <c r="N1118" s="34" t="n">
        <v>92300</v>
      </c>
      <c r="O1118" s="35" t="s">
        <v>298</v>
      </c>
      <c r="P1118" s="36"/>
      <c r="Q1118" s="36" t="n">
        <v>4</v>
      </c>
      <c r="R1118" s="32" t="n">
        <v>213</v>
      </c>
      <c r="S1118" s="32" t="n">
        <v>1</v>
      </c>
      <c r="T1118" s="32"/>
      <c r="U1118" s="32"/>
      <c r="V1118" s="37"/>
      <c r="W1118" s="32"/>
      <c r="X1118" s="34"/>
      <c r="Y1118" s="34"/>
      <c r="Z1118" s="36"/>
      <c r="AA1118" s="32" t="s">
        <v>6849</v>
      </c>
      <c r="AB1118" s="32" t="s">
        <v>6850</v>
      </c>
      <c r="AC1118" s="38" t="str">
        <f aca="false">HYPERLINK("https://biocodex6--c.vf.force.com/0014L00000KG9U4QAL", "DAGOUAT JEAN BAPTISTE")</f>
        <v>DAGOUAT JEAN BAPTISTE</v>
      </c>
      <c r="AD1118" s="38" t="str">
        <f aca="false">HYPERLINK("https://annuairesante.ameli.fr/professionnels-de-sante/recherche/fiche-detaillee-CbA1kjE3OTG3.html", "DAGOUAT JEAN BAPTISTE")</f>
        <v>DAGOUAT JEAN BAPTISTE</v>
      </c>
      <c r="AE1118" s="39" t="n">
        <v>45198.4791666667</v>
      </c>
      <c r="AF1118" s="40"/>
      <c r="AG1118" s="41"/>
      <c r="AH1118" s="32" t="s">
        <v>179</v>
      </c>
      <c r="AI1118" s="32"/>
      <c r="AL1118" s="43" t="s">
        <v>657</v>
      </c>
      <c r="AM1118" s="43" t="s">
        <v>1443</v>
      </c>
      <c r="AN1118" s="43" t="s">
        <v>657</v>
      </c>
      <c r="AO1118" s="43" t="s">
        <v>1443</v>
      </c>
      <c r="AP1118" s="43" t="s">
        <v>657</v>
      </c>
      <c r="AQ1118" s="43" t="s">
        <v>1443</v>
      </c>
      <c r="AR1118" s="43" t="s">
        <v>657</v>
      </c>
      <c r="AS1118" s="43" t="s">
        <v>1443</v>
      </c>
      <c r="AT1118" s="32"/>
      <c r="AU1118" s="32"/>
      <c r="XEY1118" s="27"/>
      <c r="XEZ1118" s="27"/>
      <c r="XFA1118" s="27"/>
      <c r="XFB1118" s="27"/>
      <c r="XFC1118" s="27"/>
      <c r="XFD1118" s="27"/>
    </row>
    <row r="1119" s="42" customFormat="true" ht="14.15" hidden="false" customHeight="true" outlineLevel="0" collapsed="false">
      <c r="A1119" s="28" t="s">
        <v>6851</v>
      </c>
      <c r="B1119" s="29" t="s">
        <v>1777</v>
      </c>
      <c r="C1119" s="29" t="s">
        <v>6852</v>
      </c>
      <c r="D1119" s="30" t="s">
        <v>50</v>
      </c>
      <c r="E1119" s="31"/>
      <c r="F1119" s="32" t="n">
        <v>0</v>
      </c>
      <c r="G1119" s="31" t="s">
        <v>98</v>
      </c>
      <c r="H1119" s="31" t="n">
        <v>1</v>
      </c>
      <c r="I1119" s="31" t="s">
        <v>51</v>
      </c>
      <c r="J1119" s="29"/>
      <c r="K1119" s="29" t="s">
        <v>6853</v>
      </c>
      <c r="L1119" s="32" t="n">
        <v>136</v>
      </c>
      <c r="M1119" s="33" t="s">
        <v>852</v>
      </c>
      <c r="N1119" s="34" t="n">
        <v>75015</v>
      </c>
      <c r="O1119" s="35" t="s">
        <v>55</v>
      </c>
      <c r="P1119" s="36" t="s">
        <v>6854</v>
      </c>
      <c r="Q1119" s="36" t="n">
        <v>1</v>
      </c>
      <c r="R1119" s="32" t="n">
        <v>213</v>
      </c>
      <c r="S1119" s="32" t="n">
        <v>1</v>
      </c>
      <c r="T1119" s="32"/>
      <c r="U1119" s="32"/>
      <c r="V1119" s="37"/>
      <c r="W1119" s="32"/>
      <c r="X1119" s="34"/>
      <c r="Y1119" s="34"/>
      <c r="Z1119" s="36"/>
      <c r="AA1119" s="32" t="s">
        <v>6855</v>
      </c>
      <c r="AB1119" s="32" t="s">
        <v>6856</v>
      </c>
      <c r="AC1119" s="38" t="str">
        <f aca="false">HYPERLINK("https://biocodex6--c.vf.force.com/0014L00000KFoTuQAL", "LARSEN VALERIE")</f>
        <v>LARSEN VALERIE</v>
      </c>
      <c r="AD1119" s="38" t="str">
        <f aca="false">HYPERLINK("https://annuairesante.ameli.fr/professionnels-de-sante/recherche/fiche-detaillee-B7c1mzY2Mjey.html", "LARSEN VALERIE")</f>
        <v>LARSEN VALERIE</v>
      </c>
      <c r="AE1119" s="39"/>
      <c r="AF1119" s="40"/>
      <c r="AG1119" s="41"/>
      <c r="AH1119" s="32" t="s">
        <v>179</v>
      </c>
      <c r="AI1119" s="32"/>
      <c r="AL1119" s="43" t="s">
        <v>3470</v>
      </c>
      <c r="AM1119" s="32"/>
      <c r="AN1119" s="32"/>
      <c r="AO1119" s="32"/>
      <c r="AP1119" s="32"/>
      <c r="AQ1119" s="32"/>
      <c r="AR1119" s="43" t="s">
        <v>822</v>
      </c>
      <c r="AS1119" s="43" t="s">
        <v>126</v>
      </c>
      <c r="AT1119" s="43" t="s">
        <v>822</v>
      </c>
      <c r="AU1119" s="43" t="s">
        <v>126</v>
      </c>
      <c r="XEY1119" s="27"/>
      <c r="XEZ1119" s="27"/>
      <c r="XFA1119" s="27"/>
      <c r="XFB1119" s="27"/>
      <c r="XFC1119" s="27"/>
      <c r="XFD1119" s="27"/>
    </row>
    <row r="1120" s="42" customFormat="true" ht="14.15" hidden="false" customHeight="true" outlineLevel="0" collapsed="false">
      <c r="A1120" s="28" t="s">
        <v>6857</v>
      </c>
      <c r="B1120" s="29" t="s">
        <v>3846</v>
      </c>
      <c r="C1120" s="29" t="s">
        <v>6858</v>
      </c>
      <c r="D1120" s="30" t="s">
        <v>244</v>
      </c>
      <c r="E1120" s="30" t="s">
        <v>245</v>
      </c>
      <c r="F1120" s="32" t="n">
        <v>47</v>
      </c>
      <c r="G1120" s="31" t="s">
        <v>215</v>
      </c>
      <c r="H1120" s="31" t="n">
        <v>3</v>
      </c>
      <c r="I1120" s="31" t="s">
        <v>62</v>
      </c>
      <c r="J1120" s="29"/>
      <c r="K1120" s="29" t="s">
        <v>6324</v>
      </c>
      <c r="L1120" s="32" t="n">
        <v>21</v>
      </c>
      <c r="M1120" s="33" t="s">
        <v>6325</v>
      </c>
      <c r="N1120" s="34" t="n">
        <v>75017</v>
      </c>
      <c r="O1120" s="35" t="s">
        <v>55</v>
      </c>
      <c r="P1120" s="36" t="s">
        <v>6559</v>
      </c>
      <c r="Q1120" s="36" t="n">
        <v>4</v>
      </c>
      <c r="R1120" s="32" t="n">
        <v>213</v>
      </c>
      <c r="S1120" s="32" t="n">
        <v>1</v>
      </c>
      <c r="T1120" s="32"/>
      <c r="U1120" s="32"/>
      <c r="V1120" s="37"/>
      <c r="W1120" s="32"/>
      <c r="X1120" s="34"/>
      <c r="Y1120" s="34"/>
      <c r="Z1120" s="36"/>
      <c r="AA1120" s="32" t="s">
        <v>6859</v>
      </c>
      <c r="AB1120" s="32" t="s">
        <v>6860</v>
      </c>
      <c r="AC1120" s="38" t="str">
        <f aca="false">HYPERLINK("https://biocodex6--c.vf.force.com/0014L00000KFbeBQAT", "FRIEDERICH LUDOVIC")</f>
        <v>FRIEDERICH LUDOVIC</v>
      </c>
      <c r="AD1120" s="38" t="str">
        <f aca="false">HYPERLINK("https://annuairesante.ameli.fr/professionnels-de-sante/recherche/fiche-detaillee-B7c1mzYwNjS1.html", "FRIEDERICH LUDOVIC")</f>
        <v>FRIEDERICH LUDOVIC</v>
      </c>
      <c r="AE1120" s="39"/>
      <c r="AF1120" s="40"/>
      <c r="AG1120" s="41"/>
      <c r="AH1120" s="32" t="s">
        <v>179</v>
      </c>
      <c r="AI1120" s="32"/>
      <c r="AL1120" s="32"/>
      <c r="AM1120" s="32"/>
      <c r="AN1120" s="32"/>
      <c r="AO1120" s="32"/>
      <c r="AP1120" s="32"/>
      <c r="AQ1120" s="32"/>
      <c r="AR1120" s="32"/>
      <c r="AS1120" s="32"/>
      <c r="AT1120" s="32"/>
      <c r="AU1120" s="32"/>
      <c r="XEY1120" s="27"/>
      <c r="XEZ1120" s="27"/>
      <c r="XFA1120" s="27"/>
      <c r="XFB1120" s="27"/>
      <c r="XFC1120" s="27"/>
      <c r="XFD1120" s="27"/>
    </row>
    <row r="1121" s="42" customFormat="true" ht="14.15" hidden="false" customHeight="true" outlineLevel="0" collapsed="false">
      <c r="A1121" s="28" t="s">
        <v>6861</v>
      </c>
      <c r="B1121" s="29" t="s">
        <v>494</v>
      </c>
      <c r="C1121" s="29" t="s">
        <v>6862</v>
      </c>
      <c r="D1121" s="30" t="s">
        <v>50</v>
      </c>
      <c r="E1121" s="31"/>
      <c r="F1121" s="32" t="n">
        <v>67</v>
      </c>
      <c r="G1121" s="31" t="s">
        <v>61</v>
      </c>
      <c r="H1121" s="31" t="n">
        <v>1</v>
      </c>
      <c r="I1121" s="31" t="s">
        <v>197</v>
      </c>
      <c r="J1121" s="29"/>
      <c r="K1121" s="29" t="s">
        <v>4229</v>
      </c>
      <c r="L1121" s="32" t="n">
        <v>218</v>
      </c>
      <c r="M1121" s="33" t="s">
        <v>4230</v>
      </c>
      <c r="N1121" s="34" t="n">
        <v>75017</v>
      </c>
      <c r="O1121" s="35" t="s">
        <v>55</v>
      </c>
      <c r="P1121" s="36" t="s">
        <v>4231</v>
      </c>
      <c r="Q1121" s="36" t="n">
        <v>2</v>
      </c>
      <c r="R1121" s="32" t="n">
        <v>213</v>
      </c>
      <c r="S1121" s="32" t="n">
        <v>1</v>
      </c>
      <c r="T1121" s="32"/>
      <c r="U1121" s="32"/>
      <c r="V1121" s="37"/>
      <c r="W1121" s="32"/>
      <c r="X1121" s="34"/>
      <c r="Y1121" s="34"/>
      <c r="Z1121" s="36"/>
      <c r="AA1121" s="32" t="s">
        <v>6863</v>
      </c>
      <c r="AB1121" s="32" t="s">
        <v>6864</v>
      </c>
      <c r="AC1121" s="38" t="str">
        <f aca="false">HYPERLINK("https://biocodex6--c.vf.force.com/0014L00000KFtRyQAL", "NEMES GABRIEL")</f>
        <v>NEMES GABRIEL</v>
      </c>
      <c r="AD1121" s="38" t="str">
        <f aca="false">HYPERLINK("https://annuairesante.ameli.fr/professionnels-de-sante/recherche/fiche-detaillee-B7c1ljc1MTaz.html", "NEMES GABRIEL")</f>
        <v>NEMES GABRIEL</v>
      </c>
      <c r="AE1121" s="39"/>
      <c r="AF1121" s="40"/>
      <c r="AG1121" s="41"/>
      <c r="AH1121" s="32" t="s">
        <v>179</v>
      </c>
      <c r="AI1121" s="32"/>
      <c r="AL1121" s="32"/>
      <c r="AM1121" s="32"/>
      <c r="AN1121" s="32"/>
      <c r="AO1121" s="32"/>
      <c r="AP1121" s="32"/>
      <c r="AQ1121" s="32"/>
      <c r="AR1121" s="32"/>
      <c r="AS1121" s="32"/>
      <c r="AT1121" s="32"/>
      <c r="AU1121" s="32"/>
      <c r="XEY1121" s="27"/>
      <c r="XEZ1121" s="27"/>
      <c r="XFA1121" s="27"/>
      <c r="XFB1121" s="27"/>
      <c r="XFC1121" s="27"/>
      <c r="XFD1121" s="27"/>
    </row>
    <row r="1122" s="42" customFormat="true" ht="14.15" hidden="false" customHeight="true" outlineLevel="0" collapsed="false">
      <c r="A1122" s="28" t="s">
        <v>3102</v>
      </c>
      <c r="B1122" s="29" t="s">
        <v>1534</v>
      </c>
      <c r="C1122" s="29" t="s">
        <v>6865</v>
      </c>
      <c r="D1122" s="30" t="s">
        <v>244</v>
      </c>
      <c r="E1122" s="30" t="s">
        <v>245</v>
      </c>
      <c r="F1122" s="32" t="n">
        <v>75</v>
      </c>
      <c r="G1122" s="31" t="s">
        <v>215</v>
      </c>
      <c r="H1122" s="31" t="n">
        <v>1</v>
      </c>
      <c r="I1122" s="31" t="s">
        <v>173</v>
      </c>
      <c r="J1122" s="29"/>
      <c r="K1122" s="29" t="s">
        <v>3104</v>
      </c>
      <c r="L1122" s="32" t="n">
        <v>3</v>
      </c>
      <c r="M1122" s="33" t="s">
        <v>3105</v>
      </c>
      <c r="N1122" s="34" t="n">
        <v>75016</v>
      </c>
      <c r="O1122" s="35" t="s">
        <v>55</v>
      </c>
      <c r="P1122" s="36" t="s">
        <v>6866</v>
      </c>
      <c r="Q1122" s="36" t="n">
        <v>3</v>
      </c>
      <c r="R1122" s="32" t="n">
        <v>213</v>
      </c>
      <c r="S1122" s="32" t="n">
        <v>1</v>
      </c>
      <c r="T1122" s="32"/>
      <c r="U1122" s="32"/>
      <c r="V1122" s="37"/>
      <c r="W1122" s="32"/>
      <c r="X1122" s="34"/>
      <c r="Y1122" s="34"/>
      <c r="Z1122" s="36"/>
      <c r="AA1122" s="32" t="s">
        <v>6867</v>
      </c>
      <c r="AB1122" s="32" t="s">
        <v>6868</v>
      </c>
      <c r="AC1122" s="38" t="str">
        <f aca="false">HYPERLINK("https://biocodex6--c.vf.force.com/0014L00000KG0CMQA1", "SALAMA GERARD")</f>
        <v>SALAMA GERARD</v>
      </c>
      <c r="AD1122" s="38" t="str">
        <f aca="false">HYPERLINK("https://annuairesante.ameli.fr/professionnels-de-sante/recherche/fiche-detaillee-B7c1kTI0MDCy.html", "SALAMA GERARD")</f>
        <v>SALAMA GERARD</v>
      </c>
      <c r="AE1122" s="39"/>
      <c r="AF1122" s="40"/>
      <c r="AG1122" s="41"/>
      <c r="AH1122" s="32" t="s">
        <v>179</v>
      </c>
      <c r="AI1122" s="32"/>
      <c r="AL1122" s="32"/>
      <c r="AM1122" s="32"/>
      <c r="AN1122" s="32"/>
      <c r="AO1122" s="32"/>
      <c r="AP1122" s="32"/>
      <c r="AQ1122" s="32"/>
      <c r="AR1122" s="32"/>
      <c r="AS1122" s="32"/>
      <c r="AT1122" s="32"/>
      <c r="AU1122" s="32"/>
      <c r="XEY1122" s="27"/>
      <c r="XEZ1122" s="27"/>
      <c r="XFA1122" s="27"/>
      <c r="XFB1122" s="27"/>
      <c r="XFC1122" s="27"/>
      <c r="XFD1122" s="27"/>
    </row>
    <row r="1123" s="42" customFormat="true" ht="14.15" hidden="false" customHeight="true" outlineLevel="0" collapsed="false">
      <c r="A1123" s="28" t="s">
        <v>6869</v>
      </c>
      <c r="B1123" s="29" t="s">
        <v>231</v>
      </c>
      <c r="C1123" s="29" t="s">
        <v>6870</v>
      </c>
      <c r="D1123" s="30" t="s">
        <v>50</v>
      </c>
      <c r="E1123" s="30" t="s">
        <v>421</v>
      </c>
      <c r="F1123" s="32" t="n">
        <v>73</v>
      </c>
      <c r="G1123" s="31"/>
      <c r="H1123" s="31" t="n">
        <v>1</v>
      </c>
      <c r="I1123" s="31" t="s">
        <v>173</v>
      </c>
      <c r="J1123" s="29" t="s">
        <v>1986</v>
      </c>
      <c r="K1123" s="29" t="s">
        <v>1987</v>
      </c>
      <c r="L1123" s="32" t="n">
        <v>76</v>
      </c>
      <c r="M1123" s="33" t="s">
        <v>1988</v>
      </c>
      <c r="N1123" s="34" t="n">
        <v>75016</v>
      </c>
      <c r="O1123" s="35" t="s">
        <v>55</v>
      </c>
      <c r="P1123" s="36"/>
      <c r="Q1123" s="36" t="n">
        <v>5</v>
      </c>
      <c r="R1123" s="32" t="n">
        <v>213</v>
      </c>
      <c r="S1123" s="32" t="n">
        <v>1</v>
      </c>
      <c r="T1123" s="32"/>
      <c r="U1123" s="32"/>
      <c r="V1123" s="37"/>
      <c r="W1123" s="32"/>
      <c r="X1123" s="34"/>
      <c r="Y1123" s="34"/>
      <c r="Z1123" s="36"/>
      <c r="AA1123" s="32" t="s">
        <v>6871</v>
      </c>
      <c r="AB1123" s="32"/>
      <c r="AC1123" s="38" t="str">
        <f aca="false">HYPERLINK("https://biocodex6--c.vf.force.com/0014L00000KFsXKQA1", "MOGA ANNE")</f>
        <v>MOGA ANNE</v>
      </c>
      <c r="AD1123" s="38"/>
      <c r="AE1123" s="39"/>
      <c r="AF1123" s="40"/>
      <c r="AG1123" s="41"/>
      <c r="AH1123" s="32" t="s">
        <v>179</v>
      </c>
      <c r="AI1123" s="32"/>
      <c r="AL1123" s="32"/>
      <c r="AM1123" s="32"/>
      <c r="AN1123" s="32"/>
      <c r="AO1123" s="32"/>
      <c r="AP1123" s="32"/>
      <c r="AQ1123" s="32"/>
      <c r="AR1123" s="32"/>
      <c r="AS1123" s="32"/>
      <c r="AT1123" s="32"/>
      <c r="AU1123" s="32"/>
      <c r="XEY1123" s="27"/>
      <c r="XEZ1123" s="27"/>
      <c r="XFA1123" s="27"/>
      <c r="XFB1123" s="27"/>
      <c r="XFC1123" s="27"/>
      <c r="XFD1123" s="27"/>
    </row>
    <row r="1124" s="42" customFormat="true" ht="14.15" hidden="false" customHeight="true" outlineLevel="0" collapsed="false">
      <c r="A1124" s="28" t="s">
        <v>6872</v>
      </c>
      <c r="B1124" s="29" t="s">
        <v>3281</v>
      </c>
      <c r="C1124" s="29" t="s">
        <v>6873</v>
      </c>
      <c r="D1124" s="30" t="s">
        <v>50</v>
      </c>
      <c r="E1124" s="31"/>
      <c r="F1124" s="32" t="n">
        <v>36</v>
      </c>
      <c r="G1124" s="31" t="s">
        <v>98</v>
      </c>
      <c r="H1124" s="31" t="n">
        <v>1</v>
      </c>
      <c r="I1124" s="31" t="s">
        <v>233</v>
      </c>
      <c r="J1124" s="29"/>
      <c r="K1124" s="29" t="s">
        <v>3194</v>
      </c>
      <c r="L1124" s="32" t="n">
        <v>12</v>
      </c>
      <c r="M1124" s="33" t="s">
        <v>3195</v>
      </c>
      <c r="N1124" s="34" t="n">
        <v>75015</v>
      </c>
      <c r="O1124" s="35" t="s">
        <v>55</v>
      </c>
      <c r="P1124" s="36" t="s">
        <v>3196</v>
      </c>
      <c r="Q1124" s="36" t="n">
        <v>3</v>
      </c>
      <c r="R1124" s="32" t="n">
        <v>213</v>
      </c>
      <c r="S1124" s="32" t="n">
        <v>1</v>
      </c>
      <c r="T1124" s="32"/>
      <c r="U1124" s="32"/>
      <c r="V1124" s="37"/>
      <c r="W1124" s="32"/>
      <c r="X1124" s="34"/>
      <c r="Y1124" s="34"/>
      <c r="Z1124" s="36"/>
      <c r="AA1124" s="32" t="s">
        <v>6874</v>
      </c>
      <c r="AB1124" s="32" t="s">
        <v>6875</v>
      </c>
      <c r="AC1124" s="38" t="str">
        <f aca="false">HYPERLINK("https://biocodex6--c.vf.force.com/0014L00000KG9JEQA1", "POISSON MAXIME")</f>
        <v>POISSON MAXIME</v>
      </c>
      <c r="AD1124" s="38" t="str">
        <f aca="false">HYPERLINK("https://annuairesante.ameli.fr/professionnels-de-sante/recherche/fiche-detaillee-B7c1kjcxMTG7.html", "POISSON MAXIME")</f>
        <v>POISSON MAXIME</v>
      </c>
      <c r="AE1124" s="39"/>
      <c r="AF1124" s="40"/>
      <c r="AG1124" s="41"/>
      <c r="AH1124" s="32" t="s">
        <v>179</v>
      </c>
      <c r="AI1124" s="32"/>
      <c r="AL1124" s="43" t="s">
        <v>657</v>
      </c>
      <c r="AM1124" s="43" t="s">
        <v>1670</v>
      </c>
      <c r="AN1124" s="43" t="s">
        <v>657</v>
      </c>
      <c r="AO1124" s="43" t="s">
        <v>1670</v>
      </c>
      <c r="AP1124" s="43" t="s">
        <v>657</v>
      </c>
      <c r="AQ1124" s="43" t="s">
        <v>1670</v>
      </c>
      <c r="AR1124" s="43" t="s">
        <v>657</v>
      </c>
      <c r="AS1124" s="43" t="s">
        <v>1670</v>
      </c>
      <c r="AT1124" s="43" t="s">
        <v>657</v>
      </c>
      <c r="AU1124" s="43" t="s">
        <v>1670</v>
      </c>
      <c r="XEY1124" s="27"/>
      <c r="XEZ1124" s="27"/>
      <c r="XFA1124" s="27"/>
      <c r="XFB1124" s="27"/>
      <c r="XFC1124" s="27"/>
      <c r="XFD1124" s="27"/>
    </row>
    <row r="1125" s="42" customFormat="true" ht="14.15" hidden="false" customHeight="true" outlineLevel="0" collapsed="false">
      <c r="A1125" s="28" t="s">
        <v>6876</v>
      </c>
      <c r="B1125" s="29" t="s">
        <v>117</v>
      </c>
      <c r="C1125" s="29" t="s">
        <v>6877</v>
      </c>
      <c r="D1125" s="30" t="s">
        <v>50</v>
      </c>
      <c r="E1125" s="30" t="s">
        <v>255</v>
      </c>
      <c r="F1125" s="32" t="n">
        <v>75</v>
      </c>
      <c r="G1125" s="31"/>
      <c r="H1125" s="31" t="n">
        <v>1</v>
      </c>
      <c r="I1125" s="31" t="s">
        <v>119</v>
      </c>
      <c r="J1125" s="29" t="s">
        <v>4143</v>
      </c>
      <c r="K1125" s="29" t="s">
        <v>4144</v>
      </c>
      <c r="L1125" s="32" t="n">
        <v>6</v>
      </c>
      <c r="M1125" s="33" t="s">
        <v>3713</v>
      </c>
      <c r="N1125" s="34" t="n">
        <v>75007</v>
      </c>
      <c r="O1125" s="35" t="s">
        <v>55</v>
      </c>
      <c r="P1125" s="36" t="s">
        <v>6878</v>
      </c>
      <c r="Q1125" s="36" t="n">
        <v>6</v>
      </c>
      <c r="R1125" s="32" t="n">
        <v>212</v>
      </c>
      <c r="S1125" s="32" t="n">
        <v>1</v>
      </c>
      <c r="T1125" s="32"/>
      <c r="U1125" s="32"/>
      <c r="V1125" s="37"/>
      <c r="W1125" s="32"/>
      <c r="X1125" s="34"/>
      <c r="Y1125" s="34"/>
      <c r="Z1125" s="36"/>
      <c r="AA1125" s="32" t="s">
        <v>6879</v>
      </c>
      <c r="AB1125" s="32"/>
      <c r="AC1125" s="38" t="str">
        <f aca="false">HYPERLINK("https://biocodex6--c.vf.force.com/0014L00000KFpplQAD", "MARCHAL DOMINIQUE")</f>
        <v>MARCHAL DOMINIQUE</v>
      </c>
      <c r="AD1125" s="38"/>
      <c r="AE1125" s="39"/>
      <c r="AF1125" s="40"/>
      <c r="AG1125" s="41"/>
      <c r="AH1125" s="32" t="s">
        <v>179</v>
      </c>
      <c r="AI1125" s="32"/>
      <c r="AL1125" s="32"/>
      <c r="AM1125" s="32"/>
      <c r="AN1125" s="32"/>
      <c r="AO1125" s="32"/>
      <c r="AP1125" s="32"/>
      <c r="AQ1125" s="32"/>
      <c r="AR1125" s="32"/>
      <c r="AS1125" s="32"/>
      <c r="AT1125" s="32"/>
      <c r="AU1125" s="32"/>
      <c r="XEY1125" s="27"/>
      <c r="XEZ1125" s="27"/>
      <c r="XFA1125" s="27"/>
      <c r="XFB1125" s="27"/>
      <c r="XFC1125" s="27"/>
      <c r="XFD1125" s="27"/>
    </row>
    <row r="1126" s="42" customFormat="true" ht="14.15" hidden="false" customHeight="true" outlineLevel="0" collapsed="false">
      <c r="A1126" s="28" t="s">
        <v>6880</v>
      </c>
      <c r="B1126" s="29" t="s">
        <v>2880</v>
      </c>
      <c r="C1126" s="29" t="s">
        <v>6881</v>
      </c>
      <c r="D1126" s="30" t="s">
        <v>50</v>
      </c>
      <c r="E1126" s="30" t="s">
        <v>2281</v>
      </c>
      <c r="F1126" s="32" t="n">
        <v>66</v>
      </c>
      <c r="G1126" s="31"/>
      <c r="H1126" s="31" t="n">
        <v>1</v>
      </c>
      <c r="I1126" s="31" t="s">
        <v>119</v>
      </c>
      <c r="J1126" s="29"/>
      <c r="K1126" s="29" t="s">
        <v>6882</v>
      </c>
      <c r="L1126" s="32" t="n">
        <v>7</v>
      </c>
      <c r="M1126" s="33" t="s">
        <v>6883</v>
      </c>
      <c r="N1126" s="34" t="n">
        <v>75007</v>
      </c>
      <c r="O1126" s="35" t="s">
        <v>55</v>
      </c>
      <c r="P1126" s="36"/>
      <c r="Q1126" s="36" t="n">
        <v>1</v>
      </c>
      <c r="R1126" s="32" t="n">
        <v>212</v>
      </c>
      <c r="S1126" s="32" t="n">
        <v>1</v>
      </c>
      <c r="T1126" s="32"/>
      <c r="U1126" s="32"/>
      <c r="V1126" s="37"/>
      <c r="W1126" s="32"/>
      <c r="X1126" s="34"/>
      <c r="Y1126" s="34"/>
      <c r="Z1126" s="36"/>
      <c r="AA1126" s="32" t="s">
        <v>6884</v>
      </c>
      <c r="AB1126" s="32"/>
      <c r="AC1126" s="38" t="str">
        <f aca="false">HYPERLINK("https://biocodex6--c.vf.force.com/0014L00000KFXUSQA5", "CORDIER BRUNO")</f>
        <v>CORDIER BRUNO</v>
      </c>
      <c r="AD1126" s="38"/>
      <c r="AE1126" s="39"/>
      <c r="AF1126" s="40"/>
      <c r="AG1126" s="41"/>
      <c r="AH1126" s="32" t="s">
        <v>179</v>
      </c>
      <c r="AI1126" s="32"/>
      <c r="AL1126" s="32"/>
      <c r="AM1126" s="32"/>
      <c r="AN1126" s="32"/>
      <c r="AO1126" s="32"/>
      <c r="AP1126" s="32"/>
      <c r="AQ1126" s="32"/>
      <c r="AR1126" s="32"/>
      <c r="AS1126" s="32"/>
      <c r="AT1126" s="32"/>
      <c r="AU1126" s="32"/>
      <c r="XEY1126" s="27"/>
      <c r="XEZ1126" s="27"/>
      <c r="XFA1126" s="27"/>
      <c r="XFB1126" s="27"/>
      <c r="XFC1126" s="27"/>
      <c r="XFD1126" s="27"/>
    </row>
    <row r="1127" s="42" customFormat="true" ht="14.15" hidden="false" customHeight="true" outlineLevel="0" collapsed="false">
      <c r="A1127" s="28" t="s">
        <v>6885</v>
      </c>
      <c r="B1127" s="29" t="s">
        <v>204</v>
      </c>
      <c r="C1127" s="29" t="s">
        <v>6886</v>
      </c>
      <c r="D1127" s="30" t="s">
        <v>50</v>
      </c>
      <c r="E1127" s="31"/>
      <c r="F1127" s="32" t="n">
        <v>61</v>
      </c>
      <c r="G1127" s="31"/>
      <c r="H1127" s="31" t="n">
        <v>1</v>
      </c>
      <c r="I1127" s="31" t="s">
        <v>119</v>
      </c>
      <c r="J1127" s="29"/>
      <c r="K1127" s="29" t="s">
        <v>6887</v>
      </c>
      <c r="L1127" s="32" t="n">
        <v>126</v>
      </c>
      <c r="M1127" s="33" t="s">
        <v>2977</v>
      </c>
      <c r="N1127" s="34" t="n">
        <v>75007</v>
      </c>
      <c r="O1127" s="35" t="s">
        <v>55</v>
      </c>
      <c r="P1127" s="36" t="s">
        <v>6888</v>
      </c>
      <c r="Q1127" s="36" t="n">
        <v>1</v>
      </c>
      <c r="R1127" s="32" t="n">
        <v>212</v>
      </c>
      <c r="S1127" s="32" t="n">
        <v>1</v>
      </c>
      <c r="T1127" s="32"/>
      <c r="U1127" s="32"/>
      <c r="V1127" s="37"/>
      <c r="W1127" s="32"/>
      <c r="X1127" s="34"/>
      <c r="Y1127" s="34"/>
      <c r="Z1127" s="36"/>
      <c r="AA1127" s="32" t="s">
        <v>6889</v>
      </c>
      <c r="AB1127" s="32"/>
      <c r="AC1127" s="38" t="str">
        <f aca="false">HYPERLINK("https://biocodex6--c.vf.force.com/0014L00000KFdClQAL", "GUIRAL NATHALIE")</f>
        <v>GUIRAL NATHALIE</v>
      </c>
      <c r="AD1127" s="38"/>
      <c r="AE1127" s="39"/>
      <c r="AF1127" s="40"/>
      <c r="AG1127" s="41"/>
      <c r="AH1127" s="32" t="s">
        <v>179</v>
      </c>
      <c r="AI1127" s="32"/>
      <c r="AL1127" s="32"/>
      <c r="AM1127" s="32"/>
      <c r="AN1127" s="32"/>
      <c r="AO1127" s="32"/>
      <c r="AP1127" s="32"/>
      <c r="AQ1127" s="32"/>
      <c r="AR1127" s="32"/>
      <c r="AS1127" s="32"/>
      <c r="AT1127" s="32"/>
      <c r="AU1127" s="32"/>
      <c r="XEY1127" s="27"/>
      <c r="XEZ1127" s="27"/>
      <c r="XFA1127" s="27"/>
      <c r="XFB1127" s="27"/>
      <c r="XFC1127" s="27"/>
      <c r="XFD1127" s="27"/>
    </row>
    <row r="1128" s="42" customFormat="true" ht="14.15" hidden="false" customHeight="true" outlineLevel="0" collapsed="false">
      <c r="A1128" s="28" t="s">
        <v>6697</v>
      </c>
      <c r="B1128" s="29" t="s">
        <v>6890</v>
      </c>
      <c r="C1128" s="29" t="s">
        <v>6891</v>
      </c>
      <c r="D1128" s="30" t="s">
        <v>50</v>
      </c>
      <c r="E1128" s="30" t="s">
        <v>421</v>
      </c>
      <c r="F1128" s="32" t="n">
        <v>63</v>
      </c>
      <c r="G1128" s="31" t="s">
        <v>98</v>
      </c>
      <c r="H1128" s="31" t="n">
        <v>4</v>
      </c>
      <c r="I1128" s="31" t="s">
        <v>51</v>
      </c>
      <c r="J1128" s="29"/>
      <c r="K1128" s="29" t="s">
        <v>6892</v>
      </c>
      <c r="L1128" s="32" t="n">
        <v>12</v>
      </c>
      <c r="M1128" s="33" t="s">
        <v>2628</v>
      </c>
      <c r="N1128" s="34" t="n">
        <v>75015</v>
      </c>
      <c r="O1128" s="35" t="s">
        <v>55</v>
      </c>
      <c r="P1128" s="36" t="s">
        <v>6893</v>
      </c>
      <c r="Q1128" s="36" t="n">
        <v>1</v>
      </c>
      <c r="R1128" s="32" t="n">
        <v>212</v>
      </c>
      <c r="S1128" s="32" t="n">
        <v>1</v>
      </c>
      <c r="T1128" s="32"/>
      <c r="U1128" s="32"/>
      <c r="V1128" s="37"/>
      <c r="W1128" s="32"/>
      <c r="X1128" s="34"/>
      <c r="Y1128" s="34"/>
      <c r="Z1128" s="36"/>
      <c r="AA1128" s="32" t="s">
        <v>6894</v>
      </c>
      <c r="AB1128" s="32" t="s">
        <v>6895</v>
      </c>
      <c r="AC1128" s="38" t="str">
        <f aca="false">HYPERLINK("https://biocodex6--c.vf.force.com/0014L00000KFu6eQAD", "NGUYEN PHUONG VI")</f>
        <v>NGUYEN PHUONG VI</v>
      </c>
      <c r="AD1128" s="38" t="str">
        <f aca="false">HYPERLINK("https://annuairesante.ameli.fr/professionnels-de-sante/recherche/fiche-detaillee-B7c1ljsxMjKw.html", "NGUYEN PHUONG VI")</f>
        <v>NGUYEN PHUONG VI</v>
      </c>
      <c r="AE1128" s="39"/>
      <c r="AF1128" s="40"/>
      <c r="AG1128" s="41"/>
      <c r="AH1128" s="32" t="s">
        <v>179</v>
      </c>
      <c r="AI1128" s="32"/>
      <c r="AL1128" s="32"/>
      <c r="AM1128" s="32"/>
      <c r="AN1128" s="32"/>
      <c r="AO1128" s="32"/>
      <c r="AP1128" s="32"/>
      <c r="AQ1128" s="32"/>
      <c r="AR1128" s="32"/>
      <c r="AS1128" s="32"/>
      <c r="AT1128" s="32"/>
      <c r="AU1128" s="32"/>
      <c r="XEY1128" s="27"/>
      <c r="XEZ1128" s="27"/>
      <c r="XFA1128" s="27"/>
      <c r="XFB1128" s="27"/>
      <c r="XFC1128" s="27"/>
      <c r="XFD1128" s="27"/>
    </row>
    <row r="1129" s="42" customFormat="true" ht="14.15" hidden="false" customHeight="true" outlineLevel="0" collapsed="false">
      <c r="A1129" s="28" t="s">
        <v>6896</v>
      </c>
      <c r="B1129" s="29" t="s">
        <v>811</v>
      </c>
      <c r="C1129" s="29" t="s">
        <v>6897</v>
      </c>
      <c r="D1129" s="30" t="s">
        <v>50</v>
      </c>
      <c r="E1129" s="31"/>
      <c r="F1129" s="32" t="n">
        <v>49</v>
      </c>
      <c r="G1129" s="31" t="s">
        <v>98</v>
      </c>
      <c r="H1129" s="31" t="n">
        <v>1</v>
      </c>
      <c r="I1129" s="31" t="s">
        <v>51</v>
      </c>
      <c r="J1129" s="29"/>
      <c r="K1129" s="29" t="s">
        <v>6898</v>
      </c>
      <c r="L1129" s="32" t="n">
        <v>285</v>
      </c>
      <c r="M1129" s="33" t="s">
        <v>852</v>
      </c>
      <c r="N1129" s="34" t="n">
        <v>75015</v>
      </c>
      <c r="O1129" s="35" t="s">
        <v>55</v>
      </c>
      <c r="P1129" s="36" t="s">
        <v>6899</v>
      </c>
      <c r="Q1129" s="36" t="n">
        <v>1</v>
      </c>
      <c r="R1129" s="32" t="n">
        <v>212</v>
      </c>
      <c r="S1129" s="32" t="n">
        <v>1</v>
      </c>
      <c r="T1129" s="32"/>
      <c r="U1129" s="32"/>
      <c r="V1129" s="37"/>
      <c r="W1129" s="32"/>
      <c r="X1129" s="34"/>
      <c r="Y1129" s="34"/>
      <c r="Z1129" s="36"/>
      <c r="AA1129" s="32" t="s">
        <v>6900</v>
      </c>
      <c r="AB1129" s="32" t="s">
        <v>6901</v>
      </c>
      <c r="AC1129" s="38" t="str">
        <f aca="false">HYPERLINK("https://biocodex6--c.vf.force.com/0014L00000KFp4JQAT", "LOPEZ VERONIQUE")</f>
        <v>LOPEZ VERONIQUE</v>
      </c>
      <c r="AD1129" s="38" t="str">
        <f aca="false">HYPERLINK("https://annuairesante.ameli.fr/professionnels-de-sante/recherche/fiche-detaillee-B7c1lDQxMjaw.html", "LOPEZ VERONIQUE")</f>
        <v>LOPEZ VERONIQUE</v>
      </c>
      <c r="AE1129" s="39"/>
      <c r="AF1129" s="40"/>
      <c r="AG1129" s="41"/>
      <c r="AH1129" s="32" t="s">
        <v>179</v>
      </c>
      <c r="AI1129" s="32"/>
      <c r="AL1129" s="43" t="s">
        <v>263</v>
      </c>
      <c r="AM1129" s="43" t="s">
        <v>137</v>
      </c>
      <c r="AN1129" s="43" t="s">
        <v>263</v>
      </c>
      <c r="AO1129" s="43" t="s">
        <v>137</v>
      </c>
      <c r="AP1129" s="43" t="s">
        <v>263</v>
      </c>
      <c r="AQ1129" s="43" t="s">
        <v>137</v>
      </c>
      <c r="AR1129" s="43" t="s">
        <v>263</v>
      </c>
      <c r="AS1129" s="43" t="s">
        <v>137</v>
      </c>
      <c r="AT1129" s="43" t="s">
        <v>263</v>
      </c>
      <c r="AU1129" s="43" t="s">
        <v>137</v>
      </c>
      <c r="XEY1129" s="27"/>
      <c r="XEZ1129" s="27"/>
      <c r="XFA1129" s="27"/>
      <c r="XFB1129" s="27"/>
      <c r="XFC1129" s="27"/>
      <c r="XFD1129" s="27"/>
    </row>
    <row r="1130" s="42" customFormat="true" ht="14.15" hidden="false" customHeight="true" outlineLevel="0" collapsed="false">
      <c r="A1130" s="28" t="s">
        <v>6902</v>
      </c>
      <c r="B1130" s="29" t="s">
        <v>6903</v>
      </c>
      <c r="C1130" s="29" t="s">
        <v>6904</v>
      </c>
      <c r="D1130" s="30" t="s">
        <v>50</v>
      </c>
      <c r="E1130" s="30" t="s">
        <v>255</v>
      </c>
      <c r="F1130" s="32" t="n">
        <v>49</v>
      </c>
      <c r="G1130" s="31"/>
      <c r="H1130" s="31" t="n">
        <v>2</v>
      </c>
      <c r="I1130" s="31" t="s">
        <v>197</v>
      </c>
      <c r="J1130" s="29"/>
      <c r="K1130" s="29" t="s">
        <v>6905</v>
      </c>
      <c r="L1130" s="32" t="n">
        <v>11</v>
      </c>
      <c r="M1130" s="33" t="s">
        <v>6906</v>
      </c>
      <c r="N1130" s="34" t="n">
        <v>75017</v>
      </c>
      <c r="O1130" s="35" t="s">
        <v>55</v>
      </c>
      <c r="P1130" s="36" t="s">
        <v>6907</v>
      </c>
      <c r="Q1130" s="36" t="n">
        <v>1</v>
      </c>
      <c r="R1130" s="32" t="n">
        <v>212</v>
      </c>
      <c r="S1130" s="32" t="n">
        <v>1</v>
      </c>
      <c r="T1130" s="32"/>
      <c r="U1130" s="32"/>
      <c r="V1130" s="37"/>
      <c r="W1130" s="32"/>
      <c r="X1130" s="34"/>
      <c r="Y1130" s="34"/>
      <c r="Z1130" s="36"/>
      <c r="AA1130" s="32" t="s">
        <v>6908</v>
      </c>
      <c r="AB1130" s="32"/>
      <c r="AC1130" s="38" t="str">
        <f aca="false">HYPERLINK("https://biocodex6--c.vf.force.com/0014L00000KFheYQAT", "SFAR CHIRAZ")</f>
        <v>SFAR CHIRAZ</v>
      </c>
      <c r="AD1130" s="38"/>
      <c r="AE1130" s="39"/>
      <c r="AF1130" s="40"/>
      <c r="AG1130" s="41"/>
      <c r="AH1130" s="32" t="s">
        <v>179</v>
      </c>
      <c r="AI1130" s="32"/>
      <c r="AL1130" s="32"/>
      <c r="AM1130" s="32"/>
      <c r="AN1130" s="32"/>
      <c r="AO1130" s="32"/>
      <c r="AP1130" s="32"/>
      <c r="AQ1130" s="32"/>
      <c r="AR1130" s="32"/>
      <c r="AS1130" s="32"/>
      <c r="AT1130" s="32"/>
      <c r="AU1130" s="32"/>
      <c r="XEY1130" s="27"/>
      <c r="XEZ1130" s="27"/>
      <c r="XFA1130" s="27"/>
      <c r="XFB1130" s="27"/>
      <c r="XFC1130" s="27"/>
      <c r="XFD1130" s="27"/>
    </row>
    <row r="1131" s="42" customFormat="true" ht="14.15" hidden="false" customHeight="true" outlineLevel="0" collapsed="false">
      <c r="A1131" s="28" t="s">
        <v>6909</v>
      </c>
      <c r="B1131" s="29" t="s">
        <v>6910</v>
      </c>
      <c r="C1131" s="29" t="s">
        <v>6911</v>
      </c>
      <c r="D1131" s="30" t="s">
        <v>50</v>
      </c>
      <c r="E1131" s="31"/>
      <c r="F1131" s="32" t="n">
        <v>47</v>
      </c>
      <c r="G1131" s="31"/>
      <c r="H1131" s="31" t="n">
        <v>3</v>
      </c>
      <c r="I1131" s="31" t="s">
        <v>119</v>
      </c>
      <c r="J1131" s="29"/>
      <c r="K1131" s="29" t="s">
        <v>6912</v>
      </c>
      <c r="L1131" s="32" t="n">
        <v>14</v>
      </c>
      <c r="M1131" s="33" t="s">
        <v>522</v>
      </c>
      <c r="N1131" s="34" t="n">
        <v>75007</v>
      </c>
      <c r="O1131" s="35" t="s">
        <v>55</v>
      </c>
      <c r="P1131" s="36" t="s">
        <v>6913</v>
      </c>
      <c r="Q1131" s="36" t="n">
        <v>1</v>
      </c>
      <c r="R1131" s="32" t="n">
        <v>211</v>
      </c>
      <c r="S1131" s="32" t="n">
        <v>1</v>
      </c>
      <c r="T1131" s="32"/>
      <c r="U1131" s="32"/>
      <c r="V1131" s="37"/>
      <c r="W1131" s="32"/>
      <c r="X1131" s="34"/>
      <c r="Y1131" s="34"/>
      <c r="Z1131" s="36"/>
      <c r="AA1131" s="32" t="s">
        <v>6914</v>
      </c>
      <c r="AB1131" s="32"/>
      <c r="AC1131" s="38" t="str">
        <f aca="false">HYPERLINK("https://biocodex6--c.vf.force.com/0014L00000KFhUeQAL", "JOSSE WILLIAMS")</f>
        <v>JOSSE WILLIAMS</v>
      </c>
      <c r="AD1131" s="38"/>
      <c r="AE1131" s="39"/>
      <c r="AF1131" s="40"/>
      <c r="AG1131" s="41"/>
      <c r="AH1131" s="32" t="s">
        <v>179</v>
      </c>
      <c r="AI1131" s="32"/>
      <c r="AL1131" s="32"/>
      <c r="AM1131" s="32"/>
      <c r="AN1131" s="32"/>
      <c r="AO1131" s="32"/>
      <c r="AP1131" s="32"/>
      <c r="AQ1131" s="32"/>
      <c r="AR1131" s="32"/>
      <c r="AS1131" s="32"/>
      <c r="AT1131" s="32"/>
      <c r="AU1131" s="32"/>
      <c r="XEY1131" s="27"/>
      <c r="XEZ1131" s="27"/>
      <c r="XFA1131" s="27"/>
      <c r="XFB1131" s="27"/>
      <c r="XFC1131" s="27"/>
      <c r="XFD1131" s="27"/>
    </row>
    <row r="1132" s="42" customFormat="true" ht="14.15" hidden="false" customHeight="true" outlineLevel="0" collapsed="false">
      <c r="A1132" s="28" t="s">
        <v>6915</v>
      </c>
      <c r="B1132" s="29" t="s">
        <v>543</v>
      </c>
      <c r="C1132" s="29" t="s">
        <v>6916</v>
      </c>
      <c r="D1132" s="30" t="s">
        <v>50</v>
      </c>
      <c r="E1132" s="30" t="s">
        <v>421</v>
      </c>
      <c r="F1132" s="32" t="n">
        <v>74</v>
      </c>
      <c r="G1132" s="31"/>
      <c r="H1132" s="31" t="n">
        <v>1</v>
      </c>
      <c r="I1132" s="31" t="s">
        <v>51</v>
      </c>
      <c r="J1132" s="29" t="s">
        <v>2010</v>
      </c>
      <c r="K1132" s="29" t="s">
        <v>2011</v>
      </c>
      <c r="L1132" s="32" t="n">
        <v>37</v>
      </c>
      <c r="M1132" s="33" t="s">
        <v>2012</v>
      </c>
      <c r="N1132" s="34" t="n">
        <v>75015</v>
      </c>
      <c r="O1132" s="35" t="s">
        <v>55</v>
      </c>
      <c r="P1132" s="36" t="s">
        <v>2013</v>
      </c>
      <c r="Q1132" s="36" t="n">
        <v>19</v>
      </c>
      <c r="R1132" s="32" t="n">
        <v>210</v>
      </c>
      <c r="S1132" s="32" t="n">
        <v>1</v>
      </c>
      <c r="T1132" s="32"/>
      <c r="U1132" s="32"/>
      <c r="V1132" s="37"/>
      <c r="W1132" s="32"/>
      <c r="X1132" s="34"/>
      <c r="Y1132" s="34"/>
      <c r="Z1132" s="36"/>
      <c r="AA1132" s="32" t="s">
        <v>6917</v>
      </c>
      <c r="AB1132" s="32"/>
      <c r="AC1132" s="38" t="str">
        <f aca="false">HYPERLINK("https://biocodex6--c.vf.force.com/0014L00000KFY4kQAH", "VIVIER DARRAGON CHRISTINE")</f>
        <v>VIVIER DARRAGON CHRISTINE</v>
      </c>
      <c r="AD1132" s="38"/>
      <c r="AE1132" s="39"/>
      <c r="AF1132" s="40"/>
      <c r="AG1132" s="41"/>
      <c r="AH1132" s="32" t="s">
        <v>179</v>
      </c>
      <c r="AI1132" s="32"/>
      <c r="AL1132" s="32"/>
      <c r="AM1132" s="32"/>
      <c r="AN1132" s="32"/>
      <c r="AO1132" s="32"/>
      <c r="AP1132" s="32"/>
      <c r="AQ1132" s="32"/>
      <c r="AR1132" s="32"/>
      <c r="AS1132" s="32"/>
      <c r="AT1132" s="32"/>
      <c r="AU1132" s="32"/>
      <c r="XEY1132" s="27"/>
      <c r="XEZ1132" s="27"/>
      <c r="XFA1132" s="27"/>
      <c r="XFB1132" s="27"/>
      <c r="XFC1132" s="27"/>
      <c r="XFD1132" s="27"/>
    </row>
    <row r="1133" s="42" customFormat="true" ht="14.15" hidden="false" customHeight="true" outlineLevel="0" collapsed="false">
      <c r="A1133" s="28" t="s">
        <v>6918</v>
      </c>
      <c r="B1133" s="29" t="s">
        <v>6919</v>
      </c>
      <c r="C1133" s="29" t="s">
        <v>6920</v>
      </c>
      <c r="D1133" s="30" t="s">
        <v>50</v>
      </c>
      <c r="E1133" s="31"/>
      <c r="F1133" s="32" t="n">
        <v>68</v>
      </c>
      <c r="G1133" s="31" t="s">
        <v>215</v>
      </c>
      <c r="H1133" s="31" t="n">
        <v>1</v>
      </c>
      <c r="I1133" s="31" t="s">
        <v>173</v>
      </c>
      <c r="J1133" s="29"/>
      <c r="K1133" s="29" t="s">
        <v>4398</v>
      </c>
      <c r="L1133" s="32" t="n">
        <v>10</v>
      </c>
      <c r="M1133" s="33" t="s">
        <v>3039</v>
      </c>
      <c r="N1133" s="34" t="n">
        <v>75016</v>
      </c>
      <c r="O1133" s="35" t="s">
        <v>55</v>
      </c>
      <c r="P1133" s="36" t="s">
        <v>6921</v>
      </c>
      <c r="Q1133" s="36" t="n">
        <v>2</v>
      </c>
      <c r="R1133" s="32" t="n">
        <v>210</v>
      </c>
      <c r="S1133" s="32" t="n">
        <v>1</v>
      </c>
      <c r="T1133" s="32"/>
      <c r="U1133" s="32"/>
      <c r="V1133" s="37"/>
      <c r="W1133" s="32"/>
      <c r="X1133" s="34"/>
      <c r="Y1133" s="34"/>
      <c r="Z1133" s="36"/>
      <c r="AA1133" s="32" t="s">
        <v>6922</v>
      </c>
      <c r="AB1133" s="32" t="s">
        <v>6923</v>
      </c>
      <c r="AC1133" s="38" t="str">
        <f aca="false">HYPERLINK("https://biocodex6--c.vf.force.com/0014L00000KG2HcQAL", "SLATTERY FRANCIS")</f>
        <v>SLATTERY FRANCIS</v>
      </c>
      <c r="AD1133" s="38" t="str">
        <f aca="false">HYPERLINK("https://annuairesante.ameli.fr/professionnels-de-sante/recherche/fiche-detaillee-B7c1lTY2Mza0.html", "SLATTERY FRANCIS")</f>
        <v>SLATTERY FRANCIS</v>
      </c>
      <c r="AE1133" s="39"/>
      <c r="AF1133" s="40"/>
      <c r="AG1133" s="41"/>
      <c r="AH1133" s="32" t="s">
        <v>179</v>
      </c>
      <c r="AI1133" s="32"/>
      <c r="AL1133" s="32"/>
      <c r="AM1133" s="32"/>
      <c r="AN1133" s="32"/>
      <c r="AO1133" s="32"/>
      <c r="AP1133" s="32"/>
      <c r="AQ1133" s="32"/>
      <c r="AR1133" s="32"/>
      <c r="AS1133" s="32"/>
      <c r="AT1133" s="32"/>
      <c r="AU1133" s="32"/>
      <c r="XEY1133" s="27"/>
      <c r="XEZ1133" s="27"/>
      <c r="XFA1133" s="27"/>
      <c r="XFB1133" s="27"/>
      <c r="XFC1133" s="27"/>
      <c r="XFD1133" s="27"/>
    </row>
    <row r="1134" s="42" customFormat="true" ht="14.15" hidden="false" customHeight="true" outlineLevel="0" collapsed="false">
      <c r="A1134" s="28" t="s">
        <v>6924</v>
      </c>
      <c r="B1134" s="29" t="s">
        <v>332</v>
      </c>
      <c r="C1134" s="29" t="s">
        <v>6925</v>
      </c>
      <c r="D1134" s="30" t="s">
        <v>244</v>
      </c>
      <c r="E1134" s="30" t="s">
        <v>741</v>
      </c>
      <c r="F1134" s="32" t="n">
        <v>68</v>
      </c>
      <c r="G1134" s="31" t="s">
        <v>215</v>
      </c>
      <c r="H1134" s="31" t="n">
        <v>1</v>
      </c>
      <c r="I1134" s="31" t="s">
        <v>77</v>
      </c>
      <c r="J1134" s="29"/>
      <c r="K1134" s="29" t="s">
        <v>6926</v>
      </c>
      <c r="L1134" s="32" t="n">
        <v>203</v>
      </c>
      <c r="M1134" s="33" t="s">
        <v>379</v>
      </c>
      <c r="N1134" s="34" t="n">
        <v>92200</v>
      </c>
      <c r="O1134" s="35" t="s">
        <v>81</v>
      </c>
      <c r="P1134" s="36" t="s">
        <v>6927</v>
      </c>
      <c r="Q1134" s="36" t="n">
        <v>1</v>
      </c>
      <c r="R1134" s="32" t="n">
        <v>210</v>
      </c>
      <c r="S1134" s="32" t="n">
        <v>1</v>
      </c>
      <c r="T1134" s="32"/>
      <c r="U1134" s="32"/>
      <c r="V1134" s="37"/>
      <c r="W1134" s="32"/>
      <c r="X1134" s="34"/>
      <c r="Y1134" s="34"/>
      <c r="Z1134" s="32" t="s">
        <v>6928</v>
      </c>
      <c r="AA1134" s="32" t="s">
        <v>6929</v>
      </c>
      <c r="AB1134" s="32" t="s">
        <v>6930</v>
      </c>
      <c r="AC1134" s="38" t="str">
        <f aca="false">HYPERLINK("https://biocodex6--c.vf.force.com/0014L00000KFmD9QAL", "LARRE DOUILLARD CATHERINE")</f>
        <v>LARRE DOUILLARD CATHERINE</v>
      </c>
      <c r="AD1134" s="38" t="str">
        <f aca="false">HYPERLINK("https://annuairesante.ameli.fr/professionnels-de-sante/recherche/fiche-detaillee-CbA1kjszODe2.html", "LARRE DOUILLARD CATHERINE")</f>
        <v>LARRE DOUILLARD CATHERINE</v>
      </c>
      <c r="AE1134" s="39"/>
      <c r="AF1134" s="40"/>
      <c r="AG1134" s="41"/>
      <c r="AH1134" s="32"/>
      <c r="AI1134" s="32"/>
      <c r="AL1134" s="32"/>
      <c r="AM1134" s="32"/>
      <c r="AN1134" s="32"/>
      <c r="AO1134" s="32"/>
      <c r="AP1134" s="32"/>
      <c r="AQ1134" s="32"/>
      <c r="AR1134" s="32"/>
      <c r="AS1134" s="32"/>
      <c r="AT1134" s="32"/>
      <c r="AU1134" s="32"/>
      <c r="XEY1134" s="27"/>
      <c r="XEZ1134" s="27"/>
      <c r="XFA1134" s="27"/>
      <c r="XFB1134" s="27"/>
      <c r="XFC1134" s="27"/>
      <c r="XFD1134" s="27"/>
    </row>
    <row r="1135" s="42" customFormat="true" ht="14.15" hidden="false" customHeight="true" outlineLevel="0" collapsed="false">
      <c r="A1135" s="28" t="s">
        <v>6931</v>
      </c>
      <c r="B1135" s="29" t="s">
        <v>6932</v>
      </c>
      <c r="C1135" s="29" t="s">
        <v>6933</v>
      </c>
      <c r="D1135" s="30" t="s">
        <v>244</v>
      </c>
      <c r="E1135" s="30" t="s">
        <v>245</v>
      </c>
      <c r="F1135" s="32" t="n">
        <v>72</v>
      </c>
      <c r="G1135" s="31" t="s">
        <v>215</v>
      </c>
      <c r="H1135" s="31" t="n">
        <v>1</v>
      </c>
      <c r="I1135" s="31" t="s">
        <v>77</v>
      </c>
      <c r="J1135" s="29"/>
      <c r="K1135" s="29" t="s">
        <v>6934</v>
      </c>
      <c r="L1135" s="32" t="n">
        <v>109</v>
      </c>
      <c r="M1135" s="33" t="s">
        <v>379</v>
      </c>
      <c r="N1135" s="34" t="n">
        <v>92200</v>
      </c>
      <c r="O1135" s="35" t="s">
        <v>81</v>
      </c>
      <c r="P1135" s="36" t="s">
        <v>6935</v>
      </c>
      <c r="Q1135" s="36" t="n">
        <v>2</v>
      </c>
      <c r="R1135" s="32" t="n">
        <v>209</v>
      </c>
      <c r="S1135" s="32" t="n">
        <v>1</v>
      </c>
      <c r="T1135" s="32"/>
      <c r="U1135" s="32" t="n">
        <v>3</v>
      </c>
      <c r="V1135" s="37"/>
      <c r="W1135" s="32" t="n">
        <v>3</v>
      </c>
      <c r="X1135" s="34"/>
      <c r="Y1135" s="34" t="n">
        <v>2</v>
      </c>
      <c r="Z1135" s="36"/>
      <c r="AA1135" s="32" t="s">
        <v>6936</v>
      </c>
      <c r="AB1135" s="44" t="s">
        <v>6937</v>
      </c>
      <c r="AC1135" s="38" t="str">
        <f aca="false">HYPERLINK("https://biocodex6--c.vf.force.com/0014L00000KFQoNQAX", "ASSOUS RAYMOND")</f>
        <v>ASSOUS RAYMOND</v>
      </c>
      <c r="AD1135" s="38" t="str">
        <f aca="false">HYPERLINK("https://annuairesante.ameli.fr/professionnels-de-sante/recherche/fiche-detaillee-CbA1kjUzNjqw.html", "ASSOUS RAYMOND")</f>
        <v>ASSOUS RAYMOND</v>
      </c>
      <c r="AE1135" s="39" t="n">
        <v>45352.4583333333</v>
      </c>
      <c r="AF1135" s="40"/>
      <c r="AG1135" s="41"/>
      <c r="AH1135" s="32" t="s">
        <v>3469</v>
      </c>
      <c r="AI1135" s="32"/>
      <c r="AL1135" s="43" t="s">
        <v>639</v>
      </c>
      <c r="AM1135" s="43" t="s">
        <v>126</v>
      </c>
      <c r="AN1135" s="43" t="s">
        <v>639</v>
      </c>
      <c r="AO1135" s="32"/>
      <c r="AP1135" s="32"/>
      <c r="AQ1135" s="32"/>
      <c r="AR1135" s="43" t="s">
        <v>639</v>
      </c>
      <c r="AS1135" s="43" t="s">
        <v>126</v>
      </c>
      <c r="AT1135" s="43" t="s">
        <v>639</v>
      </c>
      <c r="AU1135" s="43" t="s">
        <v>518</v>
      </c>
      <c r="XEY1135" s="27"/>
      <c r="XEZ1135" s="27"/>
      <c r="XFA1135" s="27"/>
      <c r="XFB1135" s="27"/>
      <c r="XFC1135" s="27"/>
      <c r="XFD1135" s="27"/>
    </row>
    <row r="1136" s="42" customFormat="true" ht="14.15" hidden="false" customHeight="true" outlineLevel="0" collapsed="false">
      <c r="A1136" s="28" t="s">
        <v>6938</v>
      </c>
      <c r="B1136" s="29" t="s">
        <v>204</v>
      </c>
      <c r="C1136" s="29" t="s">
        <v>6939</v>
      </c>
      <c r="D1136" s="30" t="s">
        <v>50</v>
      </c>
      <c r="E1136" s="31"/>
      <c r="F1136" s="32" t="n">
        <v>59</v>
      </c>
      <c r="G1136" s="31"/>
      <c r="H1136" s="31" t="n">
        <v>1</v>
      </c>
      <c r="I1136" s="31" t="s">
        <v>51</v>
      </c>
      <c r="J1136" s="29"/>
      <c r="K1136" s="29" t="s">
        <v>6940</v>
      </c>
      <c r="L1136" s="32" t="n">
        <v>10</v>
      </c>
      <c r="M1136" s="33" t="s">
        <v>6941</v>
      </c>
      <c r="N1136" s="34" t="n">
        <v>75015</v>
      </c>
      <c r="O1136" s="35" t="s">
        <v>55</v>
      </c>
      <c r="P1136" s="36" t="s">
        <v>6942</v>
      </c>
      <c r="Q1136" s="36" t="n">
        <v>1</v>
      </c>
      <c r="R1136" s="32" t="n">
        <v>209</v>
      </c>
      <c r="S1136" s="32" t="n">
        <v>1</v>
      </c>
      <c r="T1136" s="32"/>
      <c r="U1136" s="32"/>
      <c r="V1136" s="37"/>
      <c r="W1136" s="32"/>
      <c r="X1136" s="34"/>
      <c r="Y1136" s="34"/>
      <c r="Z1136" s="36"/>
      <c r="AA1136" s="32" t="s">
        <v>6943</v>
      </c>
      <c r="AB1136" s="32"/>
      <c r="AC1136" s="38" t="str">
        <f aca="false">HYPERLINK("https://biocodex6--c.vf.force.com/0014L00000KFvN2QAL", "AUTIER NATHALIE")</f>
        <v>AUTIER NATHALIE</v>
      </c>
      <c r="AD1136" s="38"/>
      <c r="AE1136" s="39"/>
      <c r="AF1136" s="40"/>
      <c r="AG1136" s="41"/>
      <c r="AH1136" s="32" t="s">
        <v>179</v>
      </c>
      <c r="AI1136" s="32"/>
      <c r="AL1136" s="32"/>
      <c r="AM1136" s="32"/>
      <c r="AN1136" s="32"/>
      <c r="AO1136" s="32"/>
      <c r="AP1136" s="32"/>
      <c r="AQ1136" s="32"/>
      <c r="AR1136" s="32"/>
      <c r="AS1136" s="32"/>
      <c r="AT1136" s="32"/>
      <c r="AU1136" s="32"/>
      <c r="XEY1136" s="27"/>
      <c r="XEZ1136" s="27"/>
      <c r="XFA1136" s="27"/>
      <c r="XFB1136" s="27"/>
      <c r="XFC1136" s="27"/>
      <c r="XFD1136" s="27"/>
    </row>
    <row r="1137" s="42" customFormat="true" ht="14.15" hidden="false" customHeight="true" outlineLevel="0" collapsed="false">
      <c r="A1137" s="28" t="s">
        <v>6944</v>
      </c>
      <c r="B1137" s="29" t="s">
        <v>1766</v>
      </c>
      <c r="C1137" s="29" t="s">
        <v>6945</v>
      </c>
      <c r="D1137" s="30" t="s">
        <v>50</v>
      </c>
      <c r="E1137" s="30" t="s">
        <v>6946</v>
      </c>
      <c r="F1137" s="32" t="n">
        <v>61</v>
      </c>
      <c r="G1137" s="31" t="s">
        <v>215</v>
      </c>
      <c r="H1137" s="31" t="n">
        <v>1</v>
      </c>
      <c r="I1137" s="31" t="s">
        <v>173</v>
      </c>
      <c r="J1137" s="29"/>
      <c r="K1137" s="29" t="s">
        <v>6947</v>
      </c>
      <c r="L1137" s="32" t="n">
        <v>17</v>
      </c>
      <c r="M1137" s="33" t="s">
        <v>6948</v>
      </c>
      <c r="N1137" s="34" t="n">
        <v>75016</v>
      </c>
      <c r="O1137" s="35" t="s">
        <v>55</v>
      </c>
      <c r="P1137" s="36" t="s">
        <v>6949</v>
      </c>
      <c r="Q1137" s="36" t="n">
        <v>1</v>
      </c>
      <c r="R1137" s="32" t="n">
        <v>209</v>
      </c>
      <c r="S1137" s="32" t="n">
        <v>1</v>
      </c>
      <c r="T1137" s="32"/>
      <c r="U1137" s="32"/>
      <c r="V1137" s="37"/>
      <c r="W1137" s="32"/>
      <c r="X1137" s="34"/>
      <c r="Y1137" s="34"/>
      <c r="Z1137" s="36"/>
      <c r="AA1137" s="32" t="s">
        <v>6950</v>
      </c>
      <c r="AB1137" s="32" t="s">
        <v>6951</v>
      </c>
      <c r="AC1137" s="38" t="str">
        <f aca="false">HYPERLINK("https://biocodex6--c.vf.force.com/0014L00000KFfG3QAL", "GASTEAU FRANCOIS")</f>
        <v>GASTEAU FRANCOIS</v>
      </c>
      <c r="AD1137" s="38" t="str">
        <f aca="false">HYPERLINK("https://annuairesante.ameli.fr/professionnels-de-sante/recherche/fiche-detaillee-B7c1ljcwMDe3.html", "GASTEAU FRANCOIS")</f>
        <v>GASTEAU FRANCOIS</v>
      </c>
      <c r="AE1137" s="39"/>
      <c r="AF1137" s="40"/>
      <c r="AG1137" s="41"/>
      <c r="AH1137" s="32" t="s">
        <v>179</v>
      </c>
      <c r="AI1137" s="32"/>
      <c r="AL1137" s="32"/>
      <c r="AM1137" s="32"/>
      <c r="AN1137" s="32"/>
      <c r="AO1137" s="32"/>
      <c r="AP1137" s="32"/>
      <c r="AQ1137" s="32"/>
      <c r="AR1137" s="32"/>
      <c r="AS1137" s="32"/>
      <c r="AT1137" s="32"/>
      <c r="AU1137" s="32"/>
      <c r="XEY1137" s="27"/>
      <c r="XEZ1137" s="27"/>
      <c r="XFA1137" s="27"/>
      <c r="XFB1137" s="27"/>
      <c r="XFC1137" s="27"/>
      <c r="XFD1137" s="27"/>
    </row>
    <row r="1138" s="42" customFormat="true" ht="14.15" hidden="false" customHeight="true" outlineLevel="0" collapsed="false">
      <c r="A1138" s="28" t="s">
        <v>6952</v>
      </c>
      <c r="B1138" s="29" t="s">
        <v>6953</v>
      </c>
      <c r="C1138" s="29" t="s">
        <v>6954</v>
      </c>
      <c r="D1138" s="30" t="s">
        <v>50</v>
      </c>
      <c r="E1138" s="30" t="s">
        <v>2281</v>
      </c>
      <c r="F1138" s="32"/>
      <c r="G1138" s="31"/>
      <c r="H1138" s="31" t="n">
        <v>1</v>
      </c>
      <c r="I1138" s="31" t="s">
        <v>77</v>
      </c>
      <c r="J1138" s="29" t="s">
        <v>1528</v>
      </c>
      <c r="K1138" s="29" t="s">
        <v>1529</v>
      </c>
      <c r="L1138" s="32" t="n">
        <v>58</v>
      </c>
      <c r="M1138" s="33" t="s">
        <v>1530</v>
      </c>
      <c r="N1138" s="34" t="n">
        <v>92200</v>
      </c>
      <c r="O1138" s="35" t="s">
        <v>81</v>
      </c>
      <c r="P1138" s="36" t="s">
        <v>1531</v>
      </c>
      <c r="Q1138" s="36" t="n">
        <v>6</v>
      </c>
      <c r="R1138" s="32" t="n">
        <v>208</v>
      </c>
      <c r="S1138" s="32" t="n">
        <v>1</v>
      </c>
      <c r="T1138" s="32"/>
      <c r="U1138" s="32"/>
      <c r="V1138" s="37"/>
      <c r="W1138" s="32"/>
      <c r="X1138" s="34"/>
      <c r="Y1138" s="34"/>
      <c r="Z1138" s="36"/>
      <c r="AA1138" s="32" t="s">
        <v>6955</v>
      </c>
      <c r="AB1138" s="32"/>
      <c r="AC1138" s="38" t="str">
        <f aca="false">HYPERLINK("https://biocodex6--c.vf.force.com/0014L00000KGKVCQA5", "MONSOH LINCOLN")</f>
        <v>MONSOH LINCOLN</v>
      </c>
      <c r="AD1138" s="38"/>
      <c r="AE1138" s="39"/>
      <c r="AF1138" s="40"/>
      <c r="AG1138" s="41"/>
      <c r="AH1138" s="32" t="s">
        <v>179</v>
      </c>
      <c r="AI1138" s="32"/>
      <c r="AL1138" s="32"/>
      <c r="AM1138" s="32"/>
      <c r="AN1138" s="32"/>
      <c r="AO1138" s="32"/>
      <c r="AP1138" s="32"/>
      <c r="AQ1138" s="32"/>
      <c r="AR1138" s="32"/>
      <c r="AS1138" s="32"/>
      <c r="AT1138" s="32"/>
      <c r="AU1138" s="32"/>
      <c r="XEY1138" s="27"/>
      <c r="XEZ1138" s="27"/>
      <c r="XFA1138" s="27"/>
      <c r="XFB1138" s="27"/>
      <c r="XFC1138" s="27"/>
      <c r="XFD1138" s="27"/>
    </row>
    <row r="1139" s="42" customFormat="true" ht="14.15" hidden="false" customHeight="true" outlineLevel="0" collapsed="false">
      <c r="A1139" s="28" t="s">
        <v>6956</v>
      </c>
      <c r="B1139" s="29" t="s">
        <v>690</v>
      </c>
      <c r="C1139" s="29" t="s">
        <v>6957</v>
      </c>
      <c r="D1139" s="30" t="s">
        <v>50</v>
      </c>
      <c r="E1139" s="31"/>
      <c r="F1139" s="32" t="n">
        <v>64</v>
      </c>
      <c r="G1139" s="31" t="s">
        <v>98</v>
      </c>
      <c r="H1139" s="31" t="n">
        <v>1</v>
      </c>
      <c r="I1139" s="31" t="s">
        <v>173</v>
      </c>
      <c r="J1139" s="29"/>
      <c r="K1139" s="29" t="s">
        <v>6958</v>
      </c>
      <c r="L1139" s="32" t="n">
        <v>1</v>
      </c>
      <c r="M1139" s="33" t="s">
        <v>6959</v>
      </c>
      <c r="N1139" s="34" t="n">
        <v>75016</v>
      </c>
      <c r="O1139" s="35" t="s">
        <v>55</v>
      </c>
      <c r="P1139" s="36" t="s">
        <v>6960</v>
      </c>
      <c r="Q1139" s="36" t="n">
        <v>1</v>
      </c>
      <c r="R1139" s="32" t="n">
        <v>206</v>
      </c>
      <c r="S1139" s="32" t="n">
        <v>1</v>
      </c>
      <c r="T1139" s="32"/>
      <c r="U1139" s="32"/>
      <c r="V1139" s="37"/>
      <c r="W1139" s="32"/>
      <c r="X1139" s="34"/>
      <c r="Y1139" s="34"/>
      <c r="Z1139" s="36"/>
      <c r="AA1139" s="32" t="s">
        <v>6961</v>
      </c>
      <c r="AB1139" s="32" t="s">
        <v>6962</v>
      </c>
      <c r="AC1139" s="38" t="str">
        <f aca="false">HYPERLINK("https://biocodex6--c.vf.force.com/0014L00000KFWNRQA5", "CHEFTEL ERIC")</f>
        <v>CHEFTEL ERIC</v>
      </c>
      <c r="AD1139" s="38" t="str">
        <f aca="false">HYPERLINK("https://annuairesante.ameli.fr/professionnels-de-sante/recherche/fiche-detaillee-B7c1lDoyMTSy.html", "CHEFTEL ERIC")</f>
        <v>CHEFTEL ERIC</v>
      </c>
      <c r="AE1139" s="39"/>
      <c r="AF1139" s="40"/>
      <c r="AG1139" s="41"/>
      <c r="AH1139" s="32" t="s">
        <v>179</v>
      </c>
      <c r="AI1139" s="32"/>
      <c r="AL1139" s="43" t="s">
        <v>639</v>
      </c>
      <c r="AM1139" s="43" t="s">
        <v>1443</v>
      </c>
      <c r="AN1139" s="43" t="s">
        <v>639</v>
      </c>
      <c r="AO1139" s="43" t="s">
        <v>1443</v>
      </c>
      <c r="AP1139" s="43" t="s">
        <v>639</v>
      </c>
      <c r="AQ1139" s="43" t="s">
        <v>1443</v>
      </c>
      <c r="AR1139" s="43" t="s">
        <v>639</v>
      </c>
      <c r="AS1139" s="43" t="s">
        <v>1443</v>
      </c>
      <c r="AT1139" s="43" t="s">
        <v>639</v>
      </c>
      <c r="AU1139" s="43" t="s">
        <v>1443</v>
      </c>
      <c r="XEY1139" s="27"/>
      <c r="XEZ1139" s="27"/>
      <c r="XFA1139" s="27"/>
      <c r="XFB1139" s="27"/>
      <c r="XFC1139" s="27"/>
      <c r="XFD1139" s="27"/>
    </row>
    <row r="1140" s="42" customFormat="true" ht="14.15" hidden="false" customHeight="true" outlineLevel="0" collapsed="false">
      <c r="A1140" s="28" t="s">
        <v>6963</v>
      </c>
      <c r="B1140" s="29" t="s">
        <v>6964</v>
      </c>
      <c r="C1140" s="29" t="s">
        <v>6965</v>
      </c>
      <c r="D1140" s="30" t="s">
        <v>75</v>
      </c>
      <c r="E1140" s="30" t="s">
        <v>1176</v>
      </c>
      <c r="F1140" s="32" t="n">
        <v>78</v>
      </c>
      <c r="G1140" s="31" t="s">
        <v>215</v>
      </c>
      <c r="H1140" s="31" t="n">
        <v>1</v>
      </c>
      <c r="I1140" s="31" t="s">
        <v>119</v>
      </c>
      <c r="J1140" s="29"/>
      <c r="K1140" s="29" t="s">
        <v>6966</v>
      </c>
      <c r="L1140" s="32" t="n">
        <v>97</v>
      </c>
      <c r="M1140" s="33" t="s">
        <v>1716</v>
      </c>
      <c r="N1140" s="34" t="n">
        <v>75007</v>
      </c>
      <c r="O1140" s="35" t="s">
        <v>55</v>
      </c>
      <c r="P1140" s="36" t="s">
        <v>6967</v>
      </c>
      <c r="Q1140" s="36" t="n">
        <v>1</v>
      </c>
      <c r="R1140" s="32" t="n">
        <v>205</v>
      </c>
      <c r="S1140" s="32" t="n">
        <v>1</v>
      </c>
      <c r="T1140" s="32"/>
      <c r="U1140" s="32"/>
      <c r="V1140" s="37"/>
      <c r="W1140" s="32"/>
      <c r="X1140" s="34"/>
      <c r="Y1140" s="34"/>
      <c r="Z1140" s="36"/>
      <c r="AA1140" s="32" t="s">
        <v>6968</v>
      </c>
      <c r="AB1140" s="32" t="s">
        <v>6969</v>
      </c>
      <c r="AC1140" s="38" t="str">
        <f aca="false">HYPERLINK("https://biocodex6--c.vf.force.com/0014L00000KG6BaQAL", "ZIELINSKI BEATRICE")</f>
        <v>ZIELINSKI BEATRICE</v>
      </c>
      <c r="AD1140" s="38" t="str">
        <f aca="false">HYPERLINK("https://annuairesante.ameli.fr/professionnels-de-sante/recherche/fiche-detaillee-B7c1kTA1MjC7.html", "ZIELINSKI BEATRICE")</f>
        <v>ZIELINSKI BEATRICE</v>
      </c>
      <c r="AE1140" s="39"/>
      <c r="AF1140" s="40"/>
      <c r="AG1140" s="41"/>
      <c r="AH1140" s="32" t="s">
        <v>179</v>
      </c>
      <c r="AI1140" s="32"/>
      <c r="AL1140" s="32"/>
      <c r="AM1140" s="32"/>
      <c r="AN1140" s="32"/>
      <c r="AO1140" s="32"/>
      <c r="AP1140" s="32"/>
      <c r="AQ1140" s="32"/>
      <c r="AR1140" s="32"/>
      <c r="AS1140" s="32"/>
      <c r="AT1140" s="32"/>
      <c r="AU1140" s="32"/>
      <c r="XEY1140" s="27"/>
      <c r="XEZ1140" s="27"/>
      <c r="XFA1140" s="27"/>
      <c r="XFB1140" s="27"/>
      <c r="XFC1140" s="27"/>
      <c r="XFD1140" s="27"/>
    </row>
    <row r="1141" s="42" customFormat="true" ht="14.15" hidden="false" customHeight="true" outlineLevel="0" collapsed="false">
      <c r="A1141" s="28" t="s">
        <v>6970</v>
      </c>
      <c r="B1141" s="29" t="s">
        <v>2038</v>
      </c>
      <c r="C1141" s="29" t="s">
        <v>6971</v>
      </c>
      <c r="D1141" s="30" t="s">
        <v>244</v>
      </c>
      <c r="E1141" s="30" t="s">
        <v>741</v>
      </c>
      <c r="F1141" s="32" t="n">
        <v>63</v>
      </c>
      <c r="G1141" s="31" t="s">
        <v>215</v>
      </c>
      <c r="H1141" s="31" t="n">
        <v>1</v>
      </c>
      <c r="I1141" s="31" t="s">
        <v>435</v>
      </c>
      <c r="J1141" s="29"/>
      <c r="K1141" s="29" t="s">
        <v>6972</v>
      </c>
      <c r="L1141" s="32" t="n">
        <v>90</v>
      </c>
      <c r="M1141" s="33" t="s">
        <v>2100</v>
      </c>
      <c r="N1141" s="34" t="n">
        <v>75016</v>
      </c>
      <c r="O1141" s="35" t="s">
        <v>55</v>
      </c>
      <c r="P1141" s="36" t="s">
        <v>6973</v>
      </c>
      <c r="Q1141" s="36" t="n">
        <v>1</v>
      </c>
      <c r="R1141" s="32" t="n">
        <v>205</v>
      </c>
      <c r="S1141" s="32" t="n">
        <v>1</v>
      </c>
      <c r="T1141" s="32"/>
      <c r="U1141" s="32"/>
      <c r="V1141" s="37"/>
      <c r="W1141" s="32"/>
      <c r="X1141" s="34"/>
      <c r="Y1141" s="34"/>
      <c r="Z1141" s="36"/>
      <c r="AA1141" s="32" t="s">
        <v>6974</v>
      </c>
      <c r="AB1141" s="32" t="s">
        <v>6975</v>
      </c>
      <c r="AC1141" s="38" t="str">
        <f aca="false">HYPERLINK("https://biocodex6--c.vf.force.com/0014L00000KFSj1QAH", "BENZAKEN ANNIE")</f>
        <v>BENZAKEN ANNIE</v>
      </c>
      <c r="AD1141" s="38" t="str">
        <f aca="false">HYPERLINK("https://annuairesante.ameli.fr/professionnels-de-sante/recherche/fiche-detaillee-B7c1lzMzNzS3.html", "BENZAKEN ANNIE")</f>
        <v>BENZAKEN ANNIE</v>
      </c>
      <c r="AE1141" s="39"/>
      <c r="AF1141" s="40"/>
      <c r="AG1141" s="41"/>
      <c r="AH1141" s="32" t="s">
        <v>179</v>
      </c>
      <c r="AI1141" s="32"/>
      <c r="AL1141" s="32"/>
      <c r="AM1141" s="32"/>
      <c r="AN1141" s="32"/>
      <c r="AO1141" s="32"/>
      <c r="AP1141" s="32"/>
      <c r="AQ1141" s="32"/>
      <c r="AR1141" s="32"/>
      <c r="AS1141" s="32"/>
      <c r="AT1141" s="32"/>
      <c r="AU1141" s="32"/>
      <c r="XEY1141" s="27"/>
      <c r="XEZ1141" s="27"/>
      <c r="XFA1141" s="27"/>
      <c r="XFB1141" s="27"/>
      <c r="XFC1141" s="27"/>
      <c r="XFD1141" s="27"/>
    </row>
    <row r="1142" s="42" customFormat="true" ht="14.15" hidden="false" customHeight="true" outlineLevel="0" collapsed="false">
      <c r="A1142" s="28" t="s">
        <v>6976</v>
      </c>
      <c r="B1142" s="29" t="s">
        <v>1247</v>
      </c>
      <c r="C1142" s="29" t="s">
        <v>6977</v>
      </c>
      <c r="D1142" s="30" t="s">
        <v>50</v>
      </c>
      <c r="E1142" s="31"/>
      <c r="F1142" s="32" t="n">
        <v>60</v>
      </c>
      <c r="G1142" s="31" t="s">
        <v>98</v>
      </c>
      <c r="H1142" s="31" t="n">
        <v>2</v>
      </c>
      <c r="I1142" s="31" t="s">
        <v>62</v>
      </c>
      <c r="J1142" s="29"/>
      <c r="K1142" s="29" t="s">
        <v>6324</v>
      </c>
      <c r="L1142" s="32" t="n">
        <v>21</v>
      </c>
      <c r="M1142" s="33" t="s">
        <v>6325</v>
      </c>
      <c r="N1142" s="34" t="n">
        <v>75017</v>
      </c>
      <c r="O1142" s="35" t="s">
        <v>55</v>
      </c>
      <c r="P1142" s="36" t="s">
        <v>6326</v>
      </c>
      <c r="Q1142" s="36" t="n">
        <v>4</v>
      </c>
      <c r="R1142" s="32" t="n">
        <v>205</v>
      </c>
      <c r="S1142" s="32" t="n">
        <v>1</v>
      </c>
      <c r="T1142" s="32"/>
      <c r="U1142" s="32"/>
      <c r="V1142" s="37"/>
      <c r="W1142" s="32"/>
      <c r="X1142" s="34"/>
      <c r="Y1142" s="34"/>
      <c r="Z1142" s="36"/>
      <c r="AA1142" s="32" t="s">
        <v>6978</v>
      </c>
      <c r="AB1142" s="32" t="s">
        <v>6979</v>
      </c>
      <c r="AC1142" s="38" t="str">
        <f aca="false">HYPERLINK("https://biocodex6--c.vf.force.com/0014L00000KFp3pQAD", "LUNEAU SYLVIA")</f>
        <v>LUNEAU SYLVIA</v>
      </c>
      <c r="AD1142" s="38" t="str">
        <f aca="false">HYPERLINK("https://annuairesante.ameli.fr/professionnels-de-sante/recherche/fiche-detaillee-B7c1kjswOTKz.html", "LUNEAU SYLVIA")</f>
        <v>LUNEAU SYLVIA</v>
      </c>
      <c r="AE1142" s="39"/>
      <c r="AF1142" s="40"/>
      <c r="AG1142" s="41"/>
      <c r="AH1142" s="32" t="s">
        <v>179</v>
      </c>
      <c r="AI1142" s="32"/>
      <c r="AL1142" s="32"/>
      <c r="AM1142" s="32"/>
      <c r="AN1142" s="32"/>
      <c r="AO1142" s="32"/>
      <c r="AP1142" s="32"/>
      <c r="AQ1142" s="32"/>
      <c r="AR1142" s="32"/>
      <c r="AS1142" s="32"/>
      <c r="AT1142" s="32"/>
      <c r="AU1142" s="32"/>
      <c r="XEY1142" s="27"/>
      <c r="XEZ1142" s="27"/>
      <c r="XFA1142" s="27"/>
      <c r="XFB1142" s="27"/>
      <c r="XFC1142" s="27"/>
      <c r="XFD1142" s="27"/>
    </row>
    <row r="1143" s="42" customFormat="true" ht="14.15" hidden="false" customHeight="true" outlineLevel="0" collapsed="false">
      <c r="A1143" s="28" t="s">
        <v>6980</v>
      </c>
      <c r="B1143" s="29" t="s">
        <v>466</v>
      </c>
      <c r="C1143" s="29" t="s">
        <v>6981</v>
      </c>
      <c r="D1143" s="30" t="s">
        <v>75</v>
      </c>
      <c r="E1143" s="31"/>
      <c r="F1143" s="32" t="n">
        <v>76</v>
      </c>
      <c r="G1143" s="31"/>
      <c r="H1143" s="31" t="n">
        <v>1</v>
      </c>
      <c r="I1143" s="31" t="s">
        <v>173</v>
      </c>
      <c r="J1143" s="29"/>
      <c r="K1143" s="29" t="s">
        <v>1792</v>
      </c>
      <c r="L1143" s="32" t="n">
        <v>72</v>
      </c>
      <c r="M1143" s="33" t="s">
        <v>743</v>
      </c>
      <c r="N1143" s="34" t="n">
        <v>75016</v>
      </c>
      <c r="O1143" s="35" t="s">
        <v>55</v>
      </c>
      <c r="P1143" s="36"/>
      <c r="Q1143" s="36" t="n">
        <v>3</v>
      </c>
      <c r="R1143" s="32" t="n">
        <v>205</v>
      </c>
      <c r="S1143" s="32" t="n">
        <v>1</v>
      </c>
      <c r="T1143" s="32"/>
      <c r="U1143" s="32"/>
      <c r="V1143" s="37"/>
      <c r="W1143" s="32"/>
      <c r="X1143" s="34"/>
      <c r="Y1143" s="34"/>
      <c r="Z1143" s="36"/>
      <c r="AA1143" s="32" t="s">
        <v>6982</v>
      </c>
      <c r="AB1143" s="32"/>
      <c r="AC1143" s="38" t="str">
        <f aca="false">HYPERLINK("https://biocodex6--c.vf.force.com/0014L00000KFugVQAT", "PARLIER HENRI")</f>
        <v>PARLIER HENRI</v>
      </c>
      <c r="AD1143" s="38"/>
      <c r="AE1143" s="39"/>
      <c r="AF1143" s="40"/>
      <c r="AG1143" s="41"/>
      <c r="AH1143" s="32" t="s">
        <v>179</v>
      </c>
      <c r="AI1143" s="32"/>
      <c r="AL1143" s="32"/>
      <c r="AM1143" s="32"/>
      <c r="AN1143" s="32"/>
      <c r="AO1143" s="32"/>
      <c r="AP1143" s="32"/>
      <c r="AQ1143" s="32"/>
      <c r="AR1143" s="32"/>
      <c r="AS1143" s="32"/>
      <c r="AT1143" s="32"/>
      <c r="AU1143" s="32"/>
      <c r="XEY1143" s="27"/>
      <c r="XEZ1143" s="27"/>
      <c r="XFA1143" s="27"/>
      <c r="XFB1143" s="27"/>
      <c r="XFC1143" s="27"/>
      <c r="XFD1143" s="27"/>
    </row>
    <row r="1144" s="42" customFormat="true" ht="14.15" hidden="false" customHeight="true" outlineLevel="0" collapsed="false">
      <c r="A1144" s="28" t="s">
        <v>6983</v>
      </c>
      <c r="B1144" s="29" t="s">
        <v>643</v>
      </c>
      <c r="C1144" s="29" t="s">
        <v>6984</v>
      </c>
      <c r="D1144" s="30" t="s">
        <v>50</v>
      </c>
      <c r="E1144" s="30" t="s">
        <v>421</v>
      </c>
      <c r="F1144" s="32" t="n">
        <v>76</v>
      </c>
      <c r="G1144" s="31" t="s">
        <v>215</v>
      </c>
      <c r="H1144" s="31" t="n">
        <v>1</v>
      </c>
      <c r="I1144" s="31" t="s">
        <v>173</v>
      </c>
      <c r="J1144" s="29"/>
      <c r="K1144" s="29" t="s">
        <v>6985</v>
      </c>
      <c r="L1144" s="32" t="n">
        <v>51</v>
      </c>
      <c r="M1144" s="33" t="s">
        <v>1988</v>
      </c>
      <c r="N1144" s="34" t="n">
        <v>75016</v>
      </c>
      <c r="O1144" s="35" t="s">
        <v>55</v>
      </c>
      <c r="P1144" s="36" t="s">
        <v>6986</v>
      </c>
      <c r="Q1144" s="36" t="n">
        <v>1</v>
      </c>
      <c r="R1144" s="32" t="n">
        <v>205</v>
      </c>
      <c r="S1144" s="32" t="n">
        <v>1</v>
      </c>
      <c r="T1144" s="32"/>
      <c r="U1144" s="32"/>
      <c r="V1144" s="37"/>
      <c r="W1144" s="32"/>
      <c r="X1144" s="34"/>
      <c r="Y1144" s="34"/>
      <c r="Z1144" s="36"/>
      <c r="AA1144" s="32" t="s">
        <v>6987</v>
      </c>
      <c r="AB1144" s="32" t="s">
        <v>6988</v>
      </c>
      <c r="AC1144" s="38" t="str">
        <f aca="false">HYPERLINK("https://biocodex6--c.vf.force.com/0014L00000KG5ugQAD", "WILLIOT PIERRE")</f>
        <v>WILLIOT PIERRE</v>
      </c>
      <c r="AD1144" s="38" t="str">
        <f aca="false">HYPERLINK("https://annuairesante.ameli.fr/professionnels-de-sante/recherche/fiche-detaillee-B7c1kTE1MDq1.html", "WILLIOT PIERRE")</f>
        <v>WILLIOT PIERRE</v>
      </c>
      <c r="AE1144" s="39"/>
      <c r="AF1144" s="40"/>
      <c r="AG1144" s="41"/>
      <c r="AH1144" s="32" t="s">
        <v>179</v>
      </c>
      <c r="AI1144" s="32"/>
      <c r="AL1144" s="32"/>
      <c r="AM1144" s="32"/>
      <c r="AN1144" s="32"/>
      <c r="AO1144" s="32"/>
      <c r="AP1144" s="32"/>
      <c r="AQ1144" s="32"/>
      <c r="AR1144" s="32"/>
      <c r="AS1144" s="32"/>
      <c r="AT1144" s="32"/>
      <c r="AU1144" s="32"/>
      <c r="XEY1144" s="27"/>
      <c r="XEZ1144" s="27"/>
      <c r="XFA1144" s="27"/>
      <c r="XFB1144" s="27"/>
      <c r="XFC1144" s="27"/>
      <c r="XFD1144" s="27"/>
    </row>
    <row r="1145" s="42" customFormat="true" ht="14.15" hidden="false" customHeight="true" outlineLevel="0" collapsed="false">
      <c r="A1145" s="28" t="s">
        <v>6989</v>
      </c>
      <c r="B1145" s="29" t="s">
        <v>652</v>
      </c>
      <c r="C1145" s="29" t="s">
        <v>6990</v>
      </c>
      <c r="D1145" s="30" t="s">
        <v>244</v>
      </c>
      <c r="E1145" s="30" t="s">
        <v>245</v>
      </c>
      <c r="F1145" s="32" t="n">
        <v>45</v>
      </c>
      <c r="G1145" s="31" t="s">
        <v>215</v>
      </c>
      <c r="H1145" s="31" t="n">
        <v>1</v>
      </c>
      <c r="I1145" s="31" t="s">
        <v>173</v>
      </c>
      <c r="J1145" s="29"/>
      <c r="K1145" s="29" t="s">
        <v>6991</v>
      </c>
      <c r="L1145" s="32" t="n">
        <v>4</v>
      </c>
      <c r="M1145" s="33" t="s">
        <v>6992</v>
      </c>
      <c r="N1145" s="34" t="n">
        <v>75016</v>
      </c>
      <c r="O1145" s="35" t="s">
        <v>55</v>
      </c>
      <c r="P1145" s="36" t="s">
        <v>6993</v>
      </c>
      <c r="Q1145" s="36" t="n">
        <v>2</v>
      </c>
      <c r="R1145" s="32" t="n">
        <v>205</v>
      </c>
      <c r="S1145" s="32" t="n">
        <v>1</v>
      </c>
      <c r="T1145" s="32"/>
      <c r="U1145" s="32"/>
      <c r="V1145" s="37"/>
      <c r="W1145" s="32"/>
      <c r="X1145" s="34"/>
      <c r="Y1145" s="34"/>
      <c r="Z1145" s="36"/>
      <c r="AA1145" s="32" t="s">
        <v>6994</v>
      </c>
      <c r="AB1145" s="32" t="s">
        <v>6995</v>
      </c>
      <c r="AC1145" s="38" t="str">
        <f aca="false">HYPERLINK("https://biocodex6--c.vf.force.com/0014L00000KFf28QAD", "CHAGNAUD SOPHIE")</f>
        <v>CHAGNAUD SOPHIE</v>
      </c>
      <c r="AD1145" s="38" t="str">
        <f aca="false">HYPERLINK("https://annuairesante.ameli.fr/professionnels-de-sante/recherche/fiche-detaillee-B7c1mjA2Mzu3.html", "CHAGNAUD SOPHIE")</f>
        <v>CHAGNAUD SOPHIE</v>
      </c>
      <c r="AE1145" s="39"/>
      <c r="AF1145" s="40"/>
      <c r="AG1145" s="41"/>
      <c r="AH1145" s="32" t="s">
        <v>179</v>
      </c>
      <c r="AI1145" s="32"/>
      <c r="AL1145" s="32"/>
      <c r="AM1145" s="32"/>
      <c r="AN1145" s="32"/>
      <c r="AO1145" s="32"/>
      <c r="AP1145" s="32"/>
      <c r="AQ1145" s="32"/>
      <c r="AR1145" s="32"/>
      <c r="AS1145" s="32"/>
      <c r="AT1145" s="32"/>
      <c r="AU1145" s="32"/>
      <c r="XEY1145" s="27"/>
      <c r="XEZ1145" s="27"/>
      <c r="XFA1145" s="27"/>
      <c r="XFB1145" s="27"/>
      <c r="XFC1145" s="27"/>
      <c r="XFD1145" s="27"/>
    </row>
    <row r="1146" s="42" customFormat="true" ht="14.15" hidden="false" customHeight="true" outlineLevel="0" collapsed="false">
      <c r="A1146" s="28" t="s">
        <v>6996</v>
      </c>
      <c r="B1146" s="29" t="s">
        <v>5157</v>
      </c>
      <c r="C1146" s="29" t="s">
        <v>6997</v>
      </c>
      <c r="D1146" s="30" t="s">
        <v>50</v>
      </c>
      <c r="E1146" s="30" t="s">
        <v>6998</v>
      </c>
      <c r="F1146" s="32" t="n">
        <v>83</v>
      </c>
      <c r="G1146" s="31" t="s">
        <v>215</v>
      </c>
      <c r="H1146" s="31" t="n">
        <v>1</v>
      </c>
      <c r="I1146" s="31" t="s">
        <v>173</v>
      </c>
      <c r="J1146" s="29"/>
      <c r="K1146" s="29" t="s">
        <v>6999</v>
      </c>
      <c r="L1146" s="32" t="n">
        <v>67</v>
      </c>
      <c r="M1146" s="33" t="s">
        <v>175</v>
      </c>
      <c r="N1146" s="34" t="n">
        <v>75016</v>
      </c>
      <c r="O1146" s="35" t="s">
        <v>55</v>
      </c>
      <c r="P1146" s="36" t="s">
        <v>7000</v>
      </c>
      <c r="Q1146" s="36" t="n">
        <v>1</v>
      </c>
      <c r="R1146" s="32" t="n">
        <v>203</v>
      </c>
      <c r="S1146" s="32" t="n">
        <v>1</v>
      </c>
      <c r="T1146" s="32"/>
      <c r="U1146" s="32"/>
      <c r="V1146" s="37"/>
      <c r="W1146" s="32"/>
      <c r="X1146" s="34"/>
      <c r="Y1146" s="34"/>
      <c r="Z1146" s="32"/>
      <c r="AA1146" s="32" t="s">
        <v>7001</v>
      </c>
      <c r="AB1146" s="32" t="s">
        <v>7002</v>
      </c>
      <c r="AC1146" s="38" t="str">
        <f aca="false">HYPERLINK("https://biocodex6--c.vf.force.com/0014L00000KG04GQAT", "SACKSICK HUBERT")</f>
        <v>SACKSICK HUBERT</v>
      </c>
      <c r="AD1146" s="38" t="str">
        <f aca="false">HYPERLINK("https://annuairesante.ameli.fr/professionnels-de-sante/recherche/fiche-detaillee-B7c1kDQ3MDGw.html", "SACKSICK HUBERT")</f>
        <v>SACKSICK HUBERT</v>
      </c>
      <c r="AE1146" s="39"/>
      <c r="AF1146" s="40"/>
      <c r="AG1146" s="41"/>
      <c r="AH1146" s="32"/>
      <c r="AI1146" s="32"/>
      <c r="AL1146" s="32"/>
      <c r="AM1146" s="43" t="s">
        <v>126</v>
      </c>
      <c r="AN1146" s="32"/>
      <c r="AO1146" s="43" t="s">
        <v>126</v>
      </c>
      <c r="AP1146" s="32"/>
      <c r="AQ1146" s="43" t="s">
        <v>126</v>
      </c>
      <c r="AR1146" s="32"/>
      <c r="AS1146" s="43" t="s">
        <v>126</v>
      </c>
      <c r="AT1146" s="32"/>
      <c r="AU1146" s="43" t="s">
        <v>126</v>
      </c>
      <c r="XEY1146" s="27"/>
      <c r="XEZ1146" s="27"/>
      <c r="XFA1146" s="27"/>
      <c r="XFB1146" s="27"/>
      <c r="XFC1146" s="27"/>
      <c r="XFD1146" s="27"/>
    </row>
    <row r="1147" s="42" customFormat="true" ht="14.15" hidden="false" customHeight="true" outlineLevel="0" collapsed="false">
      <c r="A1147" s="28" t="s">
        <v>7003</v>
      </c>
      <c r="B1147" s="29" t="s">
        <v>4112</v>
      </c>
      <c r="C1147" s="29" t="s">
        <v>7004</v>
      </c>
      <c r="D1147" s="30" t="s">
        <v>50</v>
      </c>
      <c r="E1147" s="31"/>
      <c r="F1147" s="32" t="n">
        <v>70</v>
      </c>
      <c r="G1147" s="31"/>
      <c r="H1147" s="31" t="n">
        <v>1</v>
      </c>
      <c r="I1147" s="31" t="s">
        <v>173</v>
      </c>
      <c r="J1147" s="29"/>
      <c r="K1147" s="29" t="s">
        <v>7005</v>
      </c>
      <c r="L1147" s="32" t="n">
        <v>21</v>
      </c>
      <c r="M1147" s="33" t="s">
        <v>743</v>
      </c>
      <c r="N1147" s="34" t="n">
        <v>75016</v>
      </c>
      <c r="O1147" s="35" t="s">
        <v>55</v>
      </c>
      <c r="P1147" s="36" t="s">
        <v>7006</v>
      </c>
      <c r="Q1147" s="36" t="n">
        <v>1</v>
      </c>
      <c r="R1147" s="32" t="n">
        <v>202</v>
      </c>
      <c r="S1147" s="32" t="n">
        <v>1</v>
      </c>
      <c r="T1147" s="32"/>
      <c r="U1147" s="32"/>
      <c r="V1147" s="37"/>
      <c r="W1147" s="32"/>
      <c r="X1147" s="34"/>
      <c r="Y1147" s="34"/>
      <c r="Z1147" s="36"/>
      <c r="AA1147" s="32" t="s">
        <v>7007</v>
      </c>
      <c r="AB1147" s="32"/>
      <c r="AC1147" s="38" t="str">
        <f aca="false">HYPERLINK("https://biocodex6--c.vf.force.com/0014L00000KFS5cQAH", "ARSAN JOSEPH")</f>
        <v>ARSAN JOSEPH</v>
      </c>
      <c r="AD1147" s="38"/>
      <c r="AE1147" s="39"/>
      <c r="AF1147" s="40"/>
      <c r="AG1147" s="41"/>
      <c r="AH1147" s="32" t="s">
        <v>179</v>
      </c>
      <c r="AI1147" s="32"/>
      <c r="AL1147" s="32"/>
      <c r="AM1147" s="32"/>
      <c r="AN1147" s="32"/>
      <c r="AO1147" s="32"/>
      <c r="AP1147" s="32"/>
      <c r="AQ1147" s="32"/>
      <c r="AR1147" s="32"/>
      <c r="AS1147" s="32"/>
      <c r="AT1147" s="32"/>
      <c r="AU1147" s="32"/>
      <c r="XEY1147" s="27"/>
      <c r="XEZ1147" s="27"/>
      <c r="XFA1147" s="27"/>
      <c r="XFB1147" s="27"/>
      <c r="XFC1147" s="27"/>
      <c r="XFD1147" s="27"/>
    </row>
    <row r="1148" s="42" customFormat="true" ht="14.15" hidden="false" customHeight="true" outlineLevel="0" collapsed="false">
      <c r="A1148" s="28" t="s">
        <v>7008</v>
      </c>
      <c r="B1148" s="29" t="s">
        <v>4112</v>
      </c>
      <c r="C1148" s="29" t="s">
        <v>7009</v>
      </c>
      <c r="D1148" s="30" t="s">
        <v>50</v>
      </c>
      <c r="E1148" s="31"/>
      <c r="F1148" s="32" t="n">
        <v>62</v>
      </c>
      <c r="G1148" s="31"/>
      <c r="H1148" s="31" t="n">
        <v>1</v>
      </c>
      <c r="I1148" s="31" t="s">
        <v>173</v>
      </c>
      <c r="J1148" s="29"/>
      <c r="K1148" s="29" t="s">
        <v>7010</v>
      </c>
      <c r="L1148" s="32" t="n">
        <v>6</v>
      </c>
      <c r="M1148" s="33" t="s">
        <v>7011</v>
      </c>
      <c r="N1148" s="34" t="n">
        <v>75016</v>
      </c>
      <c r="O1148" s="35" t="s">
        <v>55</v>
      </c>
      <c r="P1148" s="36" t="s">
        <v>7012</v>
      </c>
      <c r="Q1148" s="36" t="n">
        <v>3</v>
      </c>
      <c r="R1148" s="32" t="n">
        <v>202</v>
      </c>
      <c r="S1148" s="32" t="n">
        <v>1</v>
      </c>
      <c r="T1148" s="32"/>
      <c r="U1148" s="32"/>
      <c r="V1148" s="37"/>
      <c r="W1148" s="32"/>
      <c r="X1148" s="34"/>
      <c r="Y1148" s="34"/>
      <c r="Z1148" s="36"/>
      <c r="AA1148" s="32" t="s">
        <v>7013</v>
      </c>
      <c r="AB1148" s="32"/>
      <c r="AC1148" s="38" t="str">
        <f aca="false">HYPERLINK("https://biocodex6--c.vf.force.com/0014L00000KFipLQAT", "KARDOUSS JOSEPH")</f>
        <v>KARDOUSS JOSEPH</v>
      </c>
      <c r="AD1148" s="38"/>
      <c r="AE1148" s="39"/>
      <c r="AF1148" s="40"/>
      <c r="AG1148" s="41"/>
      <c r="AH1148" s="32" t="s">
        <v>179</v>
      </c>
      <c r="AI1148" s="32"/>
      <c r="AL1148" s="32"/>
      <c r="AM1148" s="32"/>
      <c r="AN1148" s="32"/>
      <c r="AO1148" s="32"/>
      <c r="AP1148" s="32"/>
      <c r="AQ1148" s="32"/>
      <c r="AR1148" s="32"/>
      <c r="AS1148" s="32"/>
      <c r="AT1148" s="32"/>
      <c r="AU1148" s="32"/>
      <c r="XEY1148" s="27"/>
      <c r="XEZ1148" s="27"/>
      <c r="XFA1148" s="27"/>
      <c r="XFB1148" s="27"/>
      <c r="XFC1148" s="27"/>
      <c r="XFD1148" s="27"/>
    </row>
    <row r="1149" s="42" customFormat="true" ht="14.15" hidden="false" customHeight="true" outlineLevel="0" collapsed="false">
      <c r="A1149" s="28" t="s">
        <v>7014</v>
      </c>
      <c r="B1149" s="29" t="s">
        <v>2794</v>
      </c>
      <c r="C1149" s="29" t="s">
        <v>7015</v>
      </c>
      <c r="D1149" s="30" t="s">
        <v>50</v>
      </c>
      <c r="E1149" s="31"/>
      <c r="F1149" s="32" t="n">
        <v>63</v>
      </c>
      <c r="G1149" s="31"/>
      <c r="H1149" s="31" t="n">
        <v>1</v>
      </c>
      <c r="I1149" s="31" t="s">
        <v>77</v>
      </c>
      <c r="J1149" s="29" t="s">
        <v>246</v>
      </c>
      <c r="K1149" s="29" t="s">
        <v>247</v>
      </c>
      <c r="L1149" s="32" t="n">
        <v>36</v>
      </c>
      <c r="M1149" s="33" t="s">
        <v>248</v>
      </c>
      <c r="N1149" s="34" t="n">
        <v>92200</v>
      </c>
      <c r="O1149" s="35" t="s">
        <v>81</v>
      </c>
      <c r="P1149" s="36"/>
      <c r="Q1149" s="36" t="n">
        <v>49</v>
      </c>
      <c r="R1149" s="32" t="n">
        <v>201</v>
      </c>
      <c r="S1149" s="32" t="n">
        <v>1</v>
      </c>
      <c r="T1149" s="32"/>
      <c r="U1149" s="32"/>
      <c r="V1149" s="37"/>
      <c r="W1149" s="32"/>
      <c r="X1149" s="34" t="n">
        <v>1</v>
      </c>
      <c r="Y1149" s="34"/>
      <c r="Z1149" s="32"/>
      <c r="AA1149" s="32" t="s">
        <v>7016</v>
      </c>
      <c r="AB1149" s="32"/>
      <c r="AC1149" s="38" t="str">
        <f aca="false">HYPERLINK("https://biocodex6--c.vf.force.com/0014L00000KFXfUQAX", "DE WITASSE THEZY CLAIRE")</f>
        <v>DE WITASSE THEZY CLAIRE</v>
      </c>
      <c r="AD1149" s="38"/>
      <c r="AE1149" s="39" t="n">
        <v>45106.6041666667</v>
      </c>
      <c r="AF1149" s="40"/>
      <c r="AG1149" s="41"/>
      <c r="AH1149" s="32"/>
      <c r="AI1149" s="32"/>
      <c r="AL1149" s="32"/>
      <c r="AM1149" s="32"/>
      <c r="AN1149" s="32"/>
      <c r="AO1149" s="32"/>
      <c r="AP1149" s="32"/>
      <c r="AQ1149" s="32"/>
      <c r="AR1149" s="32"/>
      <c r="AS1149" s="32"/>
      <c r="AT1149" s="32"/>
      <c r="AU1149" s="32"/>
      <c r="XEY1149" s="27"/>
      <c r="XEZ1149" s="27"/>
      <c r="XFA1149" s="27"/>
      <c r="XFB1149" s="27"/>
      <c r="XFC1149" s="27"/>
      <c r="XFD1149" s="27"/>
    </row>
    <row r="1150" s="42" customFormat="true" ht="14.15" hidden="false" customHeight="true" outlineLevel="0" collapsed="false">
      <c r="A1150" s="28" t="s">
        <v>7017</v>
      </c>
      <c r="B1150" s="29" t="s">
        <v>7018</v>
      </c>
      <c r="C1150" s="29" t="s">
        <v>7019</v>
      </c>
      <c r="D1150" s="30" t="s">
        <v>50</v>
      </c>
      <c r="E1150" s="31"/>
      <c r="F1150" s="32" t="n">
        <v>58</v>
      </c>
      <c r="G1150" s="31" t="s">
        <v>98</v>
      </c>
      <c r="H1150" s="31" t="n">
        <v>2</v>
      </c>
      <c r="I1150" s="31" t="s">
        <v>572</v>
      </c>
      <c r="J1150" s="29"/>
      <c r="K1150" s="29" t="s">
        <v>7020</v>
      </c>
      <c r="L1150" s="32" t="n">
        <v>10</v>
      </c>
      <c r="M1150" s="33" t="s">
        <v>1434</v>
      </c>
      <c r="N1150" s="34" t="n">
        <v>75008</v>
      </c>
      <c r="O1150" s="35" t="s">
        <v>55</v>
      </c>
      <c r="P1150" s="36" t="s">
        <v>7021</v>
      </c>
      <c r="Q1150" s="36" t="n">
        <v>1</v>
      </c>
      <c r="R1150" s="32" t="n">
        <v>201</v>
      </c>
      <c r="S1150" s="32" t="n">
        <v>1</v>
      </c>
      <c r="T1150" s="32"/>
      <c r="U1150" s="32"/>
      <c r="V1150" s="37"/>
      <c r="W1150" s="32"/>
      <c r="X1150" s="34"/>
      <c r="Y1150" s="34"/>
      <c r="Z1150" s="36"/>
      <c r="AA1150" s="32" t="s">
        <v>7022</v>
      </c>
      <c r="AB1150" s="32" t="s">
        <v>7023</v>
      </c>
      <c r="AC1150" s="38" t="str">
        <f aca="false">HYPERLINK("https://biocodex6--c.vf.force.com/0014L00000KFqHQQA1", "MEYERS ANNE VALERIE")</f>
        <v>MEYERS ANNE VALERIE</v>
      </c>
      <c r="AD1150" s="38" t="str">
        <f aca="false">HYPERLINK("https://annuairesante.ameli.fr/professionnels-de-sante/recherche/fiche-detaillee-B7c1lzUwNDS2.html", "MEYERS ANNE VALERIE")</f>
        <v>MEYERS ANNE VALERIE</v>
      </c>
      <c r="AE1150" s="39"/>
      <c r="AF1150" s="40"/>
      <c r="AG1150" s="41"/>
      <c r="AH1150" s="32" t="s">
        <v>179</v>
      </c>
      <c r="AI1150" s="32"/>
      <c r="AL1150" s="32"/>
      <c r="AM1150" s="32"/>
      <c r="AN1150" s="32"/>
      <c r="AO1150" s="32"/>
      <c r="AP1150" s="32"/>
      <c r="AQ1150" s="32"/>
      <c r="AR1150" s="32"/>
      <c r="AS1150" s="32"/>
      <c r="AT1150" s="32"/>
      <c r="AU1150" s="32"/>
      <c r="XEY1150" s="27"/>
      <c r="XEZ1150" s="27"/>
      <c r="XFA1150" s="27"/>
      <c r="XFB1150" s="27"/>
      <c r="XFC1150" s="27"/>
      <c r="XFD1150" s="27"/>
    </row>
    <row r="1151" s="42" customFormat="true" ht="14.15" hidden="false" customHeight="true" outlineLevel="0" collapsed="false">
      <c r="A1151" s="28" t="s">
        <v>7024</v>
      </c>
      <c r="B1151" s="29" t="s">
        <v>1143</v>
      </c>
      <c r="C1151" s="29" t="s">
        <v>7025</v>
      </c>
      <c r="D1151" s="30" t="s">
        <v>50</v>
      </c>
      <c r="E1151" s="30" t="s">
        <v>916</v>
      </c>
      <c r="F1151" s="32" t="n">
        <v>59</v>
      </c>
      <c r="G1151" s="31" t="s">
        <v>98</v>
      </c>
      <c r="H1151" s="31" t="n">
        <v>3</v>
      </c>
      <c r="I1151" s="31" t="s">
        <v>119</v>
      </c>
      <c r="J1151" s="29"/>
      <c r="K1151" s="29" t="s">
        <v>7026</v>
      </c>
      <c r="L1151" s="32" t="n">
        <v>9</v>
      </c>
      <c r="M1151" s="33" t="s">
        <v>7027</v>
      </c>
      <c r="N1151" s="34" t="n">
        <v>75007</v>
      </c>
      <c r="O1151" s="35" t="s">
        <v>55</v>
      </c>
      <c r="P1151" s="36" t="s">
        <v>7028</v>
      </c>
      <c r="Q1151" s="36" t="n">
        <v>2</v>
      </c>
      <c r="R1151" s="32" t="n">
        <v>201</v>
      </c>
      <c r="S1151" s="32" t="n">
        <v>1</v>
      </c>
      <c r="T1151" s="32"/>
      <c r="U1151" s="32"/>
      <c r="V1151" s="37"/>
      <c r="W1151" s="32"/>
      <c r="X1151" s="34"/>
      <c r="Y1151" s="34"/>
      <c r="Z1151" s="36"/>
      <c r="AA1151" s="32" t="s">
        <v>7029</v>
      </c>
      <c r="AB1151" s="32" t="s">
        <v>7030</v>
      </c>
      <c r="AC1151" s="38" t="str">
        <f aca="false">HYPERLINK("https://biocodex6--c.vf.force.com/0014L00000KFgEuQAL", "IRIGOIN GUICHANDUT MARC")</f>
        <v>IRIGOIN GUICHANDUT MARC</v>
      </c>
      <c r="AD1151" s="38" t="str">
        <f aca="false">HYPERLINK("https://annuairesante.ameli.fr/professionnels-de-sante/recherche/fiche-detaillee-B7c1lzcxOTK0.html", "IRIGOIN GUICHANDUT MARC")</f>
        <v>IRIGOIN GUICHANDUT MARC</v>
      </c>
      <c r="AE1151" s="39"/>
      <c r="AF1151" s="40"/>
      <c r="AG1151" s="41"/>
      <c r="AH1151" s="32" t="s">
        <v>179</v>
      </c>
      <c r="AI1151" s="32"/>
      <c r="AL1151" s="32"/>
      <c r="AM1151" s="32"/>
      <c r="AN1151" s="32"/>
      <c r="AO1151" s="32"/>
      <c r="AP1151" s="32"/>
      <c r="AQ1151" s="32"/>
      <c r="AR1151" s="32"/>
      <c r="AS1151" s="32"/>
      <c r="AT1151" s="32"/>
      <c r="AU1151" s="32"/>
      <c r="XEY1151" s="27"/>
      <c r="XEZ1151" s="27"/>
      <c r="XFA1151" s="27"/>
      <c r="XFB1151" s="27"/>
      <c r="XFC1151" s="27"/>
      <c r="XFD1151" s="27"/>
    </row>
    <row r="1152" s="42" customFormat="true" ht="14.15" hidden="false" customHeight="true" outlineLevel="0" collapsed="false">
      <c r="A1152" s="28" t="s">
        <v>7031</v>
      </c>
      <c r="B1152" s="29" t="s">
        <v>7032</v>
      </c>
      <c r="C1152" s="29" t="s">
        <v>7033</v>
      </c>
      <c r="D1152" s="30" t="s">
        <v>50</v>
      </c>
      <c r="E1152" s="31"/>
      <c r="F1152" s="32" t="n">
        <v>55</v>
      </c>
      <c r="G1152" s="31"/>
      <c r="H1152" s="31" t="n">
        <v>1</v>
      </c>
      <c r="I1152" s="31" t="s">
        <v>51</v>
      </c>
      <c r="J1152" s="29" t="s">
        <v>52</v>
      </c>
      <c r="K1152" s="29" t="s">
        <v>53</v>
      </c>
      <c r="L1152" s="32" t="n">
        <v>149</v>
      </c>
      <c r="M1152" s="33" t="s">
        <v>54</v>
      </c>
      <c r="N1152" s="34" t="n">
        <v>75015</v>
      </c>
      <c r="O1152" s="35" t="s">
        <v>55</v>
      </c>
      <c r="P1152" s="36" t="s">
        <v>1710</v>
      </c>
      <c r="Q1152" s="36" t="n">
        <v>236</v>
      </c>
      <c r="R1152" s="32" t="n">
        <v>201</v>
      </c>
      <c r="S1152" s="32" t="n">
        <v>1</v>
      </c>
      <c r="T1152" s="32"/>
      <c r="U1152" s="32"/>
      <c r="V1152" s="37"/>
      <c r="W1152" s="32"/>
      <c r="X1152" s="34"/>
      <c r="Y1152" s="34"/>
      <c r="Z1152" s="36"/>
      <c r="AA1152" s="32" t="s">
        <v>7034</v>
      </c>
      <c r="AB1152" s="32"/>
      <c r="AC1152" s="38" t="str">
        <f aca="false">HYPERLINK("https://biocodex6--c.vf.force.com/0014L00000KFQOtQAP", "AN KIM")</f>
        <v>AN KIM</v>
      </c>
      <c r="AD1152" s="38"/>
      <c r="AE1152" s="39"/>
      <c r="AF1152" s="40"/>
      <c r="AG1152" s="41"/>
      <c r="AH1152" s="32" t="s">
        <v>179</v>
      </c>
      <c r="AI1152" s="32"/>
      <c r="AL1152" s="32"/>
      <c r="AM1152" s="32"/>
      <c r="AN1152" s="32"/>
      <c r="AO1152" s="32"/>
      <c r="AP1152" s="32"/>
      <c r="AQ1152" s="32"/>
      <c r="AR1152" s="32"/>
      <c r="AS1152" s="32"/>
      <c r="AT1152" s="32"/>
      <c r="AU1152" s="32"/>
      <c r="XEY1152" s="27"/>
      <c r="XEZ1152" s="27"/>
      <c r="XFA1152" s="27"/>
      <c r="XFB1152" s="27"/>
      <c r="XFC1152" s="27"/>
      <c r="XFD1152" s="27"/>
    </row>
    <row r="1153" s="42" customFormat="true" ht="14.15" hidden="false" customHeight="true" outlineLevel="0" collapsed="false">
      <c r="A1153" s="28" t="s">
        <v>7035</v>
      </c>
      <c r="B1153" s="29" t="s">
        <v>2794</v>
      </c>
      <c r="C1153" s="29" t="s">
        <v>7036</v>
      </c>
      <c r="D1153" s="30" t="s">
        <v>50</v>
      </c>
      <c r="E1153" s="30" t="s">
        <v>4028</v>
      </c>
      <c r="F1153" s="32" t="n">
        <v>38</v>
      </c>
      <c r="G1153" s="31"/>
      <c r="H1153" s="31" t="n">
        <v>2</v>
      </c>
      <c r="I1153" s="31" t="s">
        <v>51</v>
      </c>
      <c r="J1153" s="29" t="s">
        <v>52</v>
      </c>
      <c r="K1153" s="29" t="s">
        <v>53</v>
      </c>
      <c r="L1153" s="32" t="n">
        <v>149</v>
      </c>
      <c r="M1153" s="33" t="s">
        <v>54</v>
      </c>
      <c r="N1153" s="34" t="n">
        <v>75015</v>
      </c>
      <c r="O1153" s="35" t="s">
        <v>55</v>
      </c>
      <c r="P1153" s="36" t="s">
        <v>4605</v>
      </c>
      <c r="Q1153" s="36" t="n">
        <v>236</v>
      </c>
      <c r="R1153" s="32" t="n">
        <v>201</v>
      </c>
      <c r="S1153" s="32" t="n">
        <v>1</v>
      </c>
      <c r="T1153" s="32"/>
      <c r="U1153" s="32"/>
      <c r="V1153" s="37"/>
      <c r="W1153" s="32"/>
      <c r="X1153" s="34"/>
      <c r="Y1153" s="34"/>
      <c r="Z1153" s="36"/>
      <c r="AA1153" s="32" t="s">
        <v>7037</v>
      </c>
      <c r="AB1153" s="32"/>
      <c r="AC1153" s="38" t="str">
        <f aca="false">HYPERLINK("https://biocodex6--c.vf.force.com/0014L00000KFOQsQAP", "ROUZAUD CLAIRE")</f>
        <v>ROUZAUD CLAIRE</v>
      </c>
      <c r="AD1153" s="38"/>
      <c r="AE1153" s="39"/>
      <c r="AF1153" s="40"/>
      <c r="AG1153" s="41"/>
      <c r="AH1153" s="32" t="s">
        <v>179</v>
      </c>
      <c r="AI1153" s="32"/>
      <c r="AL1153" s="32"/>
      <c r="AM1153" s="32"/>
      <c r="AN1153" s="32"/>
      <c r="AO1153" s="32"/>
      <c r="AP1153" s="32"/>
      <c r="AQ1153" s="32"/>
      <c r="AR1153" s="32"/>
      <c r="AS1153" s="32"/>
      <c r="AT1153" s="32"/>
      <c r="AU1153" s="32"/>
      <c r="XEY1153" s="27"/>
      <c r="XEZ1153" s="27"/>
      <c r="XFA1153" s="27"/>
      <c r="XFB1153" s="27"/>
      <c r="XFC1153" s="27"/>
      <c r="XFD1153" s="27"/>
    </row>
    <row r="1154" s="42" customFormat="true" ht="14.15" hidden="false" customHeight="true" outlineLevel="0" collapsed="false">
      <c r="A1154" s="28" t="s">
        <v>7038</v>
      </c>
      <c r="B1154" s="29" t="s">
        <v>7039</v>
      </c>
      <c r="C1154" s="29" t="s">
        <v>7040</v>
      </c>
      <c r="D1154" s="30" t="s">
        <v>50</v>
      </c>
      <c r="E1154" s="30" t="s">
        <v>255</v>
      </c>
      <c r="F1154" s="32"/>
      <c r="G1154" s="31"/>
      <c r="H1154" s="31" t="n">
        <v>1</v>
      </c>
      <c r="I1154" s="31" t="s">
        <v>233</v>
      </c>
      <c r="J1154" s="29"/>
      <c r="K1154" s="29" t="s">
        <v>7041</v>
      </c>
      <c r="L1154" s="32" t="n">
        <v>205</v>
      </c>
      <c r="M1154" s="33" t="s">
        <v>2004</v>
      </c>
      <c r="N1154" s="34" t="n">
        <v>75015</v>
      </c>
      <c r="O1154" s="35" t="s">
        <v>55</v>
      </c>
      <c r="P1154" s="36" t="s">
        <v>7042</v>
      </c>
      <c r="Q1154" s="36" t="n">
        <v>1</v>
      </c>
      <c r="R1154" s="32" t="n">
        <v>201</v>
      </c>
      <c r="S1154" s="32" t="n">
        <v>1</v>
      </c>
      <c r="T1154" s="32"/>
      <c r="U1154" s="32"/>
      <c r="V1154" s="37"/>
      <c r="W1154" s="32"/>
      <c r="X1154" s="34"/>
      <c r="Y1154" s="34"/>
      <c r="Z1154" s="36"/>
      <c r="AA1154" s="32" t="s">
        <v>7043</v>
      </c>
      <c r="AB1154" s="32"/>
      <c r="AC1154" s="38" t="str">
        <f aca="false">HYPERLINK("https://biocodex6--c.vf.force.com/0014L00000KFRmsQAH", "AMIOT AURELIEN")</f>
        <v>AMIOT AURELIEN</v>
      </c>
      <c r="AD1154" s="38"/>
      <c r="AE1154" s="39"/>
      <c r="AF1154" s="40"/>
      <c r="AG1154" s="41"/>
      <c r="AH1154" s="32" t="s">
        <v>179</v>
      </c>
      <c r="AI1154" s="32"/>
      <c r="AL1154" s="32"/>
      <c r="AM1154" s="32"/>
      <c r="AN1154" s="32"/>
      <c r="AO1154" s="32"/>
      <c r="AP1154" s="32"/>
      <c r="AQ1154" s="32"/>
      <c r="AR1154" s="32"/>
      <c r="AS1154" s="32"/>
      <c r="AT1154" s="32"/>
      <c r="AU1154" s="32"/>
      <c r="XEY1154" s="27"/>
      <c r="XEZ1154" s="27"/>
      <c r="XFA1154" s="27"/>
      <c r="XFB1154" s="27"/>
      <c r="XFC1154" s="27"/>
      <c r="XFD1154" s="27"/>
    </row>
    <row r="1155" s="42" customFormat="true" ht="14.15" hidden="false" customHeight="true" outlineLevel="0" collapsed="false">
      <c r="A1155" s="28" t="s">
        <v>7044</v>
      </c>
      <c r="B1155" s="29" t="s">
        <v>1584</v>
      </c>
      <c r="C1155" s="29" t="s">
        <v>7045</v>
      </c>
      <c r="D1155" s="30" t="s">
        <v>50</v>
      </c>
      <c r="E1155" s="31"/>
      <c r="F1155" s="32"/>
      <c r="G1155" s="31"/>
      <c r="H1155" s="31" t="n">
        <v>1</v>
      </c>
      <c r="I1155" s="31" t="s">
        <v>77</v>
      </c>
      <c r="J1155" s="29" t="s">
        <v>1528</v>
      </c>
      <c r="K1155" s="29" t="s">
        <v>1529</v>
      </c>
      <c r="L1155" s="32" t="n">
        <v>58</v>
      </c>
      <c r="M1155" s="33" t="s">
        <v>1530</v>
      </c>
      <c r="N1155" s="34" t="n">
        <v>92200</v>
      </c>
      <c r="O1155" s="35" t="s">
        <v>81</v>
      </c>
      <c r="P1155" s="36" t="s">
        <v>1531</v>
      </c>
      <c r="Q1155" s="36" t="n">
        <v>6</v>
      </c>
      <c r="R1155" s="32" t="n">
        <v>201</v>
      </c>
      <c r="S1155" s="32" t="n">
        <v>1</v>
      </c>
      <c r="T1155" s="32"/>
      <c r="U1155" s="32"/>
      <c r="V1155" s="37"/>
      <c r="W1155" s="32"/>
      <c r="X1155" s="34"/>
      <c r="Y1155" s="34"/>
      <c r="Z1155" s="36"/>
      <c r="AA1155" s="32" t="s">
        <v>7046</v>
      </c>
      <c r="AB1155" s="32"/>
      <c r="AC1155" s="38" t="str">
        <f aca="false">HYPERLINK("https://biocodex6--c.vf.force.com/0014L00000KFacjQAD", "FACON CAMBRAI LAURENCE")</f>
        <v>FACON CAMBRAI LAURENCE</v>
      </c>
      <c r="AD1155" s="38"/>
      <c r="AE1155" s="39"/>
      <c r="AF1155" s="40"/>
      <c r="AG1155" s="41"/>
      <c r="AH1155" s="32" t="s">
        <v>179</v>
      </c>
      <c r="AI1155" s="32"/>
      <c r="AL1155" s="32"/>
      <c r="AM1155" s="32"/>
      <c r="AN1155" s="32"/>
      <c r="AO1155" s="32"/>
      <c r="AP1155" s="32"/>
      <c r="AQ1155" s="32"/>
      <c r="AR1155" s="32"/>
      <c r="AS1155" s="32"/>
      <c r="AT1155" s="32"/>
      <c r="AU1155" s="32"/>
      <c r="XEY1155" s="27"/>
      <c r="XEZ1155" s="27"/>
      <c r="XFA1155" s="27"/>
      <c r="XFB1155" s="27"/>
      <c r="XFC1155" s="27"/>
      <c r="XFD1155" s="27"/>
    </row>
    <row r="1156" s="42" customFormat="true" ht="14.15" hidden="false" customHeight="true" outlineLevel="0" collapsed="false">
      <c r="A1156" s="28" t="s">
        <v>7047</v>
      </c>
      <c r="B1156" s="29" t="s">
        <v>204</v>
      </c>
      <c r="C1156" s="29" t="s">
        <v>7048</v>
      </c>
      <c r="D1156" s="30" t="s">
        <v>50</v>
      </c>
      <c r="E1156" s="31"/>
      <c r="F1156" s="32" t="n">
        <v>47</v>
      </c>
      <c r="G1156" s="31"/>
      <c r="H1156" s="31" t="n">
        <v>1</v>
      </c>
      <c r="I1156" s="31" t="s">
        <v>77</v>
      </c>
      <c r="J1156" s="29" t="s">
        <v>1528</v>
      </c>
      <c r="K1156" s="29" t="s">
        <v>1529</v>
      </c>
      <c r="L1156" s="32" t="n">
        <v>58</v>
      </c>
      <c r="M1156" s="33" t="s">
        <v>1530</v>
      </c>
      <c r="N1156" s="34" t="n">
        <v>92200</v>
      </c>
      <c r="O1156" s="35" t="s">
        <v>81</v>
      </c>
      <c r="P1156" s="36" t="s">
        <v>1531</v>
      </c>
      <c r="Q1156" s="36" t="n">
        <v>6</v>
      </c>
      <c r="R1156" s="32" t="n">
        <v>201</v>
      </c>
      <c r="S1156" s="32" t="n">
        <v>1</v>
      </c>
      <c r="T1156" s="32"/>
      <c r="U1156" s="32"/>
      <c r="V1156" s="37"/>
      <c r="W1156" s="32"/>
      <c r="X1156" s="34"/>
      <c r="Y1156" s="34"/>
      <c r="Z1156" s="36"/>
      <c r="AA1156" s="32" t="s">
        <v>7049</v>
      </c>
      <c r="AB1156" s="32"/>
      <c r="AC1156" s="38" t="str">
        <f aca="false">HYPERLINK("https://biocodex6--c.vf.force.com/0014L00000KFzEIQA1", "RIBAUT NATHALIE")</f>
        <v>RIBAUT NATHALIE</v>
      </c>
      <c r="AD1156" s="38"/>
      <c r="AE1156" s="39"/>
      <c r="AF1156" s="40"/>
      <c r="AG1156" s="41"/>
      <c r="AH1156" s="32" t="s">
        <v>179</v>
      </c>
      <c r="AI1156" s="32"/>
      <c r="AL1156" s="32"/>
      <c r="AM1156" s="32"/>
      <c r="AN1156" s="32"/>
      <c r="AO1156" s="32"/>
      <c r="AP1156" s="32"/>
      <c r="AQ1156" s="32"/>
      <c r="AR1156" s="32"/>
      <c r="AS1156" s="32"/>
      <c r="AT1156" s="32"/>
      <c r="AU1156" s="32"/>
      <c r="XEY1156" s="27"/>
      <c r="XEZ1156" s="27"/>
      <c r="XFA1156" s="27"/>
      <c r="XFB1156" s="27"/>
      <c r="XFC1156" s="27"/>
      <c r="XFD1156" s="27"/>
    </row>
    <row r="1157" s="42" customFormat="true" ht="14.15" hidden="false" customHeight="true" outlineLevel="0" collapsed="false">
      <c r="A1157" s="28" t="s">
        <v>7050</v>
      </c>
      <c r="B1157" s="29" t="s">
        <v>7051</v>
      </c>
      <c r="C1157" s="29" t="s">
        <v>7052</v>
      </c>
      <c r="D1157" s="30" t="s">
        <v>50</v>
      </c>
      <c r="E1157" s="30" t="s">
        <v>1709</v>
      </c>
      <c r="F1157" s="32" t="n">
        <v>63</v>
      </c>
      <c r="G1157" s="31"/>
      <c r="H1157" s="31" t="n">
        <v>2</v>
      </c>
      <c r="I1157" s="31" t="s">
        <v>77</v>
      </c>
      <c r="J1157" s="29" t="s">
        <v>246</v>
      </c>
      <c r="K1157" s="29" t="s">
        <v>247</v>
      </c>
      <c r="L1157" s="32" t="n">
        <v>36</v>
      </c>
      <c r="M1157" s="33" t="s">
        <v>248</v>
      </c>
      <c r="N1157" s="34" t="n">
        <v>92200</v>
      </c>
      <c r="O1157" s="35" t="s">
        <v>81</v>
      </c>
      <c r="P1157" s="36" t="s">
        <v>7053</v>
      </c>
      <c r="Q1157" s="36" t="n">
        <v>49</v>
      </c>
      <c r="R1157" s="32" t="n">
        <v>201</v>
      </c>
      <c r="S1157" s="32" t="n">
        <v>1</v>
      </c>
      <c r="T1157" s="32"/>
      <c r="U1157" s="32"/>
      <c r="V1157" s="37"/>
      <c r="W1157" s="32"/>
      <c r="X1157" s="34"/>
      <c r="Y1157" s="34"/>
      <c r="Z1157" s="36"/>
      <c r="AA1157" s="32" t="s">
        <v>7054</v>
      </c>
      <c r="AB1157" s="32"/>
      <c r="AC1157" s="38" t="str">
        <f aca="false">HYPERLINK("https://biocodex6--c.vf.force.com/0014L00000KFi2IQAT", "HADRAMI JAMAL")</f>
        <v>HADRAMI JAMAL</v>
      </c>
      <c r="AD1157" s="38"/>
      <c r="AE1157" s="39"/>
      <c r="AF1157" s="40"/>
      <c r="AG1157" s="41"/>
      <c r="AH1157" s="32" t="s">
        <v>179</v>
      </c>
      <c r="AI1157" s="32"/>
      <c r="AL1157" s="32"/>
      <c r="AM1157" s="32"/>
      <c r="AN1157" s="32"/>
      <c r="AO1157" s="32"/>
      <c r="AP1157" s="32"/>
      <c r="AQ1157" s="32"/>
      <c r="AR1157" s="32"/>
      <c r="AS1157" s="32"/>
      <c r="AT1157" s="32"/>
      <c r="AU1157" s="32"/>
      <c r="XEY1157" s="27"/>
      <c r="XEZ1157" s="27"/>
      <c r="XFA1157" s="27"/>
      <c r="XFB1157" s="27"/>
      <c r="XFC1157" s="27"/>
      <c r="XFD1157" s="27"/>
    </row>
    <row r="1158" s="42" customFormat="true" ht="14.15" hidden="false" customHeight="true" outlineLevel="0" collapsed="false">
      <c r="A1158" s="28" t="s">
        <v>7055</v>
      </c>
      <c r="B1158" s="29" t="s">
        <v>7056</v>
      </c>
      <c r="C1158" s="29" t="s">
        <v>7057</v>
      </c>
      <c r="D1158" s="30" t="s">
        <v>50</v>
      </c>
      <c r="E1158" s="31"/>
      <c r="F1158" s="32" t="n">
        <v>44</v>
      </c>
      <c r="G1158" s="31"/>
      <c r="H1158" s="31" t="n">
        <v>1</v>
      </c>
      <c r="I1158" s="31" t="s">
        <v>77</v>
      </c>
      <c r="J1158" s="29" t="s">
        <v>246</v>
      </c>
      <c r="K1158" s="29" t="s">
        <v>247</v>
      </c>
      <c r="L1158" s="32" t="n">
        <v>36</v>
      </c>
      <c r="M1158" s="33" t="s">
        <v>248</v>
      </c>
      <c r="N1158" s="34" t="n">
        <v>92200</v>
      </c>
      <c r="O1158" s="35" t="s">
        <v>81</v>
      </c>
      <c r="P1158" s="36" t="s">
        <v>1163</v>
      </c>
      <c r="Q1158" s="36" t="n">
        <v>49</v>
      </c>
      <c r="R1158" s="32" t="n">
        <v>201</v>
      </c>
      <c r="S1158" s="32" t="n">
        <v>1</v>
      </c>
      <c r="T1158" s="32"/>
      <c r="U1158" s="32"/>
      <c r="V1158" s="37"/>
      <c r="W1158" s="32"/>
      <c r="X1158" s="34"/>
      <c r="Y1158" s="34"/>
      <c r="Z1158" s="32"/>
      <c r="AA1158" s="32" t="s">
        <v>7058</v>
      </c>
      <c r="AB1158" s="32"/>
      <c r="AC1158" s="38" t="str">
        <f aca="false">HYPERLINK("https://biocodex6--c.vf.force.com/0014L00000KFZoXQAX", "DUTECH MIREILLE")</f>
        <v>DUTECH MIREILLE</v>
      </c>
      <c r="AD1158" s="38"/>
      <c r="AE1158" s="39"/>
      <c r="AF1158" s="40"/>
      <c r="AG1158" s="41"/>
      <c r="AH1158" s="32"/>
      <c r="AI1158" s="32"/>
      <c r="AL1158" s="32"/>
      <c r="AM1158" s="32"/>
      <c r="AN1158" s="32"/>
      <c r="AO1158" s="32"/>
      <c r="AP1158" s="32"/>
      <c r="AQ1158" s="32"/>
      <c r="AR1158" s="32"/>
      <c r="AS1158" s="32"/>
      <c r="AT1158" s="32"/>
      <c r="AU1158" s="32"/>
      <c r="XEY1158" s="27"/>
      <c r="XEZ1158" s="27"/>
      <c r="XFA1158" s="27"/>
      <c r="XFB1158" s="27"/>
      <c r="XFC1158" s="27"/>
      <c r="XFD1158" s="27"/>
    </row>
    <row r="1159" s="42" customFormat="true" ht="14.15" hidden="false" customHeight="true" outlineLevel="0" collapsed="false">
      <c r="A1159" s="28" t="s">
        <v>7059</v>
      </c>
      <c r="B1159" s="29" t="s">
        <v>861</v>
      </c>
      <c r="C1159" s="29" t="s">
        <v>7060</v>
      </c>
      <c r="D1159" s="30" t="s">
        <v>50</v>
      </c>
      <c r="E1159" s="31"/>
      <c r="F1159" s="32" t="n">
        <v>54</v>
      </c>
      <c r="G1159" s="31" t="s">
        <v>98</v>
      </c>
      <c r="H1159" s="31" t="n">
        <v>1</v>
      </c>
      <c r="I1159" s="31" t="s">
        <v>77</v>
      </c>
      <c r="J1159" s="29" t="s">
        <v>580</v>
      </c>
      <c r="K1159" s="29" t="s">
        <v>581</v>
      </c>
      <c r="L1159" s="32" t="n">
        <v>63</v>
      </c>
      <c r="M1159" s="33" t="s">
        <v>80</v>
      </c>
      <c r="N1159" s="34" t="n">
        <v>92200</v>
      </c>
      <c r="O1159" s="35" t="s">
        <v>81</v>
      </c>
      <c r="P1159" s="36" t="s">
        <v>7061</v>
      </c>
      <c r="Q1159" s="36" t="n">
        <v>39</v>
      </c>
      <c r="R1159" s="32" t="n">
        <v>201</v>
      </c>
      <c r="S1159" s="32" t="n">
        <v>1</v>
      </c>
      <c r="T1159" s="32"/>
      <c r="U1159" s="32"/>
      <c r="V1159" s="37"/>
      <c r="W1159" s="32"/>
      <c r="X1159" s="34"/>
      <c r="Y1159" s="34"/>
      <c r="Z1159" s="36"/>
      <c r="AA1159" s="32" t="s">
        <v>7062</v>
      </c>
      <c r="AB1159" s="32" t="s">
        <v>7063</v>
      </c>
      <c r="AC1159" s="38" t="str">
        <f aca="false">HYPERLINK("https://biocodex6--c.vf.force.com/0014L00000KFfJ0QAL", "CHAPON CHRISTOPHE")</f>
        <v>CHAPON CHRISTOPHE</v>
      </c>
      <c r="AD1159" s="38" t="str">
        <f aca="false">HYPERLINK("https://annuairesante.ameli.fr/professionnels-de-sante/recherche/fiche-detaillee-CbA1lTI0NzOz.html", "CHAPON CHRISTOPHE")</f>
        <v>CHAPON CHRISTOPHE</v>
      </c>
      <c r="AE1159" s="39"/>
      <c r="AF1159" s="40"/>
      <c r="AG1159" s="41"/>
      <c r="AH1159" s="32" t="s">
        <v>179</v>
      </c>
      <c r="AI1159" s="32"/>
      <c r="AL1159" s="32"/>
      <c r="AM1159" s="32"/>
      <c r="AN1159" s="32"/>
      <c r="AO1159" s="32"/>
      <c r="AP1159" s="32"/>
      <c r="AQ1159" s="32"/>
      <c r="AR1159" s="32"/>
      <c r="AS1159" s="32"/>
      <c r="AT1159" s="32"/>
      <c r="AU1159" s="32"/>
      <c r="XEY1159" s="27"/>
      <c r="XEZ1159" s="27"/>
      <c r="XFA1159" s="27"/>
      <c r="XFB1159" s="27"/>
      <c r="XFC1159" s="27"/>
      <c r="XFD1159" s="27"/>
    </row>
    <row r="1160" s="42" customFormat="true" ht="14.15" hidden="false" customHeight="true" outlineLevel="0" collapsed="false">
      <c r="A1160" s="28" t="s">
        <v>7064</v>
      </c>
      <c r="B1160" s="29" t="s">
        <v>7065</v>
      </c>
      <c r="C1160" s="29" t="s">
        <v>7066</v>
      </c>
      <c r="D1160" s="30" t="s">
        <v>50</v>
      </c>
      <c r="E1160" s="31"/>
      <c r="F1160" s="32"/>
      <c r="G1160" s="31"/>
      <c r="H1160" s="31" t="n">
        <v>1</v>
      </c>
      <c r="I1160" s="31" t="s">
        <v>77</v>
      </c>
      <c r="J1160" s="29" t="s">
        <v>580</v>
      </c>
      <c r="K1160" s="29" t="s">
        <v>581</v>
      </c>
      <c r="L1160" s="32" t="n">
        <v>63</v>
      </c>
      <c r="M1160" s="33" t="s">
        <v>80</v>
      </c>
      <c r="N1160" s="34" t="n">
        <v>92200</v>
      </c>
      <c r="O1160" s="35" t="s">
        <v>81</v>
      </c>
      <c r="P1160" s="36" t="s">
        <v>7067</v>
      </c>
      <c r="Q1160" s="36" t="n">
        <v>39</v>
      </c>
      <c r="R1160" s="32" t="n">
        <v>201</v>
      </c>
      <c r="S1160" s="32" t="n">
        <v>1</v>
      </c>
      <c r="T1160" s="32"/>
      <c r="U1160" s="32"/>
      <c r="V1160" s="37"/>
      <c r="W1160" s="32"/>
      <c r="X1160" s="34"/>
      <c r="Y1160" s="34"/>
      <c r="Z1160" s="36"/>
      <c r="AA1160" s="32" t="s">
        <v>7068</v>
      </c>
      <c r="AB1160" s="32"/>
      <c r="AC1160" s="38" t="str">
        <f aca="false">HYPERLINK("https://biocodex6--c.vf.force.com/0014L00000KGFP8QAP", "MIMURA YOSHIHIRO")</f>
        <v>MIMURA YOSHIHIRO</v>
      </c>
      <c r="AD1160" s="38"/>
      <c r="AE1160" s="39"/>
      <c r="AF1160" s="40"/>
      <c r="AG1160" s="41"/>
      <c r="AH1160" s="32" t="s">
        <v>179</v>
      </c>
      <c r="AI1160" s="32"/>
      <c r="AL1160" s="32"/>
      <c r="AM1160" s="32"/>
      <c r="AN1160" s="32"/>
      <c r="AO1160" s="32"/>
      <c r="AP1160" s="32"/>
      <c r="AQ1160" s="32"/>
      <c r="AR1160" s="32"/>
      <c r="AS1160" s="32"/>
      <c r="AT1160" s="32"/>
      <c r="AU1160" s="32"/>
      <c r="XEY1160" s="27"/>
      <c r="XEZ1160" s="27"/>
      <c r="XFA1160" s="27"/>
      <c r="XFB1160" s="27"/>
      <c r="XFC1160" s="27"/>
      <c r="XFD1160" s="27"/>
    </row>
    <row r="1161" s="42" customFormat="true" ht="14.15" hidden="false" customHeight="true" outlineLevel="0" collapsed="false">
      <c r="A1161" s="28" t="s">
        <v>7069</v>
      </c>
      <c r="B1161" s="29" t="s">
        <v>221</v>
      </c>
      <c r="C1161" s="29" t="s">
        <v>7070</v>
      </c>
      <c r="D1161" s="30" t="s">
        <v>50</v>
      </c>
      <c r="E1161" s="31"/>
      <c r="F1161" s="32" t="n">
        <v>64</v>
      </c>
      <c r="G1161" s="31"/>
      <c r="H1161" s="31" t="n">
        <v>1</v>
      </c>
      <c r="I1161" s="31" t="s">
        <v>77</v>
      </c>
      <c r="J1161" s="29" t="s">
        <v>580</v>
      </c>
      <c r="K1161" s="29" t="s">
        <v>581</v>
      </c>
      <c r="L1161" s="32" t="n">
        <v>63</v>
      </c>
      <c r="M1161" s="33" t="s">
        <v>80</v>
      </c>
      <c r="N1161" s="34" t="n">
        <v>92200</v>
      </c>
      <c r="O1161" s="35" t="s">
        <v>81</v>
      </c>
      <c r="P1161" s="36" t="s">
        <v>7071</v>
      </c>
      <c r="Q1161" s="36" t="n">
        <v>39</v>
      </c>
      <c r="R1161" s="32" t="n">
        <v>201</v>
      </c>
      <c r="S1161" s="32" t="n">
        <v>1</v>
      </c>
      <c r="T1161" s="32"/>
      <c r="U1161" s="32"/>
      <c r="V1161" s="37"/>
      <c r="W1161" s="32"/>
      <c r="X1161" s="34"/>
      <c r="Y1161" s="34"/>
      <c r="Z1161" s="36"/>
      <c r="AA1161" s="32" t="s">
        <v>7072</v>
      </c>
      <c r="AB1161" s="32"/>
      <c r="AC1161" s="38" t="str">
        <f aca="false">HYPERLINK("https://biocodex6--c.vf.force.com/0014L00000KFubiQAD", "PAPON BENOIT")</f>
        <v>PAPON BENOIT</v>
      </c>
      <c r="AD1161" s="38"/>
      <c r="AE1161" s="39"/>
      <c r="AF1161" s="40"/>
      <c r="AG1161" s="41"/>
      <c r="AH1161" s="32" t="s">
        <v>179</v>
      </c>
      <c r="AI1161" s="32"/>
      <c r="AL1161" s="32"/>
      <c r="AM1161" s="32"/>
      <c r="AN1161" s="32"/>
      <c r="AO1161" s="32"/>
      <c r="AP1161" s="32"/>
      <c r="AQ1161" s="32"/>
      <c r="AR1161" s="32"/>
      <c r="AS1161" s="32"/>
      <c r="AT1161" s="32"/>
      <c r="AU1161" s="32"/>
      <c r="XEY1161" s="27"/>
      <c r="XEZ1161" s="27"/>
      <c r="XFA1161" s="27"/>
      <c r="XFB1161" s="27"/>
      <c r="XFC1161" s="27"/>
      <c r="XFD1161" s="27"/>
    </row>
    <row r="1162" s="42" customFormat="true" ht="14.15" hidden="false" customHeight="true" outlineLevel="0" collapsed="false">
      <c r="A1162" s="28" t="s">
        <v>7073</v>
      </c>
      <c r="B1162" s="29" t="s">
        <v>59</v>
      </c>
      <c r="C1162" s="29" t="s">
        <v>7074</v>
      </c>
      <c r="D1162" s="30" t="s">
        <v>50</v>
      </c>
      <c r="E1162" s="30" t="s">
        <v>2281</v>
      </c>
      <c r="F1162" s="32" t="n">
        <v>69</v>
      </c>
      <c r="G1162" s="31"/>
      <c r="H1162" s="31" t="n">
        <v>1</v>
      </c>
      <c r="I1162" s="31" t="s">
        <v>77</v>
      </c>
      <c r="J1162" s="29" t="s">
        <v>580</v>
      </c>
      <c r="K1162" s="29" t="s">
        <v>581</v>
      </c>
      <c r="L1162" s="32" t="n">
        <v>63</v>
      </c>
      <c r="M1162" s="33" t="s">
        <v>80</v>
      </c>
      <c r="N1162" s="34" t="n">
        <v>92200</v>
      </c>
      <c r="O1162" s="35" t="s">
        <v>81</v>
      </c>
      <c r="P1162" s="36" t="s">
        <v>7071</v>
      </c>
      <c r="Q1162" s="36" t="n">
        <v>39</v>
      </c>
      <c r="R1162" s="32" t="n">
        <v>201</v>
      </c>
      <c r="S1162" s="32" t="n">
        <v>1</v>
      </c>
      <c r="T1162" s="32"/>
      <c r="U1162" s="32"/>
      <c r="V1162" s="37"/>
      <c r="W1162" s="32"/>
      <c r="X1162" s="34"/>
      <c r="Y1162" s="34"/>
      <c r="Z1162" s="36"/>
      <c r="AA1162" s="32" t="s">
        <v>7075</v>
      </c>
      <c r="AB1162" s="32"/>
      <c r="AC1162" s="38" t="str">
        <f aca="false">HYPERLINK("https://biocodex6--c.vf.force.com/0014L00000KFfboQAD", "SHIGGINS RICHARD")</f>
        <v>SHIGGINS RICHARD</v>
      </c>
      <c r="AD1162" s="38"/>
      <c r="AE1162" s="39"/>
      <c r="AF1162" s="40"/>
      <c r="AG1162" s="41"/>
      <c r="AH1162" s="32" t="s">
        <v>179</v>
      </c>
      <c r="AI1162" s="32"/>
      <c r="AL1162" s="32"/>
      <c r="AM1162" s="32"/>
      <c r="AN1162" s="32"/>
      <c r="AO1162" s="32"/>
      <c r="AP1162" s="32"/>
      <c r="AQ1162" s="32"/>
      <c r="AR1162" s="32"/>
      <c r="AS1162" s="32"/>
      <c r="AT1162" s="32"/>
      <c r="AU1162" s="32"/>
      <c r="XEY1162" s="27"/>
      <c r="XEZ1162" s="27"/>
      <c r="XFA1162" s="27"/>
      <c r="XFB1162" s="27"/>
      <c r="XFC1162" s="27"/>
      <c r="XFD1162" s="27"/>
    </row>
    <row r="1163" s="42" customFormat="true" ht="14.15" hidden="false" customHeight="true" outlineLevel="0" collapsed="false">
      <c r="A1163" s="28" t="s">
        <v>6697</v>
      </c>
      <c r="B1163" s="29" t="s">
        <v>7076</v>
      </c>
      <c r="C1163" s="29" t="s">
        <v>7077</v>
      </c>
      <c r="D1163" s="30" t="s">
        <v>50</v>
      </c>
      <c r="E1163" s="30" t="s">
        <v>386</v>
      </c>
      <c r="F1163" s="32" t="n">
        <v>61</v>
      </c>
      <c r="G1163" s="31" t="s">
        <v>215</v>
      </c>
      <c r="H1163" s="31" t="n">
        <v>1</v>
      </c>
      <c r="I1163" s="31" t="s">
        <v>435</v>
      </c>
      <c r="J1163" s="29"/>
      <c r="K1163" s="29" t="s">
        <v>7078</v>
      </c>
      <c r="L1163" s="32" t="n">
        <v>95</v>
      </c>
      <c r="M1163" s="33" t="s">
        <v>7079</v>
      </c>
      <c r="N1163" s="34" t="n">
        <v>75016</v>
      </c>
      <c r="O1163" s="35" t="s">
        <v>55</v>
      </c>
      <c r="P1163" s="36" t="s">
        <v>7080</v>
      </c>
      <c r="Q1163" s="36" t="n">
        <v>1</v>
      </c>
      <c r="R1163" s="32" t="n">
        <v>200</v>
      </c>
      <c r="S1163" s="32" t="n">
        <v>1</v>
      </c>
      <c r="T1163" s="32"/>
      <c r="U1163" s="32"/>
      <c r="V1163" s="37"/>
      <c r="W1163" s="32"/>
      <c r="X1163" s="34"/>
      <c r="Y1163" s="34"/>
      <c r="Z1163" s="36"/>
      <c r="AA1163" s="32" t="s">
        <v>7081</v>
      </c>
      <c r="AB1163" s="32" t="s">
        <v>7082</v>
      </c>
      <c r="AC1163" s="38" t="str">
        <f aca="false">HYPERLINK("https://biocodex6--c.vf.force.com/0014L00000KFpJbQAL", "NGUYEN HONG MAI")</f>
        <v>NGUYEN HONG MAI</v>
      </c>
      <c r="AD1163" s="38" t="str">
        <f aca="false">HYPERLINK("https://annuairesante.ameli.fr/professionnels-de-sante/recherche/fiche-detaillee-B7c1lzE2ODq1.html", "NGUYEN HONG MAI")</f>
        <v>NGUYEN HONG MAI</v>
      </c>
      <c r="AE1163" s="39"/>
      <c r="AF1163" s="40"/>
      <c r="AG1163" s="41"/>
      <c r="AH1163" s="32" t="s">
        <v>179</v>
      </c>
      <c r="AI1163" s="32"/>
      <c r="AL1163" s="43" t="s">
        <v>657</v>
      </c>
      <c r="AM1163" s="43" t="s">
        <v>137</v>
      </c>
      <c r="AN1163" s="43" t="s">
        <v>657</v>
      </c>
      <c r="AO1163" s="43" t="s">
        <v>137</v>
      </c>
      <c r="AP1163" s="43" t="s">
        <v>657</v>
      </c>
      <c r="AQ1163" s="43" t="s">
        <v>137</v>
      </c>
      <c r="AR1163" s="43" t="s">
        <v>657</v>
      </c>
      <c r="AS1163" s="43" t="s">
        <v>137</v>
      </c>
      <c r="AT1163" s="43" t="s">
        <v>657</v>
      </c>
      <c r="AU1163" s="43" t="s">
        <v>137</v>
      </c>
      <c r="XEY1163" s="27"/>
      <c r="XEZ1163" s="27"/>
      <c r="XFA1163" s="27"/>
      <c r="XFB1163" s="27"/>
      <c r="XFC1163" s="27"/>
      <c r="XFD1163" s="27"/>
    </row>
    <row r="1164" s="42" customFormat="true" ht="14.15" hidden="false" customHeight="true" outlineLevel="0" collapsed="false">
      <c r="A1164" s="28" t="s">
        <v>7083</v>
      </c>
      <c r="B1164" s="29" t="s">
        <v>773</v>
      </c>
      <c r="C1164" s="29" t="s">
        <v>7084</v>
      </c>
      <c r="D1164" s="30" t="s">
        <v>50</v>
      </c>
      <c r="E1164" s="30" t="s">
        <v>255</v>
      </c>
      <c r="F1164" s="32" t="n">
        <v>53</v>
      </c>
      <c r="G1164" s="31"/>
      <c r="H1164" s="31" t="n">
        <v>1</v>
      </c>
      <c r="I1164" s="31" t="s">
        <v>119</v>
      </c>
      <c r="J1164" s="29"/>
      <c r="K1164" s="29" t="s">
        <v>6802</v>
      </c>
      <c r="L1164" s="32" t="n">
        <v>21</v>
      </c>
      <c r="M1164" s="33" t="s">
        <v>6803</v>
      </c>
      <c r="N1164" s="34" t="n">
        <v>75007</v>
      </c>
      <c r="O1164" s="35" t="s">
        <v>55</v>
      </c>
      <c r="P1164" s="36" t="s">
        <v>6804</v>
      </c>
      <c r="Q1164" s="36" t="n">
        <v>2</v>
      </c>
      <c r="R1164" s="32" t="n">
        <v>199</v>
      </c>
      <c r="S1164" s="32" t="n">
        <v>1</v>
      </c>
      <c r="T1164" s="32"/>
      <c r="U1164" s="32"/>
      <c r="V1164" s="37"/>
      <c r="W1164" s="32"/>
      <c r="X1164" s="34"/>
      <c r="Y1164" s="34"/>
      <c r="Z1164" s="36"/>
      <c r="AA1164" s="32" t="s">
        <v>7085</v>
      </c>
      <c r="AB1164" s="32"/>
      <c r="AC1164" s="38" t="str">
        <f aca="false">HYPERLINK("https://biocodex6--c.vf.force.com/0014L00000KG29PQAT", "SIRBOUX THOMAS")</f>
        <v>SIRBOUX THOMAS</v>
      </c>
      <c r="AD1164" s="38"/>
      <c r="AE1164" s="39"/>
      <c r="AF1164" s="40"/>
      <c r="AG1164" s="41"/>
      <c r="AH1164" s="32" t="s">
        <v>179</v>
      </c>
      <c r="AI1164" s="32"/>
      <c r="AL1164" s="32"/>
      <c r="AM1164" s="32"/>
      <c r="AN1164" s="32"/>
      <c r="AO1164" s="32"/>
      <c r="AP1164" s="32"/>
      <c r="AQ1164" s="32"/>
      <c r="AR1164" s="32"/>
      <c r="AS1164" s="32"/>
      <c r="AT1164" s="32"/>
      <c r="AU1164" s="32"/>
      <c r="XEY1164" s="27"/>
      <c r="XEZ1164" s="27"/>
      <c r="XFA1164" s="27"/>
      <c r="XFB1164" s="27"/>
      <c r="XFC1164" s="27"/>
      <c r="XFD1164" s="27"/>
    </row>
    <row r="1165" s="42" customFormat="true" ht="14.15" hidden="false" customHeight="true" outlineLevel="0" collapsed="false">
      <c r="A1165" s="28" t="s">
        <v>7086</v>
      </c>
      <c r="B1165" s="29" t="s">
        <v>1226</v>
      </c>
      <c r="C1165" s="29" t="s">
        <v>7087</v>
      </c>
      <c r="D1165" s="30" t="s">
        <v>244</v>
      </c>
      <c r="E1165" s="30" t="s">
        <v>245</v>
      </c>
      <c r="F1165" s="32" t="n">
        <v>78</v>
      </c>
      <c r="G1165" s="31" t="s">
        <v>215</v>
      </c>
      <c r="H1165" s="31" t="n">
        <v>2</v>
      </c>
      <c r="I1165" s="31" t="s">
        <v>62</v>
      </c>
      <c r="J1165" s="29"/>
      <c r="K1165" s="29" t="s">
        <v>1137</v>
      </c>
      <c r="L1165" s="32" t="n">
        <v>164</v>
      </c>
      <c r="M1165" s="33" t="s">
        <v>1138</v>
      </c>
      <c r="N1165" s="34" t="n">
        <v>75017</v>
      </c>
      <c r="O1165" s="35" t="s">
        <v>55</v>
      </c>
      <c r="P1165" s="36" t="s">
        <v>7088</v>
      </c>
      <c r="Q1165" s="36" t="n">
        <v>3</v>
      </c>
      <c r="R1165" s="32" t="n">
        <v>199</v>
      </c>
      <c r="S1165" s="32" t="n">
        <v>1</v>
      </c>
      <c r="T1165" s="32"/>
      <c r="U1165" s="32" t="n">
        <v>3</v>
      </c>
      <c r="V1165" s="37"/>
      <c r="W1165" s="32" t="n">
        <v>3</v>
      </c>
      <c r="X1165" s="34"/>
      <c r="Y1165" s="34" t="n">
        <v>3</v>
      </c>
      <c r="Z1165" s="32"/>
      <c r="AA1165" s="32" t="s">
        <v>7089</v>
      </c>
      <c r="AB1165" s="32" t="s">
        <v>7090</v>
      </c>
      <c r="AC1165" s="38" t="str">
        <f aca="false">HYPERLINK("https://biocodex6--c.vf.force.com/0014L00000KFl8BQAT", "KUTNER JEAN PIERRE")</f>
        <v>KUTNER JEAN PIERRE</v>
      </c>
      <c r="AD1165" s="38" t="str">
        <f aca="false">HYPERLINK("https://annuairesante.ameli.fr/professionnels-de-sante/recherche/fiche-detaillee-B7c1lTI3MjS6.html", "KUTNER JEAN PIERRE")</f>
        <v>KUTNER JEAN PIERRE</v>
      </c>
      <c r="AE1165" s="39"/>
      <c r="AF1165" s="40"/>
      <c r="AG1165" s="41"/>
      <c r="AH1165" s="32"/>
      <c r="AI1165" s="32"/>
      <c r="AL1165" s="43" t="s">
        <v>1470</v>
      </c>
      <c r="AM1165" s="32"/>
      <c r="AN1165" s="43" t="s">
        <v>1301</v>
      </c>
      <c r="AO1165" s="43" t="s">
        <v>660</v>
      </c>
      <c r="AP1165" s="32"/>
      <c r="AQ1165" s="43" t="s">
        <v>660</v>
      </c>
      <c r="AR1165" s="32"/>
      <c r="AS1165" s="32"/>
      <c r="AT1165" s="43" t="s">
        <v>1301</v>
      </c>
      <c r="AU1165" s="43" t="s">
        <v>660</v>
      </c>
      <c r="XEY1165" s="27"/>
      <c r="XEZ1165" s="27"/>
      <c r="XFA1165" s="27"/>
      <c r="XFB1165" s="27"/>
      <c r="XFC1165" s="27"/>
      <c r="XFD1165" s="27"/>
    </row>
    <row r="1166" s="42" customFormat="true" ht="14.15" hidden="false" customHeight="true" outlineLevel="0" collapsed="false">
      <c r="A1166" s="28" t="s">
        <v>7091</v>
      </c>
      <c r="B1166" s="29" t="s">
        <v>1101</v>
      </c>
      <c r="C1166" s="29" t="s">
        <v>7092</v>
      </c>
      <c r="D1166" s="30" t="s">
        <v>50</v>
      </c>
      <c r="E1166" s="30" t="s">
        <v>112</v>
      </c>
      <c r="F1166" s="32" t="n">
        <v>65</v>
      </c>
      <c r="G1166" s="31"/>
      <c r="H1166" s="31" t="n">
        <v>1</v>
      </c>
      <c r="I1166" s="31" t="s">
        <v>51</v>
      </c>
      <c r="J1166" s="29" t="s">
        <v>2172</v>
      </c>
      <c r="K1166" s="29" t="s">
        <v>2173</v>
      </c>
      <c r="L1166" s="32" t="n">
        <v>1</v>
      </c>
      <c r="M1166" s="33" t="s">
        <v>3870</v>
      </c>
      <c r="N1166" s="34" t="n">
        <v>75015</v>
      </c>
      <c r="O1166" s="35" t="s">
        <v>55</v>
      </c>
      <c r="P1166" s="36"/>
      <c r="Q1166" s="36" t="n">
        <v>1</v>
      </c>
      <c r="R1166" s="32" t="n">
        <v>198</v>
      </c>
      <c r="S1166" s="32" t="n">
        <v>1</v>
      </c>
      <c r="T1166" s="32"/>
      <c r="U1166" s="32"/>
      <c r="V1166" s="37"/>
      <c r="W1166" s="32"/>
      <c r="X1166" s="34"/>
      <c r="Y1166" s="34"/>
      <c r="Z1166" s="36"/>
      <c r="AA1166" s="32" t="s">
        <v>7093</v>
      </c>
      <c r="AB1166" s="32"/>
      <c r="AC1166" s="38" t="str">
        <f aca="false">HYPERLINK("https://biocodex6--c.vf.force.com/0014L00000KFq0JQAT", "MERESSE JANSSEN ISABELLE")</f>
        <v>MERESSE JANSSEN ISABELLE</v>
      </c>
      <c r="AD1166" s="38"/>
      <c r="AE1166" s="39"/>
      <c r="AF1166" s="40"/>
      <c r="AG1166" s="41"/>
      <c r="AH1166" s="32" t="s">
        <v>179</v>
      </c>
      <c r="AI1166" s="32"/>
      <c r="AJ1166" s="42" t="s">
        <v>2175</v>
      </c>
      <c r="AL1166" s="32"/>
      <c r="AM1166" s="32"/>
      <c r="AN1166" s="32"/>
      <c r="AO1166" s="32"/>
      <c r="AP1166" s="32"/>
      <c r="AQ1166" s="32"/>
      <c r="AR1166" s="32"/>
      <c r="AS1166" s="32"/>
      <c r="AT1166" s="32"/>
      <c r="AU1166" s="32"/>
      <c r="XEY1166" s="27"/>
      <c r="XEZ1166" s="27"/>
      <c r="XFA1166" s="27"/>
      <c r="XFB1166" s="27"/>
      <c r="XFC1166" s="27"/>
      <c r="XFD1166" s="27"/>
    </row>
    <row r="1167" s="42" customFormat="true" ht="14.15" hidden="false" customHeight="true" outlineLevel="0" collapsed="false">
      <c r="A1167" s="28" t="s">
        <v>7094</v>
      </c>
      <c r="B1167" s="29" t="s">
        <v>6492</v>
      </c>
      <c r="C1167" s="29" t="s">
        <v>7095</v>
      </c>
      <c r="D1167" s="30" t="s">
        <v>50</v>
      </c>
      <c r="E1167" s="31"/>
      <c r="F1167" s="32" t="n">
        <v>41</v>
      </c>
      <c r="G1167" s="31"/>
      <c r="H1167" s="31" t="n">
        <v>1</v>
      </c>
      <c r="I1167" s="31" t="s">
        <v>51</v>
      </c>
      <c r="J1167" s="29" t="s">
        <v>52</v>
      </c>
      <c r="K1167" s="29" t="s">
        <v>53</v>
      </c>
      <c r="L1167" s="32" t="n">
        <v>149</v>
      </c>
      <c r="M1167" s="33" t="s">
        <v>54</v>
      </c>
      <c r="N1167" s="34" t="n">
        <v>75015</v>
      </c>
      <c r="O1167" s="35" t="s">
        <v>55</v>
      </c>
      <c r="P1167" s="36" t="s">
        <v>1710</v>
      </c>
      <c r="Q1167" s="36" t="n">
        <v>236</v>
      </c>
      <c r="R1167" s="32" t="n">
        <v>198</v>
      </c>
      <c r="S1167" s="32" t="n">
        <v>1</v>
      </c>
      <c r="T1167" s="32"/>
      <c r="U1167" s="32"/>
      <c r="V1167" s="37"/>
      <c r="W1167" s="32"/>
      <c r="X1167" s="34"/>
      <c r="Y1167" s="34"/>
      <c r="Z1167" s="36"/>
      <c r="AA1167" s="32" t="s">
        <v>7096</v>
      </c>
      <c r="AB1167" s="32"/>
      <c r="AC1167" s="38" t="str">
        <f aca="false">HYPERLINK("https://biocodex6--c.vf.force.com/0014L00000KFhwoQAD", "KHELIFI GREGORY")</f>
        <v>KHELIFI GREGORY</v>
      </c>
      <c r="AD1167" s="38"/>
      <c r="AE1167" s="39"/>
      <c r="AF1167" s="40"/>
      <c r="AG1167" s="41"/>
      <c r="AH1167" s="32" t="s">
        <v>179</v>
      </c>
      <c r="AI1167" s="32"/>
      <c r="AL1167" s="32"/>
      <c r="AM1167" s="32"/>
      <c r="AN1167" s="32"/>
      <c r="AO1167" s="32"/>
      <c r="AP1167" s="32"/>
      <c r="AQ1167" s="32"/>
      <c r="AR1167" s="32"/>
      <c r="AS1167" s="32"/>
      <c r="AT1167" s="32"/>
      <c r="AU1167" s="32"/>
      <c r="XEY1167" s="27"/>
      <c r="XEZ1167" s="27"/>
      <c r="XFA1167" s="27"/>
      <c r="XFB1167" s="27"/>
      <c r="XFC1167" s="27"/>
      <c r="XFD1167" s="27"/>
    </row>
    <row r="1168" s="42" customFormat="true" ht="14.15" hidden="false" customHeight="true" outlineLevel="0" collapsed="false">
      <c r="A1168" s="28" t="s">
        <v>7097</v>
      </c>
      <c r="B1168" s="29" t="s">
        <v>848</v>
      </c>
      <c r="C1168" s="29" t="s">
        <v>7098</v>
      </c>
      <c r="D1168" s="30" t="s">
        <v>268</v>
      </c>
      <c r="E1168" s="30" t="s">
        <v>112</v>
      </c>
      <c r="F1168" s="32" t="n">
        <v>53</v>
      </c>
      <c r="G1168" s="31"/>
      <c r="H1168" s="31" t="n">
        <v>1</v>
      </c>
      <c r="I1168" s="31" t="s">
        <v>51</v>
      </c>
      <c r="J1168" s="29" t="s">
        <v>52</v>
      </c>
      <c r="K1168" s="29" t="s">
        <v>53</v>
      </c>
      <c r="L1168" s="32" t="n">
        <v>149</v>
      </c>
      <c r="M1168" s="33" t="s">
        <v>54</v>
      </c>
      <c r="N1168" s="34" t="n">
        <v>75015</v>
      </c>
      <c r="O1168" s="35" t="s">
        <v>55</v>
      </c>
      <c r="P1168" s="36" t="s">
        <v>269</v>
      </c>
      <c r="Q1168" s="36" t="n">
        <v>236</v>
      </c>
      <c r="R1168" s="32" t="n">
        <v>198</v>
      </c>
      <c r="S1168" s="32" t="n">
        <v>1</v>
      </c>
      <c r="T1168" s="32"/>
      <c r="U1168" s="32"/>
      <c r="V1168" s="37"/>
      <c r="W1168" s="32"/>
      <c r="X1168" s="34"/>
      <c r="Y1168" s="34"/>
      <c r="Z1168" s="36"/>
      <c r="AA1168" s="32" t="s">
        <v>7099</v>
      </c>
      <c r="AB1168" s="32"/>
      <c r="AC1168" s="38" t="str">
        <f aca="false">HYPERLINK("https://biocodex6--c.vf.force.com/0014L00000KFTjzQAH", "BAHI BUISSON NADIA")</f>
        <v>BAHI BUISSON NADIA</v>
      </c>
      <c r="AD1168" s="38"/>
      <c r="AE1168" s="39"/>
      <c r="AF1168" s="40"/>
      <c r="AG1168" s="41"/>
      <c r="AH1168" s="32" t="s">
        <v>179</v>
      </c>
      <c r="AI1168" s="32"/>
      <c r="AL1168" s="32"/>
      <c r="AM1168" s="32"/>
      <c r="AN1168" s="32"/>
      <c r="AO1168" s="32"/>
      <c r="AP1168" s="32"/>
      <c r="AQ1168" s="32"/>
      <c r="AR1168" s="32"/>
      <c r="AS1168" s="32"/>
      <c r="AT1168" s="32"/>
      <c r="AU1168" s="32"/>
      <c r="XEY1168" s="27"/>
      <c r="XEZ1168" s="27"/>
      <c r="XFA1168" s="27"/>
      <c r="XFB1168" s="27"/>
      <c r="XFC1168" s="27"/>
      <c r="XFD1168" s="27"/>
    </row>
    <row r="1169" s="42" customFormat="true" ht="14.15" hidden="false" customHeight="true" outlineLevel="0" collapsed="false">
      <c r="A1169" s="28" t="s">
        <v>7100</v>
      </c>
      <c r="B1169" s="29" t="s">
        <v>332</v>
      </c>
      <c r="C1169" s="29" t="s">
        <v>7101</v>
      </c>
      <c r="D1169" s="30" t="s">
        <v>268</v>
      </c>
      <c r="E1169" s="30" t="s">
        <v>112</v>
      </c>
      <c r="F1169" s="32" t="n">
        <v>70</v>
      </c>
      <c r="G1169" s="31"/>
      <c r="H1169" s="31" t="n">
        <v>1</v>
      </c>
      <c r="I1169" s="31" t="s">
        <v>51</v>
      </c>
      <c r="J1169" s="29" t="s">
        <v>52</v>
      </c>
      <c r="K1169" s="29" t="s">
        <v>53</v>
      </c>
      <c r="L1169" s="32" t="n">
        <v>149</v>
      </c>
      <c r="M1169" s="33" t="s">
        <v>54</v>
      </c>
      <c r="N1169" s="34" t="n">
        <v>75015</v>
      </c>
      <c r="O1169" s="35" t="s">
        <v>55</v>
      </c>
      <c r="P1169" s="36" t="s">
        <v>269</v>
      </c>
      <c r="Q1169" s="36" t="n">
        <v>236</v>
      </c>
      <c r="R1169" s="32" t="n">
        <v>198</v>
      </c>
      <c r="S1169" s="32" t="n">
        <v>1</v>
      </c>
      <c r="T1169" s="32"/>
      <c r="U1169" s="32"/>
      <c r="V1169" s="37"/>
      <c r="W1169" s="32"/>
      <c r="X1169" s="34"/>
      <c r="Y1169" s="34"/>
      <c r="Z1169" s="36"/>
      <c r="AA1169" s="32" t="s">
        <v>7102</v>
      </c>
      <c r="AB1169" s="32"/>
      <c r="AC1169" s="38" t="str">
        <f aca="false">HYPERLINK("https://biocodex6--c.vf.force.com/0014L00000KFWWZQA5", "CHIRON CATHERINE")</f>
        <v>CHIRON CATHERINE</v>
      </c>
      <c r="AD1169" s="38"/>
      <c r="AE1169" s="39"/>
      <c r="AF1169" s="40"/>
      <c r="AG1169" s="41"/>
      <c r="AH1169" s="32" t="s">
        <v>179</v>
      </c>
      <c r="AI1169" s="32"/>
      <c r="AL1169" s="32"/>
      <c r="AM1169" s="32"/>
      <c r="AN1169" s="32"/>
      <c r="AO1169" s="32"/>
      <c r="AP1169" s="32"/>
      <c r="AQ1169" s="32"/>
      <c r="AR1169" s="32"/>
      <c r="AS1169" s="32"/>
      <c r="AT1169" s="32"/>
      <c r="AU1169" s="32"/>
      <c r="XEY1169" s="27"/>
      <c r="XEZ1169" s="27"/>
      <c r="XFA1169" s="27"/>
      <c r="XFB1169" s="27"/>
      <c r="XFC1169" s="27"/>
      <c r="XFD1169" s="27"/>
    </row>
    <row r="1170" s="42" customFormat="true" ht="14.15" hidden="false" customHeight="true" outlineLevel="0" collapsed="false">
      <c r="A1170" s="28" t="s">
        <v>7103</v>
      </c>
      <c r="B1170" s="29" t="s">
        <v>1539</v>
      </c>
      <c r="C1170" s="29" t="s">
        <v>7104</v>
      </c>
      <c r="D1170" s="30" t="s">
        <v>268</v>
      </c>
      <c r="E1170" s="31"/>
      <c r="F1170" s="32" t="n">
        <v>51</v>
      </c>
      <c r="G1170" s="31"/>
      <c r="H1170" s="31" t="n">
        <v>1</v>
      </c>
      <c r="I1170" s="31" t="s">
        <v>51</v>
      </c>
      <c r="J1170" s="29" t="s">
        <v>52</v>
      </c>
      <c r="K1170" s="29" t="s">
        <v>53</v>
      </c>
      <c r="L1170" s="32" t="n">
        <v>149</v>
      </c>
      <c r="M1170" s="33" t="s">
        <v>54</v>
      </c>
      <c r="N1170" s="34" t="n">
        <v>75015</v>
      </c>
      <c r="O1170" s="35" t="s">
        <v>55</v>
      </c>
      <c r="P1170" s="36" t="s">
        <v>2529</v>
      </c>
      <c r="Q1170" s="36" t="n">
        <v>236</v>
      </c>
      <c r="R1170" s="32" t="n">
        <v>198</v>
      </c>
      <c r="S1170" s="32" t="n">
        <v>1</v>
      </c>
      <c r="T1170" s="32"/>
      <c r="U1170" s="32"/>
      <c r="V1170" s="37"/>
      <c r="W1170" s="32"/>
      <c r="X1170" s="34"/>
      <c r="Y1170" s="34"/>
      <c r="Z1170" s="36"/>
      <c r="AA1170" s="32" t="s">
        <v>7105</v>
      </c>
      <c r="AB1170" s="32"/>
      <c r="AC1170" s="38" t="str">
        <f aca="false">HYPERLINK("https://biocodex6--c.vf.force.com/0014L00000KFxgBQAT", "PUGET STEPHANIE")</f>
        <v>PUGET STEPHANIE</v>
      </c>
      <c r="AD1170" s="38"/>
      <c r="AE1170" s="39"/>
      <c r="AF1170" s="40"/>
      <c r="AG1170" s="41"/>
      <c r="AH1170" s="32" t="s">
        <v>179</v>
      </c>
      <c r="AI1170" s="32"/>
      <c r="AL1170" s="32"/>
      <c r="AM1170" s="32"/>
      <c r="AN1170" s="32"/>
      <c r="AO1170" s="32"/>
      <c r="AP1170" s="32"/>
      <c r="AQ1170" s="32"/>
      <c r="AR1170" s="32"/>
      <c r="AS1170" s="32"/>
      <c r="AT1170" s="32"/>
      <c r="AU1170" s="32"/>
      <c r="XEY1170" s="27"/>
      <c r="XEZ1170" s="27"/>
      <c r="XFA1170" s="27"/>
      <c r="XFB1170" s="27"/>
      <c r="XFC1170" s="27"/>
      <c r="XFD1170" s="27"/>
    </row>
    <row r="1171" s="42" customFormat="true" ht="14.15" hidden="false" customHeight="true" outlineLevel="0" collapsed="false">
      <c r="A1171" s="28" t="s">
        <v>7106</v>
      </c>
      <c r="B1171" s="29" t="s">
        <v>1200</v>
      </c>
      <c r="C1171" s="29" t="s">
        <v>7107</v>
      </c>
      <c r="D1171" s="30" t="s">
        <v>50</v>
      </c>
      <c r="E1171" s="30" t="s">
        <v>245</v>
      </c>
      <c r="F1171" s="32" t="n">
        <v>0</v>
      </c>
      <c r="G1171" s="31"/>
      <c r="H1171" s="31" t="n">
        <v>2</v>
      </c>
      <c r="I1171" s="31" t="s">
        <v>51</v>
      </c>
      <c r="J1171" s="29" t="s">
        <v>2172</v>
      </c>
      <c r="K1171" s="29" t="s">
        <v>2173</v>
      </c>
      <c r="L1171" s="32" t="n">
        <v>2</v>
      </c>
      <c r="M1171" s="33" t="s">
        <v>2174</v>
      </c>
      <c r="N1171" s="34" t="n">
        <v>75015</v>
      </c>
      <c r="O1171" s="35" t="s">
        <v>55</v>
      </c>
      <c r="P1171" s="36"/>
      <c r="Q1171" s="36" t="n">
        <v>5</v>
      </c>
      <c r="R1171" s="32" t="n">
        <v>198</v>
      </c>
      <c r="S1171" s="32" t="n">
        <v>1</v>
      </c>
      <c r="T1171" s="32"/>
      <c r="U1171" s="32"/>
      <c r="V1171" s="37"/>
      <c r="W1171" s="32"/>
      <c r="X1171" s="34"/>
      <c r="Y1171" s="34"/>
      <c r="Z1171" s="32"/>
      <c r="AA1171" s="32" t="s">
        <v>7108</v>
      </c>
      <c r="AB1171" s="32"/>
      <c r="AC1171" s="38" t="str">
        <f aca="false">HYPERLINK("https://biocodex6--c.vf.force.com/0014L00000KFmStQAL", "DE PANTHOU LECOCQ CHARLOTTE")</f>
        <v>DE PANTHOU LECOCQ CHARLOTTE</v>
      </c>
      <c r="AD1171" s="38"/>
      <c r="AE1171" s="39"/>
      <c r="AF1171" s="40"/>
      <c r="AG1171" s="41"/>
      <c r="AH1171" s="32"/>
      <c r="AI1171" s="32"/>
      <c r="AJ1171" s="42" t="s">
        <v>2175</v>
      </c>
      <c r="AL1171" s="32"/>
      <c r="AM1171" s="32"/>
      <c r="AN1171" s="32"/>
      <c r="AO1171" s="32"/>
      <c r="AP1171" s="32"/>
      <c r="AQ1171" s="32"/>
      <c r="AR1171" s="32"/>
      <c r="AS1171" s="32"/>
      <c r="AT1171" s="32"/>
      <c r="AU1171" s="32"/>
      <c r="XEY1171" s="27"/>
      <c r="XEZ1171" s="27"/>
      <c r="XFA1171" s="27"/>
      <c r="XFB1171" s="27"/>
      <c r="XFC1171" s="27"/>
      <c r="XFD1171" s="27"/>
    </row>
    <row r="1172" s="42" customFormat="true" ht="14.15" hidden="false" customHeight="true" outlineLevel="0" collapsed="false">
      <c r="A1172" s="28" t="s">
        <v>7109</v>
      </c>
      <c r="B1172" s="29" t="s">
        <v>2081</v>
      </c>
      <c r="C1172" s="29" t="s">
        <v>7110</v>
      </c>
      <c r="D1172" s="30" t="s">
        <v>268</v>
      </c>
      <c r="E1172" s="30" t="s">
        <v>5481</v>
      </c>
      <c r="F1172" s="32" t="n">
        <v>55</v>
      </c>
      <c r="G1172" s="31"/>
      <c r="H1172" s="31" t="n">
        <v>1</v>
      </c>
      <c r="I1172" s="31" t="s">
        <v>77</v>
      </c>
      <c r="J1172" s="29" t="s">
        <v>246</v>
      </c>
      <c r="K1172" s="29" t="s">
        <v>247</v>
      </c>
      <c r="L1172" s="32" t="n">
        <v>36</v>
      </c>
      <c r="M1172" s="33" t="s">
        <v>248</v>
      </c>
      <c r="N1172" s="34" t="n">
        <v>92200</v>
      </c>
      <c r="O1172" s="35" t="s">
        <v>81</v>
      </c>
      <c r="P1172" s="36" t="s">
        <v>7111</v>
      </c>
      <c r="Q1172" s="36" t="n">
        <v>49</v>
      </c>
      <c r="R1172" s="32" t="n">
        <v>198</v>
      </c>
      <c r="S1172" s="32" t="n">
        <v>1</v>
      </c>
      <c r="T1172" s="32"/>
      <c r="U1172" s="32"/>
      <c r="V1172" s="37"/>
      <c r="W1172" s="32"/>
      <c r="X1172" s="34"/>
      <c r="Y1172" s="34"/>
      <c r="Z1172" s="36"/>
      <c r="AA1172" s="32" t="s">
        <v>7112</v>
      </c>
      <c r="AB1172" s="32"/>
      <c r="AC1172" s="38" t="str">
        <f aca="false">HYPERLINK("https://biocodex6--c.vf.force.com/0014L00000KFZyxQAH", "VIGNOLO PATRICIA")</f>
        <v>VIGNOLO PATRICIA</v>
      </c>
      <c r="AD1172" s="38"/>
      <c r="AE1172" s="39"/>
      <c r="AF1172" s="40"/>
      <c r="AG1172" s="41"/>
      <c r="AH1172" s="32" t="s">
        <v>179</v>
      </c>
      <c r="AI1172" s="32"/>
      <c r="AL1172" s="32"/>
      <c r="AM1172" s="32"/>
      <c r="AN1172" s="32"/>
      <c r="AO1172" s="32"/>
      <c r="AP1172" s="32"/>
      <c r="AQ1172" s="32"/>
      <c r="AR1172" s="32"/>
      <c r="AS1172" s="32"/>
      <c r="AT1172" s="32"/>
      <c r="AU1172" s="32"/>
      <c r="XEY1172" s="27"/>
      <c r="XEZ1172" s="27"/>
      <c r="XFA1172" s="27"/>
      <c r="XFB1172" s="27"/>
      <c r="XFC1172" s="27"/>
      <c r="XFD1172" s="27"/>
    </row>
    <row r="1173" s="42" customFormat="true" ht="14.15" hidden="false" customHeight="true" outlineLevel="0" collapsed="false">
      <c r="A1173" s="28" t="s">
        <v>7113</v>
      </c>
      <c r="B1173" s="29" t="s">
        <v>2987</v>
      </c>
      <c r="C1173" s="29" t="s">
        <v>7114</v>
      </c>
      <c r="D1173" s="30" t="s">
        <v>50</v>
      </c>
      <c r="E1173" s="30" t="s">
        <v>1228</v>
      </c>
      <c r="F1173" s="32" t="n">
        <v>68</v>
      </c>
      <c r="G1173" s="31" t="s">
        <v>98</v>
      </c>
      <c r="H1173" s="31" t="n">
        <v>3</v>
      </c>
      <c r="I1173" s="30" t="s">
        <v>51</v>
      </c>
      <c r="J1173" s="49" t="s">
        <v>52</v>
      </c>
      <c r="K1173" s="29" t="s">
        <v>53</v>
      </c>
      <c r="L1173" s="32" t="n">
        <v>149</v>
      </c>
      <c r="M1173" s="33" t="s">
        <v>54</v>
      </c>
      <c r="N1173" s="34" t="n">
        <v>75015</v>
      </c>
      <c r="O1173" s="35" t="s">
        <v>55</v>
      </c>
      <c r="P1173" s="36" t="s">
        <v>687</v>
      </c>
      <c r="Q1173" s="36" t="n">
        <v>236</v>
      </c>
      <c r="R1173" s="32" t="n">
        <v>197</v>
      </c>
      <c r="S1173" s="32" t="n">
        <v>1</v>
      </c>
      <c r="T1173" s="32"/>
      <c r="U1173" s="32"/>
      <c r="V1173" s="37"/>
      <c r="W1173" s="32"/>
      <c r="X1173" s="34"/>
      <c r="Y1173" s="34"/>
      <c r="Z1173" s="32"/>
      <c r="AA1173" s="32" t="s">
        <v>7115</v>
      </c>
      <c r="AB1173" s="32" t="s">
        <v>7116</v>
      </c>
      <c r="AC1173" s="38" t="str">
        <f aca="false">HYPERLINK("https://biocodex6--c.vf.force.com/0014L00000KFXMzQAP", "CONNAULT THIERRY")</f>
        <v>CONNAULT THIERRY</v>
      </c>
      <c r="AD1173" s="38" t="str">
        <f aca="false">HYPERLINK("https://annuairesante.ameli.fr/professionnels-de-sante/recherche/fiche-detaillee-B7c1lDsxODq2.html", "CONNAULT THIERRY")</f>
        <v>CONNAULT THIERRY</v>
      </c>
      <c r="AE1173" s="39"/>
      <c r="AF1173" s="40"/>
      <c r="AG1173" s="41"/>
      <c r="AH1173" s="32"/>
      <c r="AI1173" s="32"/>
      <c r="AL1173" s="32"/>
      <c r="AM1173" s="43" t="s">
        <v>137</v>
      </c>
      <c r="AN1173" s="43" t="s">
        <v>657</v>
      </c>
      <c r="AO1173" s="43" t="s">
        <v>137</v>
      </c>
      <c r="AP1173" s="32"/>
      <c r="AQ1173" s="43" t="s">
        <v>137</v>
      </c>
      <c r="AR1173" s="43" t="s">
        <v>657</v>
      </c>
      <c r="AS1173" s="43" t="s">
        <v>137</v>
      </c>
      <c r="AT1173" s="43" t="s">
        <v>657</v>
      </c>
      <c r="AU1173" s="43" t="s">
        <v>137</v>
      </c>
      <c r="XEY1173" s="27"/>
      <c r="XEZ1173" s="27"/>
      <c r="XFA1173" s="27"/>
      <c r="XFB1173" s="27"/>
      <c r="XFC1173" s="27"/>
      <c r="XFD1173" s="27"/>
    </row>
    <row r="1174" s="42" customFormat="true" ht="14.15" hidden="false" customHeight="true" outlineLevel="0" collapsed="false">
      <c r="A1174" s="28" t="s">
        <v>7117</v>
      </c>
      <c r="B1174" s="29" t="s">
        <v>2794</v>
      </c>
      <c r="C1174" s="29" t="s">
        <v>7118</v>
      </c>
      <c r="D1174" s="30" t="s">
        <v>75</v>
      </c>
      <c r="E1174" s="31"/>
      <c r="F1174" s="32" t="n">
        <v>35</v>
      </c>
      <c r="G1174" s="31"/>
      <c r="H1174" s="31" t="n">
        <v>1</v>
      </c>
      <c r="I1174" s="31" t="s">
        <v>99</v>
      </c>
      <c r="J1174" s="29" t="s">
        <v>595</v>
      </c>
      <c r="K1174" s="29" t="s">
        <v>596</v>
      </c>
      <c r="L1174" s="32" t="n">
        <v>20</v>
      </c>
      <c r="M1174" s="33" t="s">
        <v>597</v>
      </c>
      <c r="N1174" s="34" t="n">
        <v>75015</v>
      </c>
      <c r="O1174" s="35" t="s">
        <v>55</v>
      </c>
      <c r="P1174" s="36" t="s">
        <v>2251</v>
      </c>
      <c r="Q1174" s="36" t="n">
        <v>90</v>
      </c>
      <c r="R1174" s="32" t="n">
        <v>197</v>
      </c>
      <c r="S1174" s="32" t="n">
        <v>1</v>
      </c>
      <c r="T1174" s="32"/>
      <c r="U1174" s="32"/>
      <c r="V1174" s="37"/>
      <c r="W1174" s="32"/>
      <c r="X1174" s="34"/>
      <c r="Y1174" s="34"/>
      <c r="Z1174" s="36"/>
      <c r="AA1174" s="32" t="s">
        <v>7119</v>
      </c>
      <c r="AB1174" s="32"/>
      <c r="AC1174" s="38" t="str">
        <f aca="false">HYPERLINK("https://biocodex6--c.vf.force.com/0014L00000KG8ubQAD", "GALLOIS CLAIRE")</f>
        <v>GALLOIS CLAIRE</v>
      </c>
      <c r="AD1174" s="38"/>
      <c r="AE1174" s="39"/>
      <c r="AF1174" s="40"/>
      <c r="AG1174" s="41"/>
      <c r="AH1174" s="32" t="s">
        <v>179</v>
      </c>
      <c r="AI1174" s="32"/>
      <c r="AL1174" s="32"/>
      <c r="AM1174" s="32"/>
      <c r="AN1174" s="32"/>
      <c r="AO1174" s="32"/>
      <c r="AP1174" s="32"/>
      <c r="AQ1174" s="32"/>
      <c r="AR1174" s="32"/>
      <c r="AS1174" s="32"/>
      <c r="AT1174" s="32"/>
      <c r="AU1174" s="32"/>
      <c r="XEY1174" s="27"/>
      <c r="XEZ1174" s="27"/>
      <c r="XFA1174" s="27"/>
      <c r="XFB1174" s="27"/>
      <c r="XFC1174" s="27"/>
      <c r="XFD1174" s="27"/>
    </row>
    <row r="1175" s="42" customFormat="true" ht="14.15" hidden="false" customHeight="true" outlineLevel="0" collapsed="false">
      <c r="A1175" s="28" t="s">
        <v>7120</v>
      </c>
      <c r="B1175" s="29" t="s">
        <v>7121</v>
      </c>
      <c r="C1175" s="29" t="s">
        <v>7122</v>
      </c>
      <c r="D1175" s="30" t="s">
        <v>50</v>
      </c>
      <c r="E1175" s="30" t="s">
        <v>7123</v>
      </c>
      <c r="F1175" s="32" t="n">
        <v>47</v>
      </c>
      <c r="G1175" s="31"/>
      <c r="H1175" s="31" t="n">
        <v>2</v>
      </c>
      <c r="I1175" s="31" t="s">
        <v>51</v>
      </c>
      <c r="J1175" s="29" t="s">
        <v>52</v>
      </c>
      <c r="K1175" s="29" t="s">
        <v>53</v>
      </c>
      <c r="L1175" s="32" t="n">
        <v>149</v>
      </c>
      <c r="M1175" s="33" t="s">
        <v>54</v>
      </c>
      <c r="N1175" s="34" t="n">
        <v>75015</v>
      </c>
      <c r="O1175" s="35" t="s">
        <v>55</v>
      </c>
      <c r="P1175" s="36" t="s">
        <v>7124</v>
      </c>
      <c r="Q1175" s="36" t="n">
        <v>236</v>
      </c>
      <c r="R1175" s="32" t="n">
        <v>197</v>
      </c>
      <c r="S1175" s="32" t="n">
        <v>1</v>
      </c>
      <c r="T1175" s="32"/>
      <c r="U1175" s="32"/>
      <c r="V1175" s="37"/>
      <c r="W1175" s="32"/>
      <c r="X1175" s="34"/>
      <c r="Y1175" s="34"/>
      <c r="Z1175" s="36"/>
      <c r="AA1175" s="32" t="s">
        <v>7125</v>
      </c>
      <c r="AB1175" s="32"/>
      <c r="AC1175" s="38" t="str">
        <f aca="false">HYPERLINK("https://biocodex6--c.vf.force.com/0014L00000KFiNGQA1", "KADDOUR BRAHIM ABDELKHALED")</f>
        <v>KADDOUR BRAHIM ABDELKHALED</v>
      </c>
      <c r="AD1175" s="38"/>
      <c r="AE1175" s="39"/>
      <c r="AF1175" s="40"/>
      <c r="AG1175" s="41"/>
      <c r="AH1175" s="32" t="s">
        <v>179</v>
      </c>
      <c r="AI1175" s="32"/>
      <c r="AL1175" s="32"/>
      <c r="AM1175" s="32"/>
      <c r="AN1175" s="32"/>
      <c r="AO1175" s="32"/>
      <c r="AP1175" s="32"/>
      <c r="AQ1175" s="32"/>
      <c r="AR1175" s="32"/>
      <c r="AS1175" s="32"/>
      <c r="AT1175" s="32"/>
      <c r="AU1175" s="32"/>
      <c r="XEY1175" s="27"/>
      <c r="XEZ1175" s="27"/>
      <c r="XFA1175" s="27"/>
      <c r="XFB1175" s="27"/>
      <c r="XFC1175" s="27"/>
      <c r="XFD1175" s="27"/>
    </row>
    <row r="1176" s="42" customFormat="true" ht="14.15" hidden="false" customHeight="true" outlineLevel="0" collapsed="false">
      <c r="A1176" s="28" t="s">
        <v>7126</v>
      </c>
      <c r="B1176" s="29" t="s">
        <v>1438</v>
      </c>
      <c r="C1176" s="29" t="s">
        <v>7127</v>
      </c>
      <c r="D1176" s="30" t="s">
        <v>50</v>
      </c>
      <c r="E1176" s="31"/>
      <c r="F1176" s="32" t="n">
        <v>41</v>
      </c>
      <c r="G1176" s="31" t="s">
        <v>98</v>
      </c>
      <c r="H1176" s="31" t="n">
        <v>1</v>
      </c>
      <c r="I1176" s="31" t="s">
        <v>119</v>
      </c>
      <c r="J1176" s="29"/>
      <c r="K1176" s="29" t="s">
        <v>7128</v>
      </c>
      <c r="L1176" s="32" t="n">
        <v>20</v>
      </c>
      <c r="M1176" s="33" t="s">
        <v>946</v>
      </c>
      <c r="N1176" s="34" t="n">
        <v>75007</v>
      </c>
      <c r="O1176" s="35" t="s">
        <v>55</v>
      </c>
      <c r="P1176" s="36" t="s">
        <v>7129</v>
      </c>
      <c r="Q1176" s="36" t="n">
        <v>2</v>
      </c>
      <c r="R1176" s="32" t="n">
        <v>196</v>
      </c>
      <c r="S1176" s="32" t="n">
        <v>1</v>
      </c>
      <c r="T1176" s="32"/>
      <c r="U1176" s="32"/>
      <c r="V1176" s="37"/>
      <c r="W1176" s="32"/>
      <c r="X1176" s="34"/>
      <c r="Y1176" s="34"/>
      <c r="Z1176" s="36"/>
      <c r="AA1176" s="32" t="s">
        <v>7130</v>
      </c>
      <c r="AB1176" s="32" t="s">
        <v>7131</v>
      </c>
      <c r="AC1176" s="38" t="str">
        <f aca="false">HYPERLINK("https://biocodex6--c.vf.force.com/0014L00000KFSGQQA5", "ATTAL BEHAR JULIE")</f>
        <v>ATTAL BEHAR JULIE</v>
      </c>
      <c r="AD1176" s="38" t="str">
        <f aca="false">HYPERLINK("https://annuairesante.ameli.fr/professionnels-de-sante/recherche/fiche-detaillee-B7c1lTE4NTC3.html", "ATTAL BEHAR JULIE")</f>
        <v>ATTAL BEHAR JULIE</v>
      </c>
      <c r="AE1176" s="39" t="n">
        <v>45328.6666666667</v>
      </c>
      <c r="AF1176" s="40"/>
      <c r="AG1176" s="41"/>
      <c r="AH1176" s="32" t="s">
        <v>179</v>
      </c>
      <c r="AI1176" s="32"/>
      <c r="AL1176" s="32"/>
      <c r="AM1176" s="32"/>
      <c r="AN1176" s="32"/>
      <c r="AO1176" s="32"/>
      <c r="AP1176" s="32"/>
      <c r="AQ1176" s="32"/>
      <c r="AR1176" s="32"/>
      <c r="AS1176" s="32"/>
      <c r="AT1176" s="32"/>
      <c r="AU1176" s="32"/>
      <c r="XEY1176" s="27"/>
      <c r="XEZ1176" s="27"/>
      <c r="XFA1176" s="27"/>
      <c r="XFB1176" s="27"/>
      <c r="XFC1176" s="27"/>
      <c r="XFD1176" s="27"/>
    </row>
    <row r="1177" s="42" customFormat="true" ht="14.15" hidden="false" customHeight="true" outlineLevel="0" collapsed="false">
      <c r="A1177" s="28" t="s">
        <v>7132</v>
      </c>
      <c r="B1177" s="29" t="s">
        <v>632</v>
      </c>
      <c r="C1177" s="29" t="s">
        <v>7133</v>
      </c>
      <c r="D1177" s="30" t="s">
        <v>50</v>
      </c>
      <c r="E1177" s="30" t="s">
        <v>245</v>
      </c>
      <c r="F1177" s="32" t="n">
        <v>71</v>
      </c>
      <c r="G1177" s="31" t="s">
        <v>345</v>
      </c>
      <c r="H1177" s="31" t="n">
        <v>2</v>
      </c>
      <c r="I1177" s="31" t="s">
        <v>387</v>
      </c>
      <c r="J1177" s="29"/>
      <c r="K1177" s="29" t="s">
        <v>7134</v>
      </c>
      <c r="L1177" s="32" t="n">
        <v>53</v>
      </c>
      <c r="M1177" s="33" t="s">
        <v>7135</v>
      </c>
      <c r="N1177" s="34" t="n">
        <v>75016</v>
      </c>
      <c r="O1177" s="35" t="s">
        <v>55</v>
      </c>
      <c r="P1177" s="36" t="s">
        <v>7136</v>
      </c>
      <c r="Q1177" s="36" t="n">
        <v>1</v>
      </c>
      <c r="R1177" s="32" t="n">
        <v>196</v>
      </c>
      <c r="S1177" s="32" t="n">
        <v>1</v>
      </c>
      <c r="T1177" s="32"/>
      <c r="U1177" s="32"/>
      <c r="V1177" s="37"/>
      <c r="W1177" s="32"/>
      <c r="X1177" s="34"/>
      <c r="Y1177" s="34"/>
      <c r="Z1177" s="36"/>
      <c r="AA1177" s="32" t="s">
        <v>7137</v>
      </c>
      <c r="AB1177" s="32" t="s">
        <v>7138</v>
      </c>
      <c r="AC1177" s="38" t="str">
        <f aca="false">HYPERLINK("https://biocodex6--c.vf.force.com/0014L00000KFSm0QAH", "BENOIT SAUVAN MARIE CHRISTINE")</f>
        <v>BENOIT SAUVAN MARIE CHRISTINE</v>
      </c>
      <c r="AD1177" s="38" t="str">
        <f aca="false">HYPERLINK("https://annuairesante.ameli.fr/professionnels-de-sante/recherche/fiche-detaillee-B7c1ljcxMjWz.html", "BENOIT SAUVAN MARIE CHRISTINE")</f>
        <v>BENOIT SAUVAN MARIE CHRISTINE</v>
      </c>
      <c r="AE1177" s="39"/>
      <c r="AF1177" s="40"/>
      <c r="AG1177" s="41"/>
      <c r="AH1177" s="32" t="s">
        <v>179</v>
      </c>
      <c r="AI1177" s="32"/>
      <c r="AL1177" s="32"/>
      <c r="AM1177" s="32"/>
      <c r="AN1177" s="32"/>
      <c r="AO1177" s="32"/>
      <c r="AP1177" s="32"/>
      <c r="AQ1177" s="32"/>
      <c r="AR1177" s="32"/>
      <c r="AS1177" s="32"/>
      <c r="AT1177" s="32"/>
      <c r="AU1177" s="32"/>
      <c r="XEY1177" s="27"/>
      <c r="XEZ1177" s="27"/>
      <c r="XFA1177" s="27"/>
      <c r="XFB1177" s="27"/>
      <c r="XFC1177" s="27"/>
      <c r="XFD1177" s="27"/>
    </row>
    <row r="1178" s="42" customFormat="true" ht="14.15" hidden="false" customHeight="true" outlineLevel="0" collapsed="false">
      <c r="A1178" s="28" t="s">
        <v>7139</v>
      </c>
      <c r="B1178" s="29" t="s">
        <v>7140</v>
      </c>
      <c r="C1178" s="29" t="s">
        <v>7141</v>
      </c>
      <c r="D1178" s="30" t="s">
        <v>244</v>
      </c>
      <c r="E1178" s="30" t="s">
        <v>245</v>
      </c>
      <c r="F1178" s="32" t="n">
        <v>49</v>
      </c>
      <c r="G1178" s="31"/>
      <c r="H1178" s="31" t="n">
        <v>2</v>
      </c>
      <c r="I1178" s="31" t="s">
        <v>119</v>
      </c>
      <c r="J1178" s="29" t="s">
        <v>4001</v>
      </c>
      <c r="K1178" s="29" t="s">
        <v>4002</v>
      </c>
      <c r="L1178" s="32" t="n">
        <v>19</v>
      </c>
      <c r="M1178" s="33" t="s">
        <v>4003</v>
      </c>
      <c r="N1178" s="34" t="n">
        <v>75007</v>
      </c>
      <c r="O1178" s="35" t="s">
        <v>55</v>
      </c>
      <c r="P1178" s="36" t="s">
        <v>7142</v>
      </c>
      <c r="Q1178" s="36" t="n">
        <v>5</v>
      </c>
      <c r="R1178" s="32" t="n">
        <v>196</v>
      </c>
      <c r="S1178" s="32" t="n">
        <v>1</v>
      </c>
      <c r="T1178" s="32"/>
      <c r="U1178" s="32"/>
      <c r="V1178" s="37"/>
      <c r="W1178" s="32"/>
      <c r="X1178" s="34"/>
      <c r="Y1178" s="34"/>
      <c r="Z1178" s="36"/>
      <c r="AA1178" s="32" t="s">
        <v>7143</v>
      </c>
      <c r="AB1178" s="32"/>
      <c r="AC1178" s="38" t="str">
        <f aca="false">HYPERLINK("https://biocodex6--c.vf.force.com/0014L00000KFyr3QAD", "RAFII TABRIZI ARASH JEREMIE")</f>
        <v>RAFII TABRIZI ARASH JEREMIE</v>
      </c>
      <c r="AD1178" s="38"/>
      <c r="AE1178" s="39"/>
      <c r="AF1178" s="40"/>
      <c r="AG1178" s="41"/>
      <c r="AH1178" s="32" t="s">
        <v>179</v>
      </c>
      <c r="AI1178" s="32"/>
      <c r="AL1178" s="32"/>
      <c r="AM1178" s="32"/>
      <c r="AN1178" s="32"/>
      <c r="AO1178" s="32"/>
      <c r="AP1178" s="32"/>
      <c r="AQ1178" s="32"/>
      <c r="AR1178" s="32"/>
      <c r="AS1178" s="32"/>
      <c r="AT1178" s="32"/>
      <c r="AU1178" s="32"/>
      <c r="XEY1178" s="27"/>
      <c r="XEZ1178" s="27"/>
      <c r="XFA1178" s="27"/>
      <c r="XFB1178" s="27"/>
      <c r="XFC1178" s="27"/>
      <c r="XFD1178" s="27"/>
    </row>
    <row r="1179" s="42" customFormat="true" ht="14.15" hidden="false" customHeight="true" outlineLevel="0" collapsed="false">
      <c r="A1179" s="28" t="s">
        <v>7144</v>
      </c>
      <c r="B1179" s="29" t="s">
        <v>4463</v>
      </c>
      <c r="C1179" s="29" t="s">
        <v>7145</v>
      </c>
      <c r="D1179" s="30" t="s">
        <v>50</v>
      </c>
      <c r="E1179" s="31"/>
      <c r="F1179" s="32" t="n">
        <v>49</v>
      </c>
      <c r="G1179" s="31"/>
      <c r="H1179" s="31" t="n">
        <v>1</v>
      </c>
      <c r="I1179" s="31" t="s">
        <v>51</v>
      </c>
      <c r="J1179" s="29" t="s">
        <v>52</v>
      </c>
      <c r="K1179" s="29" t="s">
        <v>53</v>
      </c>
      <c r="L1179" s="32" t="n">
        <v>149</v>
      </c>
      <c r="M1179" s="33" t="s">
        <v>54</v>
      </c>
      <c r="N1179" s="34" t="n">
        <v>75015</v>
      </c>
      <c r="O1179" s="35" t="s">
        <v>55</v>
      </c>
      <c r="P1179" s="36" t="s">
        <v>1710</v>
      </c>
      <c r="Q1179" s="36" t="n">
        <v>236</v>
      </c>
      <c r="R1179" s="32" t="n">
        <v>196</v>
      </c>
      <c r="S1179" s="32" t="n">
        <v>1</v>
      </c>
      <c r="T1179" s="32"/>
      <c r="U1179" s="32"/>
      <c r="V1179" s="37"/>
      <c r="W1179" s="32"/>
      <c r="X1179" s="34"/>
      <c r="Y1179" s="34"/>
      <c r="Z1179" s="36"/>
      <c r="AA1179" s="32" t="s">
        <v>7146</v>
      </c>
      <c r="AB1179" s="32"/>
      <c r="AC1179" s="38" t="str">
        <f aca="false">HYPERLINK("https://biocodex6--c.vf.force.com/0014L00000KFT12QAH", "BERTOZZI NICOLAS")</f>
        <v>BERTOZZI NICOLAS</v>
      </c>
      <c r="AD1179" s="38"/>
      <c r="AE1179" s="39"/>
      <c r="AF1179" s="40"/>
      <c r="AG1179" s="41"/>
      <c r="AH1179" s="32" t="s">
        <v>179</v>
      </c>
      <c r="AI1179" s="32"/>
      <c r="AL1179" s="32"/>
      <c r="AM1179" s="32"/>
      <c r="AN1179" s="32"/>
      <c r="AO1179" s="32"/>
      <c r="AP1179" s="32"/>
      <c r="AQ1179" s="32"/>
      <c r="AR1179" s="32"/>
      <c r="AS1179" s="32"/>
      <c r="AT1179" s="32"/>
      <c r="AU1179" s="32"/>
      <c r="XEY1179" s="27"/>
      <c r="XEZ1179" s="27"/>
      <c r="XFA1179" s="27"/>
      <c r="XFB1179" s="27"/>
      <c r="XFC1179" s="27"/>
      <c r="XFD1179" s="27"/>
    </row>
    <row r="1180" s="42" customFormat="true" ht="14.15" hidden="false" customHeight="true" outlineLevel="0" collapsed="false">
      <c r="A1180" s="28" t="s">
        <v>7147</v>
      </c>
      <c r="B1180" s="29" t="s">
        <v>652</v>
      </c>
      <c r="C1180" s="29" t="s">
        <v>7148</v>
      </c>
      <c r="D1180" s="30" t="s">
        <v>50</v>
      </c>
      <c r="E1180" s="31"/>
      <c r="F1180" s="32" t="n">
        <v>39</v>
      </c>
      <c r="G1180" s="31"/>
      <c r="H1180" s="31" t="n">
        <v>1</v>
      </c>
      <c r="I1180" s="31" t="s">
        <v>51</v>
      </c>
      <c r="J1180" s="29" t="s">
        <v>52</v>
      </c>
      <c r="K1180" s="29" t="s">
        <v>53</v>
      </c>
      <c r="L1180" s="32" t="n">
        <v>149</v>
      </c>
      <c r="M1180" s="33" t="s">
        <v>54</v>
      </c>
      <c r="N1180" s="34" t="n">
        <v>75015</v>
      </c>
      <c r="O1180" s="35" t="s">
        <v>55</v>
      </c>
      <c r="P1180" s="36" t="s">
        <v>1710</v>
      </c>
      <c r="Q1180" s="36" t="n">
        <v>236</v>
      </c>
      <c r="R1180" s="32" t="n">
        <v>196</v>
      </c>
      <c r="S1180" s="32" t="n">
        <v>1</v>
      </c>
      <c r="T1180" s="32"/>
      <c r="U1180" s="32"/>
      <c r="V1180" s="37"/>
      <c r="W1180" s="32"/>
      <c r="X1180" s="34"/>
      <c r="Y1180" s="34"/>
      <c r="Z1180" s="36"/>
      <c r="AA1180" s="32" t="s">
        <v>7149</v>
      </c>
      <c r="AB1180" s="32"/>
      <c r="AC1180" s="38" t="str">
        <f aca="false">HYPERLINK("https://biocodex6--c.vf.force.com/0014L00000KFLBIQA5", "ENCLOS SOPHIE")</f>
        <v>ENCLOS SOPHIE</v>
      </c>
      <c r="AD1180" s="38"/>
      <c r="AE1180" s="39"/>
      <c r="AF1180" s="40"/>
      <c r="AG1180" s="41"/>
      <c r="AH1180" s="32" t="s">
        <v>179</v>
      </c>
      <c r="AI1180" s="32"/>
      <c r="AL1180" s="32"/>
      <c r="AM1180" s="32"/>
      <c r="AN1180" s="32"/>
      <c r="AO1180" s="32"/>
      <c r="AP1180" s="32"/>
      <c r="AQ1180" s="32"/>
      <c r="AR1180" s="32"/>
      <c r="AS1180" s="32"/>
      <c r="AT1180" s="32"/>
      <c r="AU1180" s="32"/>
      <c r="XEY1180" s="27"/>
      <c r="XEZ1180" s="27"/>
      <c r="XFA1180" s="27"/>
      <c r="XFB1180" s="27"/>
      <c r="XFC1180" s="27"/>
      <c r="XFD1180" s="27"/>
    </row>
    <row r="1181" s="42" customFormat="true" ht="14.15" hidden="false" customHeight="true" outlineLevel="0" collapsed="false">
      <c r="A1181" s="28" t="s">
        <v>7150</v>
      </c>
      <c r="B1181" s="29" t="s">
        <v>7151</v>
      </c>
      <c r="C1181" s="29" t="s">
        <v>7152</v>
      </c>
      <c r="D1181" s="30" t="s">
        <v>50</v>
      </c>
      <c r="E1181" s="31"/>
      <c r="F1181" s="32" t="n">
        <v>38</v>
      </c>
      <c r="G1181" s="31"/>
      <c r="H1181" s="31" t="n">
        <v>1</v>
      </c>
      <c r="I1181" s="31" t="s">
        <v>51</v>
      </c>
      <c r="J1181" s="29" t="s">
        <v>52</v>
      </c>
      <c r="K1181" s="29" t="s">
        <v>53</v>
      </c>
      <c r="L1181" s="32" t="n">
        <v>149</v>
      </c>
      <c r="M1181" s="33" t="s">
        <v>54</v>
      </c>
      <c r="N1181" s="34" t="n">
        <v>75015</v>
      </c>
      <c r="O1181" s="35" t="s">
        <v>55</v>
      </c>
      <c r="P1181" s="36" t="s">
        <v>1710</v>
      </c>
      <c r="Q1181" s="36" t="n">
        <v>236</v>
      </c>
      <c r="R1181" s="32" t="n">
        <v>196</v>
      </c>
      <c r="S1181" s="32" t="n">
        <v>1</v>
      </c>
      <c r="T1181" s="32"/>
      <c r="U1181" s="32"/>
      <c r="V1181" s="37"/>
      <c r="W1181" s="32"/>
      <c r="X1181" s="34"/>
      <c r="Y1181" s="34"/>
      <c r="Z1181" s="36"/>
      <c r="AA1181" s="32" t="s">
        <v>7153</v>
      </c>
      <c r="AB1181" s="32"/>
      <c r="AC1181" s="38" t="str">
        <f aca="false">HYPERLINK("https://biocodex6--c.vf.force.com/0014L00000KFNouQAH", "GRAPPE PRISCILLE")</f>
        <v>GRAPPE PRISCILLE</v>
      </c>
      <c r="AD1181" s="38"/>
      <c r="AE1181" s="39"/>
      <c r="AF1181" s="40"/>
      <c r="AG1181" s="41"/>
      <c r="AH1181" s="32" t="s">
        <v>179</v>
      </c>
      <c r="AI1181" s="32"/>
      <c r="AL1181" s="32"/>
      <c r="AM1181" s="32"/>
      <c r="AN1181" s="32"/>
      <c r="AO1181" s="32"/>
      <c r="AP1181" s="32"/>
      <c r="AQ1181" s="32"/>
      <c r="AR1181" s="32"/>
      <c r="AS1181" s="32"/>
      <c r="AT1181" s="32"/>
      <c r="AU1181" s="32"/>
      <c r="XEY1181" s="27"/>
      <c r="XEZ1181" s="27"/>
      <c r="XFA1181" s="27"/>
      <c r="XFB1181" s="27"/>
      <c r="XFC1181" s="27"/>
      <c r="XFD1181" s="27"/>
    </row>
    <row r="1182" s="42" customFormat="true" ht="14.15" hidden="false" customHeight="true" outlineLevel="0" collapsed="false">
      <c r="A1182" s="28" t="s">
        <v>7154</v>
      </c>
      <c r="B1182" s="29" t="s">
        <v>195</v>
      </c>
      <c r="C1182" s="29" t="s">
        <v>7155</v>
      </c>
      <c r="D1182" s="30" t="s">
        <v>50</v>
      </c>
      <c r="E1182" s="31"/>
      <c r="F1182" s="32" t="n">
        <v>62</v>
      </c>
      <c r="G1182" s="31"/>
      <c r="H1182" s="31" t="n">
        <v>1</v>
      </c>
      <c r="I1182" s="31" t="s">
        <v>295</v>
      </c>
      <c r="J1182" s="29"/>
      <c r="K1182" s="29" t="s">
        <v>7156</v>
      </c>
      <c r="L1182" s="32" t="n">
        <v>45</v>
      </c>
      <c r="M1182" s="33" t="s">
        <v>297</v>
      </c>
      <c r="N1182" s="34" t="n">
        <v>92300</v>
      </c>
      <c r="O1182" s="35" t="s">
        <v>298</v>
      </c>
      <c r="P1182" s="36" t="s">
        <v>7157</v>
      </c>
      <c r="Q1182" s="36" t="n">
        <v>1</v>
      </c>
      <c r="R1182" s="32" t="n">
        <v>196</v>
      </c>
      <c r="S1182" s="32" t="n">
        <v>1</v>
      </c>
      <c r="T1182" s="32"/>
      <c r="U1182" s="32"/>
      <c r="V1182" s="37"/>
      <c r="W1182" s="32"/>
      <c r="X1182" s="34"/>
      <c r="Y1182" s="34"/>
      <c r="Z1182" s="36"/>
      <c r="AA1182" s="32" t="s">
        <v>7158</v>
      </c>
      <c r="AB1182" s="32"/>
      <c r="AC1182" s="38" t="str">
        <f aca="false">HYPERLINK("https://biocodex6--c.vf.force.com/0014L00000KFWHWQA5", "CHATAIGNAULT PHILIPPE")</f>
        <v>CHATAIGNAULT PHILIPPE</v>
      </c>
      <c r="AD1182" s="38"/>
      <c r="AE1182" s="39"/>
      <c r="AF1182" s="40"/>
      <c r="AG1182" s="41"/>
      <c r="AH1182" s="32" t="s">
        <v>179</v>
      </c>
      <c r="AI1182" s="32"/>
      <c r="AL1182" s="32"/>
      <c r="AM1182" s="32"/>
      <c r="AN1182" s="32"/>
      <c r="AO1182" s="32"/>
      <c r="AP1182" s="32"/>
      <c r="AQ1182" s="32"/>
      <c r="AR1182" s="32"/>
      <c r="AS1182" s="32"/>
      <c r="AT1182" s="32"/>
      <c r="AU1182" s="32"/>
      <c r="XEY1182" s="27"/>
      <c r="XEZ1182" s="27"/>
      <c r="XFA1182" s="27"/>
      <c r="XFB1182" s="27"/>
      <c r="XFC1182" s="27"/>
      <c r="XFD1182" s="27"/>
    </row>
    <row r="1183" s="42" customFormat="true" ht="14.15" hidden="false" customHeight="true" outlineLevel="0" collapsed="false">
      <c r="A1183" s="28" t="s">
        <v>7159</v>
      </c>
      <c r="B1183" s="29" t="s">
        <v>7160</v>
      </c>
      <c r="C1183" s="29" t="s">
        <v>7161</v>
      </c>
      <c r="D1183" s="30" t="s">
        <v>50</v>
      </c>
      <c r="E1183" s="30" t="s">
        <v>916</v>
      </c>
      <c r="F1183" s="32" t="n">
        <v>63</v>
      </c>
      <c r="G1183" s="31"/>
      <c r="H1183" s="31" t="n">
        <v>2</v>
      </c>
      <c r="I1183" s="31" t="s">
        <v>51</v>
      </c>
      <c r="J1183" s="29" t="s">
        <v>3812</v>
      </c>
      <c r="K1183" s="29" t="s">
        <v>3813</v>
      </c>
      <c r="L1183" s="32" t="n">
        <v>17</v>
      </c>
      <c r="M1183" s="33" t="s">
        <v>3814</v>
      </c>
      <c r="N1183" s="34" t="n">
        <v>75015</v>
      </c>
      <c r="O1183" s="35" t="s">
        <v>55</v>
      </c>
      <c r="P1183" s="36" t="s">
        <v>7162</v>
      </c>
      <c r="Q1183" s="36" t="n">
        <v>5</v>
      </c>
      <c r="R1183" s="32" t="n">
        <v>195</v>
      </c>
      <c r="S1183" s="32" t="n">
        <v>1</v>
      </c>
      <c r="T1183" s="32"/>
      <c r="U1183" s="32"/>
      <c r="V1183" s="37"/>
      <c r="W1183" s="32"/>
      <c r="X1183" s="34"/>
      <c r="Y1183" s="34"/>
      <c r="Z1183" s="32"/>
      <c r="AA1183" s="32" t="s">
        <v>7163</v>
      </c>
      <c r="AB1183" s="32"/>
      <c r="AC1183" s="38" t="str">
        <f aca="false">HYPERLINK("https://biocodex6--c.vf.force.com/0014L00000KFgyWQAT", "GRENIER MIROUX MARIE PASCALE")</f>
        <v>GRENIER MIROUX MARIE PASCALE</v>
      </c>
      <c r="AD1183" s="38"/>
      <c r="AE1183" s="39"/>
      <c r="AF1183" s="40"/>
      <c r="AG1183" s="41"/>
      <c r="AH1183" s="32"/>
      <c r="AI1183" s="32"/>
      <c r="AL1183" s="32"/>
      <c r="AM1183" s="32"/>
      <c r="AN1183" s="32"/>
      <c r="AO1183" s="32"/>
      <c r="AP1183" s="32"/>
      <c r="AQ1183" s="32"/>
      <c r="AR1183" s="32"/>
      <c r="AS1183" s="32"/>
      <c r="AT1183" s="32"/>
      <c r="AU1183" s="32"/>
      <c r="XEY1183" s="27"/>
      <c r="XEZ1183" s="27"/>
      <c r="XFA1183" s="27"/>
      <c r="XFB1183" s="27"/>
      <c r="XFC1183" s="27"/>
      <c r="XFD1183" s="27"/>
    </row>
    <row r="1184" s="42" customFormat="true" ht="14.15" hidden="false" customHeight="true" outlineLevel="0" collapsed="false">
      <c r="A1184" s="28" t="s">
        <v>7164</v>
      </c>
      <c r="B1184" s="29" t="s">
        <v>6117</v>
      </c>
      <c r="C1184" s="29" t="s">
        <v>7165</v>
      </c>
      <c r="D1184" s="30" t="s">
        <v>50</v>
      </c>
      <c r="E1184" s="31"/>
      <c r="F1184" s="32" t="n">
        <v>48</v>
      </c>
      <c r="G1184" s="31"/>
      <c r="H1184" s="31" t="n">
        <v>1</v>
      </c>
      <c r="I1184" s="31" t="s">
        <v>119</v>
      </c>
      <c r="J1184" s="29"/>
      <c r="K1184" s="29" t="s">
        <v>553</v>
      </c>
      <c r="L1184" s="32" t="n">
        <v>2</v>
      </c>
      <c r="M1184" s="33" t="s">
        <v>554</v>
      </c>
      <c r="N1184" s="34" t="n">
        <v>75007</v>
      </c>
      <c r="O1184" s="35" t="s">
        <v>55</v>
      </c>
      <c r="P1184" s="36" t="s">
        <v>7166</v>
      </c>
      <c r="Q1184" s="36" t="n">
        <v>5</v>
      </c>
      <c r="R1184" s="32" t="n">
        <v>195</v>
      </c>
      <c r="S1184" s="32" t="n">
        <v>1</v>
      </c>
      <c r="T1184" s="32"/>
      <c r="U1184" s="32"/>
      <c r="V1184" s="37"/>
      <c r="W1184" s="32"/>
      <c r="X1184" s="34"/>
      <c r="Y1184" s="34"/>
      <c r="Z1184" s="36"/>
      <c r="AA1184" s="32" t="s">
        <v>7167</v>
      </c>
      <c r="AB1184" s="32"/>
      <c r="AC1184" s="38" t="str">
        <f aca="false">HYPERLINK("https://biocodex6--c.vf.force.com/0014L00000KFwb4QAD", "PATTEAU GERALDINE")</f>
        <v>PATTEAU GERALDINE</v>
      </c>
      <c r="AD1184" s="38"/>
      <c r="AE1184" s="39"/>
      <c r="AF1184" s="40"/>
      <c r="AG1184" s="41"/>
      <c r="AH1184" s="32" t="s">
        <v>179</v>
      </c>
      <c r="AI1184" s="32"/>
      <c r="AL1184" s="32"/>
      <c r="AM1184" s="32"/>
      <c r="AN1184" s="32"/>
      <c r="AO1184" s="32"/>
      <c r="AP1184" s="32"/>
      <c r="AQ1184" s="32"/>
      <c r="AR1184" s="32"/>
      <c r="AS1184" s="32"/>
      <c r="AT1184" s="32"/>
      <c r="AU1184" s="32"/>
      <c r="XEY1184" s="27"/>
      <c r="XEZ1184" s="27"/>
      <c r="XFA1184" s="27"/>
      <c r="XFB1184" s="27"/>
      <c r="XFC1184" s="27"/>
      <c r="XFD1184" s="27"/>
    </row>
    <row r="1185" s="42" customFormat="true" ht="14.15" hidden="false" customHeight="true" outlineLevel="0" collapsed="false">
      <c r="A1185" s="28" t="s">
        <v>7168</v>
      </c>
      <c r="B1185" s="29" t="s">
        <v>543</v>
      </c>
      <c r="C1185" s="29" t="s">
        <v>7169</v>
      </c>
      <c r="D1185" s="30" t="s">
        <v>50</v>
      </c>
      <c r="E1185" s="30" t="s">
        <v>112</v>
      </c>
      <c r="F1185" s="32" t="n">
        <v>0</v>
      </c>
      <c r="G1185" s="31"/>
      <c r="H1185" s="31" t="n">
        <v>1</v>
      </c>
      <c r="I1185" s="31" t="s">
        <v>51</v>
      </c>
      <c r="J1185" s="29" t="s">
        <v>52</v>
      </c>
      <c r="K1185" s="29" t="s">
        <v>53</v>
      </c>
      <c r="L1185" s="32" t="n">
        <v>149</v>
      </c>
      <c r="M1185" s="33" t="s">
        <v>54</v>
      </c>
      <c r="N1185" s="34" t="n">
        <v>75015</v>
      </c>
      <c r="O1185" s="35" t="s">
        <v>55</v>
      </c>
      <c r="P1185" s="36" t="s">
        <v>7170</v>
      </c>
      <c r="Q1185" s="36" t="n">
        <v>236</v>
      </c>
      <c r="R1185" s="32" t="n">
        <v>195</v>
      </c>
      <c r="S1185" s="32" t="n">
        <v>1</v>
      </c>
      <c r="T1185" s="32"/>
      <c r="U1185" s="32"/>
      <c r="V1185" s="37"/>
      <c r="W1185" s="32"/>
      <c r="X1185" s="34"/>
      <c r="Y1185" s="34"/>
      <c r="Z1185" s="36"/>
      <c r="AA1185" s="32" t="s">
        <v>7171</v>
      </c>
      <c r="AB1185" s="32"/>
      <c r="AC1185" s="38" t="str">
        <f aca="false">HYPERLINK("https://biocodex6--c.vf.force.com/0014L00000KFRvkQAH", "BATON AUBOUY CHRISTINE")</f>
        <v>BATON AUBOUY CHRISTINE</v>
      </c>
      <c r="AD1185" s="38"/>
      <c r="AE1185" s="39"/>
      <c r="AF1185" s="40"/>
      <c r="AG1185" s="41"/>
      <c r="AH1185" s="32" t="s">
        <v>179</v>
      </c>
      <c r="AI1185" s="32"/>
      <c r="AL1185" s="32"/>
      <c r="AM1185" s="32"/>
      <c r="AN1185" s="32"/>
      <c r="AO1185" s="32"/>
      <c r="AP1185" s="32"/>
      <c r="AQ1185" s="32"/>
      <c r="AR1185" s="32"/>
      <c r="AS1185" s="32"/>
      <c r="AT1185" s="32"/>
      <c r="AU1185" s="32"/>
      <c r="XEY1185" s="27"/>
      <c r="XEZ1185" s="27"/>
      <c r="XFA1185" s="27"/>
      <c r="XFB1185" s="27"/>
      <c r="XFC1185" s="27"/>
      <c r="XFD1185" s="27"/>
    </row>
    <row r="1186" s="42" customFormat="true" ht="14.15" hidden="false" customHeight="true" outlineLevel="0" collapsed="false">
      <c r="A1186" s="28" t="s">
        <v>7172</v>
      </c>
      <c r="B1186" s="29" t="s">
        <v>7173</v>
      </c>
      <c r="C1186" s="29" t="s">
        <v>7174</v>
      </c>
      <c r="D1186" s="30" t="s">
        <v>50</v>
      </c>
      <c r="E1186" s="31"/>
      <c r="F1186" s="32" t="n">
        <v>47</v>
      </c>
      <c r="G1186" s="31"/>
      <c r="H1186" s="31" t="n">
        <v>1</v>
      </c>
      <c r="I1186" s="31" t="s">
        <v>51</v>
      </c>
      <c r="J1186" s="29" t="s">
        <v>52</v>
      </c>
      <c r="K1186" s="29" t="s">
        <v>53</v>
      </c>
      <c r="L1186" s="32" t="n">
        <v>149</v>
      </c>
      <c r="M1186" s="33" t="s">
        <v>54</v>
      </c>
      <c r="N1186" s="34" t="n">
        <v>75015</v>
      </c>
      <c r="O1186" s="35" t="s">
        <v>55</v>
      </c>
      <c r="P1186" s="36" t="s">
        <v>1710</v>
      </c>
      <c r="Q1186" s="36" t="n">
        <v>236</v>
      </c>
      <c r="R1186" s="32" t="n">
        <v>195</v>
      </c>
      <c r="S1186" s="32" t="n">
        <v>1</v>
      </c>
      <c r="T1186" s="32"/>
      <c r="U1186" s="32"/>
      <c r="V1186" s="37"/>
      <c r="W1186" s="32"/>
      <c r="X1186" s="34"/>
      <c r="Y1186" s="34"/>
      <c r="Z1186" s="36"/>
      <c r="AA1186" s="32" t="s">
        <v>7175</v>
      </c>
      <c r="AB1186" s="32"/>
      <c r="AC1186" s="38" t="str">
        <f aca="false">HYPERLINK("https://biocodex6--c.vf.force.com/0014L00000KFVr6QAH", "BOUKRICHE ABDELMALEK HABIB")</f>
        <v>BOUKRICHE ABDELMALEK HABIB</v>
      </c>
      <c r="AD1186" s="38"/>
      <c r="AE1186" s="39"/>
      <c r="AF1186" s="40"/>
      <c r="AG1186" s="41"/>
      <c r="AH1186" s="32" t="s">
        <v>179</v>
      </c>
      <c r="AI1186" s="32"/>
      <c r="AL1186" s="32"/>
      <c r="AM1186" s="32"/>
      <c r="AN1186" s="32"/>
      <c r="AO1186" s="32"/>
      <c r="AP1186" s="32"/>
      <c r="AQ1186" s="32"/>
      <c r="AR1186" s="32"/>
      <c r="AS1186" s="32"/>
      <c r="AT1186" s="32"/>
      <c r="AU1186" s="32"/>
      <c r="XEY1186" s="27"/>
      <c r="XEZ1186" s="27"/>
      <c r="XFA1186" s="27"/>
      <c r="XFB1186" s="27"/>
      <c r="XFC1186" s="27"/>
      <c r="XFD1186" s="27"/>
    </row>
    <row r="1187" s="42" customFormat="true" ht="14.15" hidden="false" customHeight="true" outlineLevel="0" collapsed="false">
      <c r="A1187" s="28" t="s">
        <v>7176</v>
      </c>
      <c r="B1187" s="29" t="s">
        <v>2081</v>
      </c>
      <c r="C1187" s="29" t="s">
        <v>7177</v>
      </c>
      <c r="D1187" s="30" t="s">
        <v>50</v>
      </c>
      <c r="E1187" s="31"/>
      <c r="F1187" s="32" t="n">
        <v>50</v>
      </c>
      <c r="G1187" s="31"/>
      <c r="H1187" s="31" t="n">
        <v>1</v>
      </c>
      <c r="I1187" s="31" t="s">
        <v>51</v>
      </c>
      <c r="J1187" s="29" t="s">
        <v>52</v>
      </c>
      <c r="K1187" s="29" t="s">
        <v>53</v>
      </c>
      <c r="L1187" s="32" t="n">
        <v>149</v>
      </c>
      <c r="M1187" s="33" t="s">
        <v>54</v>
      </c>
      <c r="N1187" s="34" t="n">
        <v>75015</v>
      </c>
      <c r="O1187" s="35" t="s">
        <v>55</v>
      </c>
      <c r="P1187" s="36" t="s">
        <v>1710</v>
      </c>
      <c r="Q1187" s="36" t="n">
        <v>236</v>
      </c>
      <c r="R1187" s="32" t="n">
        <v>195</v>
      </c>
      <c r="S1187" s="32" t="n">
        <v>1</v>
      </c>
      <c r="T1187" s="32"/>
      <c r="U1187" s="32"/>
      <c r="V1187" s="37"/>
      <c r="W1187" s="32"/>
      <c r="X1187" s="34"/>
      <c r="Y1187" s="34"/>
      <c r="Z1187" s="36"/>
      <c r="AA1187" s="32" t="s">
        <v>7178</v>
      </c>
      <c r="AB1187" s="32"/>
      <c r="AC1187" s="38" t="str">
        <f aca="false">HYPERLINK("https://biocodex6--c.vf.force.com/0014L00000KFgh2QAD", "JABRE PATRICIA")</f>
        <v>JABRE PATRICIA</v>
      </c>
      <c r="AD1187" s="38"/>
      <c r="AE1187" s="39"/>
      <c r="AF1187" s="40"/>
      <c r="AG1187" s="41"/>
      <c r="AH1187" s="32" t="s">
        <v>179</v>
      </c>
      <c r="AI1187" s="32"/>
      <c r="AL1187" s="32"/>
      <c r="AM1187" s="32"/>
      <c r="AN1187" s="32"/>
      <c r="AO1187" s="32"/>
      <c r="AP1187" s="32"/>
      <c r="AQ1187" s="32"/>
      <c r="AR1187" s="32"/>
      <c r="AS1187" s="32"/>
      <c r="AT1187" s="32"/>
      <c r="AU1187" s="32"/>
      <c r="XEY1187" s="27"/>
      <c r="XEZ1187" s="27"/>
      <c r="XFA1187" s="27"/>
      <c r="XFB1187" s="27"/>
      <c r="XFC1187" s="27"/>
      <c r="XFD1187" s="27"/>
    </row>
    <row r="1188" s="42" customFormat="true" ht="14.15" hidden="false" customHeight="true" outlineLevel="0" collapsed="false">
      <c r="A1188" s="28" t="s">
        <v>5573</v>
      </c>
      <c r="B1188" s="29" t="s">
        <v>5545</v>
      </c>
      <c r="C1188" s="29" t="s">
        <v>7179</v>
      </c>
      <c r="D1188" s="30" t="s">
        <v>50</v>
      </c>
      <c r="E1188" s="31"/>
      <c r="F1188" s="32" t="n">
        <v>67</v>
      </c>
      <c r="G1188" s="31"/>
      <c r="H1188" s="31" t="n">
        <v>1</v>
      </c>
      <c r="I1188" s="31" t="s">
        <v>51</v>
      </c>
      <c r="J1188" s="29" t="s">
        <v>52</v>
      </c>
      <c r="K1188" s="29" t="s">
        <v>53</v>
      </c>
      <c r="L1188" s="32" t="n">
        <v>149</v>
      </c>
      <c r="M1188" s="33" t="s">
        <v>54</v>
      </c>
      <c r="N1188" s="34" t="n">
        <v>75015</v>
      </c>
      <c r="O1188" s="35" t="s">
        <v>55</v>
      </c>
      <c r="P1188" s="36" t="s">
        <v>7180</v>
      </c>
      <c r="Q1188" s="36" t="n">
        <v>236</v>
      </c>
      <c r="R1188" s="32" t="n">
        <v>195</v>
      </c>
      <c r="S1188" s="32" t="n">
        <v>1</v>
      </c>
      <c r="T1188" s="32"/>
      <c r="U1188" s="32"/>
      <c r="V1188" s="37"/>
      <c r="W1188" s="32"/>
      <c r="X1188" s="34"/>
      <c r="Y1188" s="34"/>
      <c r="Z1188" s="36"/>
      <c r="AA1188" s="32" t="s">
        <v>7181</v>
      </c>
      <c r="AB1188" s="32"/>
      <c r="AC1188" s="38" t="str">
        <f aca="false">HYPERLINK("https://biocodex6--c.vf.force.com/0014L00000KFgIrQAL", "JAIS JEAN PHILIPPE")</f>
        <v>JAIS JEAN PHILIPPE</v>
      </c>
      <c r="AD1188" s="38"/>
      <c r="AE1188" s="39"/>
      <c r="AF1188" s="40"/>
      <c r="AG1188" s="41"/>
      <c r="AH1188" s="32" t="s">
        <v>179</v>
      </c>
      <c r="AI1188" s="32"/>
      <c r="AL1188" s="32"/>
      <c r="AM1188" s="32"/>
      <c r="AN1188" s="32"/>
      <c r="AO1188" s="32"/>
      <c r="AP1188" s="32"/>
      <c r="AQ1188" s="32"/>
      <c r="AR1188" s="32"/>
      <c r="AS1188" s="32"/>
      <c r="AT1188" s="32"/>
      <c r="AU1188" s="32"/>
      <c r="XEY1188" s="27"/>
      <c r="XEZ1188" s="27"/>
      <c r="XFA1188" s="27"/>
      <c r="XFB1188" s="27"/>
      <c r="XFC1188" s="27"/>
      <c r="XFD1188" s="27"/>
    </row>
    <row r="1189" s="42" customFormat="true" ht="14.15" hidden="false" customHeight="true" outlineLevel="0" collapsed="false">
      <c r="A1189" s="28" t="s">
        <v>195</v>
      </c>
      <c r="B1189" s="29" t="s">
        <v>5648</v>
      </c>
      <c r="C1189" s="29" t="s">
        <v>7182</v>
      </c>
      <c r="D1189" s="30" t="s">
        <v>50</v>
      </c>
      <c r="E1189" s="30" t="s">
        <v>2281</v>
      </c>
      <c r="F1189" s="32" t="n">
        <v>55</v>
      </c>
      <c r="G1189" s="31"/>
      <c r="H1189" s="31" t="n">
        <v>2</v>
      </c>
      <c r="I1189" s="31" t="s">
        <v>51</v>
      </c>
      <c r="J1189" s="29" t="s">
        <v>52</v>
      </c>
      <c r="K1189" s="29" t="s">
        <v>53</v>
      </c>
      <c r="L1189" s="32" t="n">
        <v>149</v>
      </c>
      <c r="M1189" s="33" t="s">
        <v>54</v>
      </c>
      <c r="N1189" s="34" t="n">
        <v>75015</v>
      </c>
      <c r="O1189" s="35" t="s">
        <v>55</v>
      </c>
      <c r="P1189" s="36" t="s">
        <v>1710</v>
      </c>
      <c r="Q1189" s="36" t="n">
        <v>236</v>
      </c>
      <c r="R1189" s="32" t="n">
        <v>195</v>
      </c>
      <c r="S1189" s="32" t="n">
        <v>1</v>
      </c>
      <c r="T1189" s="32"/>
      <c r="U1189" s="32"/>
      <c r="V1189" s="37"/>
      <c r="W1189" s="32"/>
      <c r="X1189" s="34"/>
      <c r="Y1189" s="34"/>
      <c r="Z1189" s="36"/>
      <c r="AA1189" s="32" t="s">
        <v>7183</v>
      </c>
      <c r="AB1189" s="32"/>
      <c r="AC1189" s="38" t="str">
        <f aca="false">HYPERLINK("https://biocodex6--c.vf.force.com/0014L00000KFaxgQAD", "PHILIPPE PASCAL")</f>
        <v>PHILIPPE PASCAL</v>
      </c>
      <c r="AD1189" s="38"/>
      <c r="AE1189" s="39"/>
      <c r="AF1189" s="40"/>
      <c r="AG1189" s="41"/>
      <c r="AH1189" s="32" t="s">
        <v>179</v>
      </c>
      <c r="AI1189" s="32"/>
      <c r="AL1189" s="32"/>
      <c r="AM1189" s="32"/>
      <c r="AN1189" s="32"/>
      <c r="AO1189" s="32"/>
      <c r="AP1189" s="32"/>
      <c r="AQ1189" s="32"/>
      <c r="AR1189" s="32"/>
      <c r="AS1189" s="32"/>
      <c r="AT1189" s="32"/>
      <c r="AU1189" s="32"/>
      <c r="XEY1189" s="27"/>
      <c r="XEZ1189" s="27"/>
      <c r="XFA1189" s="27"/>
      <c r="XFB1189" s="27"/>
      <c r="XFC1189" s="27"/>
      <c r="XFD1189" s="27"/>
    </row>
    <row r="1190" s="42" customFormat="true" ht="14.15" hidden="false" customHeight="true" outlineLevel="0" collapsed="false">
      <c r="A1190" s="28" t="s">
        <v>7184</v>
      </c>
      <c r="B1190" s="29" t="s">
        <v>3741</v>
      </c>
      <c r="C1190" s="29" t="s">
        <v>7185</v>
      </c>
      <c r="D1190" s="30" t="s">
        <v>50</v>
      </c>
      <c r="E1190" s="31"/>
      <c r="F1190" s="32" t="n">
        <v>40</v>
      </c>
      <c r="G1190" s="31"/>
      <c r="H1190" s="31" t="n">
        <v>1</v>
      </c>
      <c r="I1190" s="31" t="s">
        <v>51</v>
      </c>
      <c r="J1190" s="29" t="s">
        <v>850</v>
      </c>
      <c r="K1190" s="29" t="s">
        <v>851</v>
      </c>
      <c r="L1190" s="32" t="n">
        <v>178</v>
      </c>
      <c r="M1190" s="33" t="s">
        <v>852</v>
      </c>
      <c r="N1190" s="34" t="n">
        <v>75015</v>
      </c>
      <c r="O1190" s="35" t="s">
        <v>55</v>
      </c>
      <c r="P1190" s="36" t="s">
        <v>853</v>
      </c>
      <c r="Q1190" s="36" t="n">
        <v>24</v>
      </c>
      <c r="R1190" s="32" t="n">
        <v>195</v>
      </c>
      <c r="S1190" s="32" t="n">
        <v>1</v>
      </c>
      <c r="T1190" s="32"/>
      <c r="U1190" s="32"/>
      <c r="V1190" s="37"/>
      <c r="W1190" s="32"/>
      <c r="X1190" s="34"/>
      <c r="Y1190" s="34"/>
      <c r="Z1190" s="36"/>
      <c r="AA1190" s="32" t="s">
        <v>7186</v>
      </c>
      <c r="AB1190" s="32"/>
      <c r="AC1190" s="38" t="str">
        <f aca="false">HYPERLINK("https://biocodex6--c.vf.force.com/0014L00000KFsBYQA1", "MICHALOUX MAUD")</f>
        <v>MICHALOUX MAUD</v>
      </c>
      <c r="AD1190" s="38"/>
      <c r="AE1190" s="39"/>
      <c r="AF1190" s="40"/>
      <c r="AG1190" s="41"/>
      <c r="AH1190" s="32" t="s">
        <v>179</v>
      </c>
      <c r="AI1190" s="32"/>
      <c r="AL1190" s="32"/>
      <c r="AM1190" s="32"/>
      <c r="AN1190" s="32"/>
      <c r="AO1190" s="32"/>
      <c r="AP1190" s="32"/>
      <c r="AQ1190" s="32"/>
      <c r="AR1190" s="32"/>
      <c r="AS1190" s="32"/>
      <c r="AT1190" s="32"/>
      <c r="AU1190" s="32"/>
      <c r="XEY1190" s="27"/>
      <c r="XEZ1190" s="27"/>
      <c r="XFA1190" s="27"/>
      <c r="XFB1190" s="27"/>
      <c r="XFC1190" s="27"/>
      <c r="XFD1190" s="27"/>
    </row>
    <row r="1191" s="42" customFormat="true" ht="14.15" hidden="false" customHeight="true" outlineLevel="0" collapsed="false">
      <c r="A1191" s="28" t="s">
        <v>7187</v>
      </c>
      <c r="B1191" s="29" t="s">
        <v>195</v>
      </c>
      <c r="C1191" s="29" t="s">
        <v>7188</v>
      </c>
      <c r="D1191" s="30" t="s">
        <v>50</v>
      </c>
      <c r="E1191" s="31"/>
      <c r="F1191" s="32" t="n">
        <v>64</v>
      </c>
      <c r="G1191" s="31"/>
      <c r="H1191" s="31" t="n">
        <v>2</v>
      </c>
      <c r="I1191" s="31" t="s">
        <v>51</v>
      </c>
      <c r="J1191" s="29"/>
      <c r="K1191" s="29" t="s">
        <v>7189</v>
      </c>
      <c r="L1191" s="32" t="n">
        <v>209</v>
      </c>
      <c r="M1191" s="33" t="s">
        <v>852</v>
      </c>
      <c r="N1191" s="34" t="n">
        <v>75015</v>
      </c>
      <c r="O1191" s="35" t="s">
        <v>55</v>
      </c>
      <c r="P1191" s="36"/>
      <c r="Q1191" s="36" t="n">
        <v>2</v>
      </c>
      <c r="R1191" s="32" t="n">
        <v>195</v>
      </c>
      <c r="S1191" s="32" t="n">
        <v>1</v>
      </c>
      <c r="T1191" s="32"/>
      <c r="U1191" s="32"/>
      <c r="V1191" s="37"/>
      <c r="W1191" s="32"/>
      <c r="X1191" s="34"/>
      <c r="Y1191" s="34"/>
      <c r="Z1191" s="36"/>
      <c r="AA1191" s="32" t="s">
        <v>7190</v>
      </c>
      <c r="AB1191" s="32"/>
      <c r="AC1191" s="38" t="str">
        <f aca="false">HYPERLINK("https://biocodex6--c.vf.force.com/0014L00000KFwmtQAD", "POUJOL PHILIPPE")</f>
        <v>POUJOL PHILIPPE</v>
      </c>
      <c r="AD1191" s="38"/>
      <c r="AE1191" s="39"/>
      <c r="AF1191" s="40"/>
      <c r="AG1191" s="41"/>
      <c r="AH1191" s="32" t="s">
        <v>179</v>
      </c>
      <c r="AI1191" s="32"/>
      <c r="AL1191" s="32"/>
      <c r="AM1191" s="32"/>
      <c r="AN1191" s="32"/>
      <c r="AO1191" s="32"/>
      <c r="AP1191" s="32"/>
      <c r="AQ1191" s="32"/>
      <c r="AR1191" s="32"/>
      <c r="AS1191" s="32"/>
      <c r="AT1191" s="32"/>
      <c r="AU1191" s="32"/>
      <c r="XEY1191" s="27"/>
      <c r="XEZ1191" s="27"/>
      <c r="XFA1191" s="27"/>
      <c r="XFB1191" s="27"/>
      <c r="XFC1191" s="27"/>
      <c r="XFD1191" s="27"/>
    </row>
    <row r="1192" s="42" customFormat="true" ht="14.15" hidden="false" customHeight="true" outlineLevel="0" collapsed="false">
      <c r="A1192" s="28" t="s">
        <v>7191</v>
      </c>
      <c r="B1192" s="29" t="s">
        <v>1226</v>
      </c>
      <c r="C1192" s="29" t="s">
        <v>7192</v>
      </c>
      <c r="D1192" s="30" t="s">
        <v>50</v>
      </c>
      <c r="E1192" s="30" t="s">
        <v>421</v>
      </c>
      <c r="F1192" s="32" t="n">
        <v>0</v>
      </c>
      <c r="G1192" s="31"/>
      <c r="H1192" s="31" t="n">
        <v>1</v>
      </c>
      <c r="I1192" s="31" t="s">
        <v>51</v>
      </c>
      <c r="J1192" s="29"/>
      <c r="K1192" s="29" t="s">
        <v>7193</v>
      </c>
      <c r="L1192" s="32" t="n">
        <v>9</v>
      </c>
      <c r="M1192" s="33" t="s">
        <v>3442</v>
      </c>
      <c r="N1192" s="34" t="n">
        <v>75015</v>
      </c>
      <c r="O1192" s="35" t="s">
        <v>55</v>
      </c>
      <c r="P1192" s="36" t="s">
        <v>7194</v>
      </c>
      <c r="Q1192" s="36" t="n">
        <v>1</v>
      </c>
      <c r="R1192" s="32" t="n">
        <v>195</v>
      </c>
      <c r="S1192" s="32" t="n">
        <v>1</v>
      </c>
      <c r="T1192" s="32"/>
      <c r="U1192" s="32"/>
      <c r="V1192" s="37"/>
      <c r="W1192" s="32"/>
      <c r="X1192" s="34"/>
      <c r="Y1192" s="34"/>
      <c r="Z1192" s="36"/>
      <c r="AA1192" s="32" t="s">
        <v>7195</v>
      </c>
      <c r="AB1192" s="32"/>
      <c r="AC1192" s="38" t="str">
        <f aca="false">HYPERLINK("https://biocodex6--c.vf.force.com/0014L00000KG6SFQA1", "WILLEM JEAN PIERRE")</f>
        <v>WILLEM JEAN PIERRE</v>
      </c>
      <c r="AD1192" s="38"/>
      <c r="AE1192" s="39"/>
      <c r="AF1192" s="40"/>
      <c r="AG1192" s="41"/>
      <c r="AH1192" s="32" t="s">
        <v>179</v>
      </c>
      <c r="AI1192" s="32"/>
      <c r="AL1192" s="32"/>
      <c r="AM1192" s="32"/>
      <c r="AN1192" s="32"/>
      <c r="AO1192" s="32"/>
      <c r="AP1192" s="32"/>
      <c r="AQ1192" s="32"/>
      <c r="AR1192" s="32"/>
      <c r="AS1192" s="32"/>
      <c r="AT1192" s="32"/>
      <c r="AU1192" s="32"/>
      <c r="XEY1192" s="27"/>
      <c r="XEZ1192" s="27"/>
      <c r="XFA1192" s="27"/>
      <c r="XFB1192" s="27"/>
      <c r="XFC1192" s="27"/>
      <c r="XFD1192" s="27"/>
    </row>
    <row r="1193" s="42" customFormat="true" ht="14.15" hidden="false" customHeight="true" outlineLevel="0" collapsed="false">
      <c r="A1193" s="28" t="s">
        <v>7196</v>
      </c>
      <c r="B1193" s="29" t="s">
        <v>4227</v>
      </c>
      <c r="C1193" s="29" t="s">
        <v>7197</v>
      </c>
      <c r="D1193" s="30" t="s">
        <v>50</v>
      </c>
      <c r="E1193" s="30" t="s">
        <v>890</v>
      </c>
      <c r="F1193" s="32" t="n">
        <v>71</v>
      </c>
      <c r="G1193" s="31"/>
      <c r="H1193" s="31" t="n">
        <v>1</v>
      </c>
      <c r="I1193" s="31" t="s">
        <v>173</v>
      </c>
      <c r="J1193" s="29"/>
      <c r="K1193" s="29" t="s">
        <v>6548</v>
      </c>
      <c r="L1193" s="32" t="n">
        <v>82</v>
      </c>
      <c r="M1193" s="33" t="s">
        <v>6504</v>
      </c>
      <c r="N1193" s="34" t="n">
        <v>75016</v>
      </c>
      <c r="O1193" s="35" t="s">
        <v>55</v>
      </c>
      <c r="P1193" s="36"/>
      <c r="Q1193" s="36" t="n">
        <v>4</v>
      </c>
      <c r="R1193" s="32" t="n">
        <v>195</v>
      </c>
      <c r="S1193" s="32" t="n">
        <v>1</v>
      </c>
      <c r="T1193" s="32"/>
      <c r="U1193" s="32"/>
      <c r="V1193" s="37"/>
      <c r="W1193" s="32"/>
      <c r="X1193" s="34"/>
      <c r="Y1193" s="34"/>
      <c r="Z1193" s="36"/>
      <c r="AA1193" s="32" t="s">
        <v>7198</v>
      </c>
      <c r="AB1193" s="32"/>
      <c r="AC1193" s="38" t="str">
        <f aca="false">HYPERLINK("https://biocodex6--c.vf.force.com/0014L00000KG4eJQAT", "VERCKEN JEAN BAPTISTE")</f>
        <v>VERCKEN JEAN BAPTISTE</v>
      </c>
      <c r="AD1193" s="38"/>
      <c r="AE1193" s="39"/>
      <c r="AF1193" s="40"/>
      <c r="AG1193" s="41"/>
      <c r="AH1193" s="32" t="s">
        <v>179</v>
      </c>
      <c r="AI1193" s="32"/>
      <c r="AL1193" s="32"/>
      <c r="AM1193" s="32"/>
      <c r="AN1193" s="32"/>
      <c r="AO1193" s="32"/>
      <c r="AP1193" s="32"/>
      <c r="AQ1193" s="32"/>
      <c r="AR1193" s="32"/>
      <c r="AS1193" s="32"/>
      <c r="AT1193" s="32"/>
      <c r="AU1193" s="32"/>
      <c r="XEY1193" s="27"/>
      <c r="XEZ1193" s="27"/>
      <c r="XFA1193" s="27"/>
      <c r="XFB1193" s="27"/>
      <c r="XFC1193" s="27"/>
      <c r="XFD1193" s="27"/>
    </row>
    <row r="1194" s="42" customFormat="true" ht="14.15" hidden="false" customHeight="true" outlineLevel="0" collapsed="false">
      <c r="A1194" s="28" t="s">
        <v>7199</v>
      </c>
      <c r="B1194" s="29" t="s">
        <v>7200</v>
      </c>
      <c r="C1194" s="29" t="s">
        <v>7201</v>
      </c>
      <c r="D1194" s="30" t="s">
        <v>50</v>
      </c>
      <c r="E1194" s="30" t="s">
        <v>245</v>
      </c>
      <c r="F1194" s="32" t="n">
        <v>65</v>
      </c>
      <c r="G1194" s="31"/>
      <c r="H1194" s="31" t="n">
        <v>1</v>
      </c>
      <c r="I1194" s="31" t="s">
        <v>51</v>
      </c>
      <c r="J1194" s="29" t="s">
        <v>52</v>
      </c>
      <c r="K1194" s="29" t="s">
        <v>53</v>
      </c>
      <c r="L1194" s="32" t="n">
        <v>149</v>
      </c>
      <c r="M1194" s="33" t="s">
        <v>54</v>
      </c>
      <c r="N1194" s="34" t="n">
        <v>75015</v>
      </c>
      <c r="O1194" s="35" t="s">
        <v>55</v>
      </c>
      <c r="P1194" s="36" t="s">
        <v>1710</v>
      </c>
      <c r="Q1194" s="36" t="n">
        <v>236</v>
      </c>
      <c r="R1194" s="32" t="n">
        <v>194</v>
      </c>
      <c r="S1194" s="32" t="n">
        <v>1</v>
      </c>
      <c r="T1194" s="32"/>
      <c r="U1194" s="32"/>
      <c r="V1194" s="37"/>
      <c r="W1194" s="32"/>
      <c r="X1194" s="34"/>
      <c r="Y1194" s="34"/>
      <c r="Z1194" s="36"/>
      <c r="AA1194" s="32" t="s">
        <v>7202</v>
      </c>
      <c r="AB1194" s="32"/>
      <c r="AC1194" s="38" t="str">
        <f aca="false">HYPERLINK("https://biocodex6--c.vf.force.com/0014L00000KFZAQQA5", "DE LUZE THIBAUT")</f>
        <v>DE LUZE THIBAUT</v>
      </c>
      <c r="AD1194" s="38"/>
      <c r="AE1194" s="39"/>
      <c r="AF1194" s="40"/>
      <c r="AG1194" s="41"/>
      <c r="AH1194" s="32" t="s">
        <v>179</v>
      </c>
      <c r="AI1194" s="32"/>
      <c r="AL1194" s="32"/>
      <c r="AM1194" s="32"/>
      <c r="AN1194" s="32"/>
      <c r="AO1194" s="32"/>
      <c r="AP1194" s="32"/>
      <c r="AQ1194" s="32"/>
      <c r="AR1194" s="32"/>
      <c r="AS1194" s="32"/>
      <c r="AT1194" s="32"/>
      <c r="AU1194" s="32"/>
      <c r="XEY1194" s="27"/>
      <c r="XEZ1194" s="27"/>
      <c r="XFA1194" s="27"/>
      <c r="XFB1194" s="27"/>
      <c r="XFC1194" s="27"/>
      <c r="XFD1194" s="27"/>
    </row>
    <row r="1195" s="42" customFormat="true" ht="14.15" hidden="false" customHeight="true" outlineLevel="0" collapsed="false">
      <c r="A1195" s="28" t="s">
        <v>7203</v>
      </c>
      <c r="B1195" s="29" t="s">
        <v>2585</v>
      </c>
      <c r="C1195" s="29" t="s">
        <v>7204</v>
      </c>
      <c r="D1195" s="30" t="s">
        <v>50</v>
      </c>
      <c r="E1195" s="31"/>
      <c r="F1195" s="32" t="n">
        <v>41</v>
      </c>
      <c r="G1195" s="31"/>
      <c r="H1195" s="31" t="n">
        <v>1</v>
      </c>
      <c r="I1195" s="31" t="s">
        <v>51</v>
      </c>
      <c r="J1195" s="29" t="s">
        <v>52</v>
      </c>
      <c r="K1195" s="29" t="s">
        <v>53</v>
      </c>
      <c r="L1195" s="32" t="n">
        <v>149</v>
      </c>
      <c r="M1195" s="33" t="s">
        <v>54</v>
      </c>
      <c r="N1195" s="34" t="n">
        <v>75015</v>
      </c>
      <c r="O1195" s="35" t="s">
        <v>55</v>
      </c>
      <c r="P1195" s="36" t="s">
        <v>1710</v>
      </c>
      <c r="Q1195" s="36" t="n">
        <v>236</v>
      </c>
      <c r="R1195" s="32" t="n">
        <v>194</v>
      </c>
      <c r="S1195" s="32" t="n">
        <v>1</v>
      </c>
      <c r="T1195" s="32"/>
      <c r="U1195" s="32"/>
      <c r="V1195" s="37"/>
      <c r="W1195" s="32"/>
      <c r="X1195" s="34"/>
      <c r="Y1195" s="34"/>
      <c r="Z1195" s="36"/>
      <c r="AA1195" s="32" t="s">
        <v>7205</v>
      </c>
      <c r="AB1195" s="32"/>
      <c r="AC1195" s="38" t="str">
        <f aca="false">HYPERLINK("https://biocodex6--c.vf.force.com/0014L00000KG55QQAT", "HUTIN ALICE")</f>
        <v>HUTIN ALICE</v>
      </c>
      <c r="AD1195" s="38"/>
      <c r="AE1195" s="39"/>
      <c r="AF1195" s="40"/>
      <c r="AG1195" s="41"/>
      <c r="AH1195" s="32" t="s">
        <v>179</v>
      </c>
      <c r="AI1195" s="32"/>
      <c r="AL1195" s="32"/>
      <c r="AM1195" s="32"/>
      <c r="AN1195" s="32"/>
      <c r="AO1195" s="32"/>
      <c r="AP1195" s="32"/>
      <c r="AQ1195" s="32"/>
      <c r="AR1195" s="32"/>
      <c r="AS1195" s="32"/>
      <c r="AT1195" s="32"/>
      <c r="AU1195" s="32"/>
      <c r="XEY1195" s="27"/>
      <c r="XEZ1195" s="27"/>
      <c r="XFA1195" s="27"/>
      <c r="XFB1195" s="27"/>
      <c r="XFC1195" s="27"/>
      <c r="XFD1195" s="27"/>
    </row>
    <row r="1196" s="42" customFormat="true" ht="14.15" hidden="false" customHeight="true" outlineLevel="0" collapsed="false">
      <c r="A1196" s="28" t="s">
        <v>7206</v>
      </c>
      <c r="B1196" s="29" t="s">
        <v>399</v>
      </c>
      <c r="C1196" s="29" t="s">
        <v>7207</v>
      </c>
      <c r="D1196" s="30" t="s">
        <v>50</v>
      </c>
      <c r="E1196" s="31"/>
      <c r="F1196" s="32" t="n">
        <v>68</v>
      </c>
      <c r="G1196" s="31" t="s">
        <v>61</v>
      </c>
      <c r="H1196" s="31" t="n">
        <v>1</v>
      </c>
      <c r="I1196" s="31" t="s">
        <v>173</v>
      </c>
      <c r="J1196" s="29"/>
      <c r="K1196" s="29" t="s">
        <v>7208</v>
      </c>
      <c r="L1196" s="32" t="n">
        <v>22</v>
      </c>
      <c r="M1196" s="33" t="s">
        <v>6523</v>
      </c>
      <c r="N1196" s="34" t="n">
        <v>75016</v>
      </c>
      <c r="O1196" s="35" t="s">
        <v>55</v>
      </c>
      <c r="P1196" s="36" t="s">
        <v>7209</v>
      </c>
      <c r="Q1196" s="36" t="n">
        <v>1</v>
      </c>
      <c r="R1196" s="32" t="n">
        <v>194</v>
      </c>
      <c r="S1196" s="32" t="n">
        <v>1</v>
      </c>
      <c r="T1196" s="32"/>
      <c r="U1196" s="32"/>
      <c r="V1196" s="37"/>
      <c r="W1196" s="32"/>
      <c r="X1196" s="34"/>
      <c r="Y1196" s="34"/>
      <c r="Z1196" s="36"/>
      <c r="AA1196" s="32" t="s">
        <v>7210</v>
      </c>
      <c r="AB1196" s="32" t="s">
        <v>7211</v>
      </c>
      <c r="AC1196" s="38" t="str">
        <f aca="false">HYPERLINK("https://biocodex6--c.vf.force.com/0014L00000KG1szQAD", "SOMPAIRAC OLIVIER")</f>
        <v>SOMPAIRAC OLIVIER</v>
      </c>
      <c r="AD1196" s="38" t="str">
        <f aca="false">HYPERLINK("https://annuairesante.ameli.fr/professionnels-de-sante/recherche/fiche-detaillee-B7c1ljQ0OTO3.html", "SOMPAIRAC OLIVIER")</f>
        <v>SOMPAIRAC OLIVIER</v>
      </c>
      <c r="AE1196" s="39"/>
      <c r="AF1196" s="40"/>
      <c r="AG1196" s="41"/>
      <c r="AH1196" s="32" t="s">
        <v>179</v>
      </c>
      <c r="AI1196" s="32"/>
      <c r="AL1196" s="43" t="s">
        <v>7212</v>
      </c>
      <c r="AM1196" s="43" t="s">
        <v>126</v>
      </c>
      <c r="AN1196" s="43" t="s">
        <v>7212</v>
      </c>
      <c r="AO1196" s="43" t="s">
        <v>126</v>
      </c>
      <c r="AP1196" s="43" t="s">
        <v>7212</v>
      </c>
      <c r="AQ1196" s="43" t="s">
        <v>126</v>
      </c>
      <c r="AR1196" s="43" t="s">
        <v>7212</v>
      </c>
      <c r="AS1196" s="43" t="s">
        <v>126</v>
      </c>
      <c r="AT1196" s="43" t="s">
        <v>7212</v>
      </c>
      <c r="AU1196" s="43" t="s">
        <v>126</v>
      </c>
      <c r="XEY1196" s="27"/>
      <c r="XEZ1196" s="27"/>
      <c r="XFA1196" s="27"/>
      <c r="XFB1196" s="27"/>
      <c r="XFC1196" s="27"/>
      <c r="XFD1196" s="27"/>
    </row>
    <row r="1197" s="42" customFormat="true" ht="14.15" hidden="false" customHeight="true" outlineLevel="0" collapsed="false">
      <c r="A1197" s="28" t="s">
        <v>7213</v>
      </c>
      <c r="B1197" s="29" t="s">
        <v>7214</v>
      </c>
      <c r="C1197" s="29" t="s">
        <v>7215</v>
      </c>
      <c r="D1197" s="30" t="s">
        <v>50</v>
      </c>
      <c r="E1197" s="31"/>
      <c r="F1197" s="32" t="n">
        <v>36</v>
      </c>
      <c r="G1197" s="31"/>
      <c r="H1197" s="31" t="n">
        <v>1</v>
      </c>
      <c r="I1197" s="31" t="s">
        <v>99</v>
      </c>
      <c r="J1197" s="29" t="s">
        <v>595</v>
      </c>
      <c r="K1197" s="29" t="s">
        <v>596</v>
      </c>
      <c r="L1197" s="32" t="n">
        <v>20</v>
      </c>
      <c r="M1197" s="33" t="s">
        <v>597</v>
      </c>
      <c r="N1197" s="34" t="n">
        <v>75015</v>
      </c>
      <c r="O1197" s="35" t="s">
        <v>55</v>
      </c>
      <c r="P1197" s="36" t="s">
        <v>7216</v>
      </c>
      <c r="Q1197" s="36" t="n">
        <v>90</v>
      </c>
      <c r="R1197" s="32" t="n">
        <v>193</v>
      </c>
      <c r="S1197" s="32" t="n">
        <v>1</v>
      </c>
      <c r="T1197" s="32"/>
      <c r="U1197" s="32"/>
      <c r="V1197" s="37"/>
      <c r="W1197" s="32"/>
      <c r="X1197" s="34"/>
      <c r="Y1197" s="34"/>
      <c r="Z1197" s="36"/>
      <c r="AA1197" s="32" t="s">
        <v>7217</v>
      </c>
      <c r="AB1197" s="32"/>
      <c r="AC1197" s="38" t="str">
        <f aca="false">HYPERLINK("https://biocodex6--c.vf.force.com/0014L00000KG9FbQAL", "FLAMARION EDOUARD")</f>
        <v>FLAMARION EDOUARD</v>
      </c>
      <c r="AD1197" s="38"/>
      <c r="AE1197" s="39" t="n">
        <v>45338.4791666667</v>
      </c>
      <c r="AF1197" s="40"/>
      <c r="AG1197" s="41"/>
      <c r="AH1197" s="32" t="s">
        <v>179</v>
      </c>
      <c r="AI1197" s="32"/>
      <c r="AL1197" s="32"/>
      <c r="AM1197" s="32"/>
      <c r="AN1197" s="32"/>
      <c r="AO1197" s="32"/>
      <c r="AP1197" s="32"/>
      <c r="AQ1197" s="32"/>
      <c r="AR1197" s="32"/>
      <c r="AS1197" s="32"/>
      <c r="AT1197" s="32"/>
      <c r="AU1197" s="32"/>
      <c r="XEY1197" s="27"/>
      <c r="XEZ1197" s="27"/>
      <c r="XFA1197" s="27"/>
      <c r="XFB1197" s="27"/>
      <c r="XFC1197" s="27"/>
      <c r="XFD1197" s="27"/>
    </row>
    <row r="1198" s="42" customFormat="true" ht="14.15" hidden="false" customHeight="true" outlineLevel="0" collapsed="false">
      <c r="A1198" s="28" t="s">
        <v>7218</v>
      </c>
      <c r="B1198" s="29" t="s">
        <v>429</v>
      </c>
      <c r="C1198" s="29" t="s">
        <v>7219</v>
      </c>
      <c r="D1198" s="30" t="s">
        <v>50</v>
      </c>
      <c r="E1198" s="31"/>
      <c r="F1198" s="32" t="n">
        <v>47</v>
      </c>
      <c r="G1198" s="31"/>
      <c r="H1198" s="31" t="n">
        <v>4</v>
      </c>
      <c r="I1198" s="31" t="s">
        <v>197</v>
      </c>
      <c r="J1198" s="29" t="s">
        <v>2561</v>
      </c>
      <c r="K1198" s="29" t="s">
        <v>2562</v>
      </c>
      <c r="L1198" s="32" t="n">
        <v>6</v>
      </c>
      <c r="M1198" s="33" t="s">
        <v>2563</v>
      </c>
      <c r="N1198" s="34" t="n">
        <v>75017</v>
      </c>
      <c r="O1198" s="35" t="s">
        <v>55</v>
      </c>
      <c r="P1198" s="36" t="s">
        <v>2564</v>
      </c>
      <c r="Q1198" s="36" t="n">
        <v>6</v>
      </c>
      <c r="R1198" s="32" t="n">
        <v>193</v>
      </c>
      <c r="S1198" s="32" t="n">
        <v>1</v>
      </c>
      <c r="T1198" s="32"/>
      <c r="U1198" s="32"/>
      <c r="V1198" s="37"/>
      <c r="W1198" s="32"/>
      <c r="X1198" s="34"/>
      <c r="Y1198" s="34"/>
      <c r="Z1198" s="36"/>
      <c r="AA1198" s="32" t="s">
        <v>7220</v>
      </c>
      <c r="AB1198" s="32"/>
      <c r="AC1198" s="38" t="str">
        <f aca="false">HYPERLINK("https://biocodex6--c.vf.force.com/0014L00000KFwuLQAT", "PINELLI GUILLAUME")</f>
        <v>PINELLI GUILLAUME</v>
      </c>
      <c r="AD1198" s="38"/>
      <c r="AE1198" s="39"/>
      <c r="AF1198" s="40"/>
      <c r="AG1198" s="41"/>
      <c r="AH1198" s="32" t="s">
        <v>179</v>
      </c>
      <c r="AI1198" s="32"/>
      <c r="AL1198" s="32"/>
      <c r="AM1198" s="32"/>
      <c r="AN1198" s="32"/>
      <c r="AO1198" s="32"/>
      <c r="AP1198" s="32"/>
      <c r="AQ1198" s="32"/>
      <c r="AR1198" s="32"/>
      <c r="AS1198" s="32"/>
      <c r="AT1198" s="32"/>
      <c r="AU1198" s="32"/>
      <c r="XEY1198" s="27"/>
      <c r="XEZ1198" s="27"/>
      <c r="XFA1198" s="27"/>
      <c r="XFB1198" s="27"/>
      <c r="XFC1198" s="27"/>
      <c r="XFD1198" s="27"/>
    </row>
    <row r="1199" s="42" customFormat="true" ht="14.15" hidden="false" customHeight="true" outlineLevel="0" collapsed="false">
      <c r="A1199" s="28" t="s">
        <v>7221</v>
      </c>
      <c r="B1199" s="29" t="s">
        <v>868</v>
      </c>
      <c r="C1199" s="29" t="s">
        <v>7222</v>
      </c>
      <c r="D1199" s="30" t="s">
        <v>244</v>
      </c>
      <c r="E1199" s="30" t="s">
        <v>245</v>
      </c>
      <c r="F1199" s="32" t="n">
        <v>56</v>
      </c>
      <c r="G1199" s="31" t="s">
        <v>215</v>
      </c>
      <c r="H1199" s="31" t="n">
        <v>1</v>
      </c>
      <c r="I1199" s="31" t="s">
        <v>77</v>
      </c>
      <c r="J1199" s="29" t="s">
        <v>78</v>
      </c>
      <c r="K1199" s="29" t="s">
        <v>79</v>
      </c>
      <c r="L1199" s="32" t="n">
        <v>26</v>
      </c>
      <c r="M1199" s="33" t="s">
        <v>80</v>
      </c>
      <c r="N1199" s="34" t="n">
        <v>92200</v>
      </c>
      <c r="O1199" s="35" t="s">
        <v>81</v>
      </c>
      <c r="P1199" s="36" t="s">
        <v>7223</v>
      </c>
      <c r="Q1199" s="36" t="n">
        <v>10</v>
      </c>
      <c r="R1199" s="32" t="n">
        <v>192</v>
      </c>
      <c r="S1199" s="32" t="n">
        <v>1</v>
      </c>
      <c r="T1199" s="32"/>
      <c r="U1199" s="32"/>
      <c r="V1199" s="37"/>
      <c r="W1199" s="32"/>
      <c r="X1199" s="34" t="n">
        <v>1</v>
      </c>
      <c r="Y1199" s="34"/>
      <c r="Z1199" s="36"/>
      <c r="AA1199" s="32" t="s">
        <v>7224</v>
      </c>
      <c r="AB1199" s="32" t="s">
        <v>7225</v>
      </c>
      <c r="AC1199" s="38" t="str">
        <f aca="false">HYPERLINK("https://biocodex6--c.vf.force.com/0014L00000KFThLQAX", "BADER GEORGES")</f>
        <v>BADER GEORGES</v>
      </c>
      <c r="AD1199" s="38" t="str">
        <f aca="false">HYPERLINK("https://annuairesante.ameli.fr/professionnels-de-sante/recherche/fiche-detaillee-CbA1lTAxOTKy.html", "BADER GEORGES")</f>
        <v>BADER GEORGES</v>
      </c>
      <c r="AE1199" s="39" t="n">
        <v>45320.6666666667</v>
      </c>
      <c r="AF1199" s="40" t="s">
        <v>7226</v>
      </c>
      <c r="AG1199" s="41"/>
      <c r="AH1199" s="32" t="s">
        <v>179</v>
      </c>
      <c r="AI1199" s="32"/>
      <c r="AL1199" s="32"/>
      <c r="AM1199" s="32"/>
      <c r="AN1199" s="32"/>
      <c r="AO1199" s="32"/>
      <c r="AP1199" s="32"/>
      <c r="AQ1199" s="32"/>
      <c r="AR1199" s="32"/>
      <c r="AS1199" s="32"/>
      <c r="AT1199" s="32"/>
      <c r="AU1199" s="32"/>
      <c r="XEY1199" s="27"/>
      <c r="XEZ1199" s="27"/>
      <c r="XFA1199" s="27"/>
      <c r="XFB1199" s="27"/>
      <c r="XFC1199" s="27"/>
      <c r="XFD1199" s="27"/>
    </row>
    <row r="1200" s="42" customFormat="true" ht="14.15" hidden="false" customHeight="true" outlineLevel="0" collapsed="false">
      <c r="A1200" s="28" t="s">
        <v>7227</v>
      </c>
      <c r="B1200" s="29" t="s">
        <v>4847</v>
      </c>
      <c r="C1200" s="29" t="s">
        <v>7228</v>
      </c>
      <c r="D1200" s="30" t="s">
        <v>50</v>
      </c>
      <c r="E1200" s="31"/>
      <c r="F1200" s="32" t="n">
        <v>37</v>
      </c>
      <c r="G1200" s="31" t="s">
        <v>98</v>
      </c>
      <c r="H1200" s="31" t="n">
        <v>1</v>
      </c>
      <c r="I1200" s="31" t="s">
        <v>435</v>
      </c>
      <c r="J1200" s="29"/>
      <c r="K1200" s="29" t="s">
        <v>4236</v>
      </c>
      <c r="L1200" s="32" t="n">
        <v>6</v>
      </c>
      <c r="M1200" s="33" t="s">
        <v>4237</v>
      </c>
      <c r="N1200" s="34" t="n">
        <v>75016</v>
      </c>
      <c r="O1200" s="35" t="s">
        <v>55</v>
      </c>
      <c r="P1200" s="36" t="s">
        <v>7229</v>
      </c>
      <c r="Q1200" s="36" t="n">
        <v>2</v>
      </c>
      <c r="R1200" s="32" t="n">
        <v>192</v>
      </c>
      <c r="S1200" s="32" t="n">
        <v>1</v>
      </c>
      <c r="T1200" s="32"/>
      <c r="U1200" s="32"/>
      <c r="V1200" s="37"/>
      <c r="W1200" s="32"/>
      <c r="X1200" s="34" t="n">
        <v>1</v>
      </c>
      <c r="Y1200" s="34"/>
      <c r="Z1200" s="36" t="s">
        <v>7230</v>
      </c>
      <c r="AA1200" s="32" t="s">
        <v>7231</v>
      </c>
      <c r="AB1200" s="32" t="s">
        <v>7232</v>
      </c>
      <c r="AC1200" s="38" t="str">
        <f aca="false">HYPERLINK("https://biocodex6--c.vf.force.com/0014L00000KG9YJQA1", "CHARPENTIER DE PUGET MARINE")</f>
        <v>CHARPENTIER DE PUGET MARINE</v>
      </c>
      <c r="AD1200" s="38" t="str">
        <f aca="false">HYPERLINK("https://annuairesante.ameli.fr/professionnels-de-sante/recherche/fiche-detaillee-B7c1kjU0MzS1.html", "CHARPENTIER DE PUGET MARINE")</f>
        <v>CHARPENTIER DE PUGET MARINE</v>
      </c>
      <c r="AE1200" s="39" t="n">
        <v>45279.5416666667</v>
      </c>
      <c r="AF1200" s="40" t="s">
        <v>7233</v>
      </c>
      <c r="AG1200" s="41"/>
      <c r="AH1200" s="32" t="s">
        <v>179</v>
      </c>
      <c r="AI1200" s="32"/>
      <c r="AL1200" s="43" t="s">
        <v>85</v>
      </c>
      <c r="AM1200" s="43" t="s">
        <v>137</v>
      </c>
      <c r="AN1200" s="43" t="s">
        <v>85</v>
      </c>
      <c r="AO1200" s="43" t="s">
        <v>137</v>
      </c>
      <c r="AP1200" s="43" t="s">
        <v>657</v>
      </c>
      <c r="AQ1200" s="43" t="s">
        <v>137</v>
      </c>
      <c r="AR1200" s="43" t="s">
        <v>85</v>
      </c>
      <c r="AS1200" s="43" t="s">
        <v>137</v>
      </c>
      <c r="AT1200" s="43" t="s">
        <v>85</v>
      </c>
      <c r="AU1200" s="43" t="s">
        <v>476</v>
      </c>
      <c r="XEY1200" s="27"/>
      <c r="XEZ1200" s="27"/>
      <c r="XFA1200" s="27"/>
      <c r="XFB1200" s="27"/>
      <c r="XFC1200" s="27"/>
      <c r="XFD1200" s="27"/>
    </row>
    <row r="1201" s="42" customFormat="true" ht="14.15" hidden="false" customHeight="true" outlineLevel="0" collapsed="false">
      <c r="A1201" s="28" t="s">
        <v>7234</v>
      </c>
      <c r="B1201" s="29" t="s">
        <v>3388</v>
      </c>
      <c r="C1201" s="29" t="s">
        <v>7235</v>
      </c>
      <c r="D1201" s="30" t="s">
        <v>50</v>
      </c>
      <c r="E1201" s="31"/>
      <c r="F1201" s="32" t="n">
        <v>0</v>
      </c>
      <c r="G1201" s="31"/>
      <c r="H1201" s="31" t="n">
        <v>1</v>
      </c>
      <c r="I1201" s="31" t="s">
        <v>51</v>
      </c>
      <c r="J1201" s="29" t="s">
        <v>52</v>
      </c>
      <c r="K1201" s="29" t="s">
        <v>53</v>
      </c>
      <c r="L1201" s="32" t="n">
        <v>149</v>
      </c>
      <c r="M1201" s="33" t="s">
        <v>54</v>
      </c>
      <c r="N1201" s="34" t="n">
        <v>75015</v>
      </c>
      <c r="O1201" s="35" t="s">
        <v>55</v>
      </c>
      <c r="P1201" s="36" t="s">
        <v>7236</v>
      </c>
      <c r="Q1201" s="36" t="n">
        <v>236</v>
      </c>
      <c r="R1201" s="32" t="n">
        <v>191</v>
      </c>
      <c r="S1201" s="32" t="n">
        <v>1</v>
      </c>
      <c r="T1201" s="32"/>
      <c r="U1201" s="32"/>
      <c r="V1201" s="37"/>
      <c r="W1201" s="32"/>
      <c r="X1201" s="34"/>
      <c r="Y1201" s="34"/>
      <c r="Z1201" s="36"/>
      <c r="AA1201" s="32" t="s">
        <v>7237</v>
      </c>
      <c r="AB1201" s="32"/>
      <c r="AC1201" s="38" t="str">
        <f aca="false">HYPERLINK("https://biocodex6--c.vf.force.com/0014L00000KFdqQQAT", "GREFFET AGNES")</f>
        <v>GREFFET AGNES</v>
      </c>
      <c r="AD1201" s="38"/>
      <c r="AE1201" s="39"/>
      <c r="AF1201" s="40"/>
      <c r="AG1201" s="41"/>
      <c r="AH1201" s="32" t="s">
        <v>179</v>
      </c>
      <c r="AI1201" s="32"/>
      <c r="AL1201" s="32"/>
      <c r="AM1201" s="32"/>
      <c r="AN1201" s="32"/>
      <c r="AO1201" s="32"/>
      <c r="AP1201" s="32"/>
      <c r="AQ1201" s="32"/>
      <c r="AR1201" s="32"/>
      <c r="AS1201" s="32"/>
      <c r="AT1201" s="32"/>
      <c r="AU1201" s="32"/>
      <c r="XEY1201" s="27"/>
      <c r="XEZ1201" s="27"/>
      <c r="XFA1201" s="27"/>
      <c r="XFB1201" s="27"/>
      <c r="XFC1201" s="27"/>
      <c r="XFD1201" s="27"/>
    </row>
    <row r="1202" s="42" customFormat="true" ht="14.15" hidden="false" customHeight="true" outlineLevel="0" collapsed="false">
      <c r="A1202" s="28" t="s">
        <v>7238</v>
      </c>
      <c r="B1202" s="29" t="s">
        <v>419</v>
      </c>
      <c r="C1202" s="29" t="s">
        <v>7239</v>
      </c>
      <c r="D1202" s="30" t="s">
        <v>50</v>
      </c>
      <c r="E1202" s="30" t="s">
        <v>1228</v>
      </c>
      <c r="F1202" s="32" t="n">
        <v>72</v>
      </c>
      <c r="G1202" s="31" t="s">
        <v>215</v>
      </c>
      <c r="H1202" s="31" t="n">
        <v>1</v>
      </c>
      <c r="I1202" s="31" t="s">
        <v>197</v>
      </c>
      <c r="J1202" s="29"/>
      <c r="K1202" s="29" t="s">
        <v>7240</v>
      </c>
      <c r="L1202" s="32" t="n">
        <v>83</v>
      </c>
      <c r="M1202" s="33" t="s">
        <v>2804</v>
      </c>
      <c r="N1202" s="34" t="n">
        <v>75017</v>
      </c>
      <c r="O1202" s="35" t="s">
        <v>55</v>
      </c>
      <c r="P1202" s="36" t="s">
        <v>7241</v>
      </c>
      <c r="Q1202" s="36" t="n">
        <v>1</v>
      </c>
      <c r="R1202" s="32" t="n">
        <v>191</v>
      </c>
      <c r="S1202" s="32" t="n">
        <v>1</v>
      </c>
      <c r="T1202" s="32"/>
      <c r="U1202" s="32"/>
      <c r="V1202" s="37"/>
      <c r="W1202" s="32"/>
      <c r="X1202" s="34"/>
      <c r="Y1202" s="34"/>
      <c r="Z1202" s="36"/>
      <c r="AA1202" s="32" t="s">
        <v>7242</v>
      </c>
      <c r="AB1202" s="32" t="s">
        <v>7243</v>
      </c>
      <c r="AC1202" s="38" t="str">
        <f aca="false">HYPERLINK("https://biocodex6--c.vf.force.com/0014L00000YvMVyQAN", "SCEMAMA ITTAH FLORENCE")</f>
        <v>SCEMAMA ITTAH FLORENCE</v>
      </c>
      <c r="AD1202" s="38" t="str">
        <f aca="false">HYPERLINK("https://annuairesante.ameli.fr/professionnels-de-sante/recherche/fiche-detaillee-B7c1kTo5Mje1.html", "SCEMAMA ITTAH FLORENCE")</f>
        <v>SCEMAMA ITTAH FLORENCE</v>
      </c>
      <c r="AE1202" s="39"/>
      <c r="AF1202" s="40"/>
      <c r="AG1202" s="41"/>
      <c r="AH1202" s="32" t="s">
        <v>179</v>
      </c>
      <c r="AI1202" s="32"/>
      <c r="AL1202" s="32"/>
      <c r="AM1202" s="32"/>
      <c r="AN1202" s="32"/>
      <c r="AO1202" s="32"/>
      <c r="AP1202" s="32"/>
      <c r="AQ1202" s="32"/>
      <c r="AR1202" s="32"/>
      <c r="AS1202" s="32"/>
      <c r="AT1202" s="32"/>
      <c r="AU1202" s="32"/>
      <c r="XEY1202" s="27"/>
      <c r="XEZ1202" s="27"/>
      <c r="XFA1202" s="27"/>
      <c r="XFB1202" s="27"/>
      <c r="XFC1202" s="27"/>
      <c r="XFD1202" s="27"/>
    </row>
    <row r="1203" s="42" customFormat="true" ht="14.15" hidden="false" customHeight="true" outlineLevel="0" collapsed="false">
      <c r="A1203" s="28" t="s">
        <v>7244</v>
      </c>
      <c r="B1203" s="29" t="s">
        <v>6075</v>
      </c>
      <c r="C1203" s="29" t="s">
        <v>7245</v>
      </c>
      <c r="D1203" s="30" t="s">
        <v>244</v>
      </c>
      <c r="E1203" s="30" t="s">
        <v>245</v>
      </c>
      <c r="F1203" s="32" t="n">
        <v>46</v>
      </c>
      <c r="G1203" s="31" t="s">
        <v>215</v>
      </c>
      <c r="H1203" s="31" t="n">
        <v>3</v>
      </c>
      <c r="I1203" s="31" t="s">
        <v>77</v>
      </c>
      <c r="J1203" s="29" t="s">
        <v>580</v>
      </c>
      <c r="K1203" s="29" t="s">
        <v>581</v>
      </c>
      <c r="L1203" s="32" t="n">
        <v>63</v>
      </c>
      <c r="M1203" s="33" t="s">
        <v>80</v>
      </c>
      <c r="N1203" s="34" t="n">
        <v>92200</v>
      </c>
      <c r="O1203" s="35" t="s">
        <v>81</v>
      </c>
      <c r="P1203" s="36" t="s">
        <v>7246</v>
      </c>
      <c r="Q1203" s="36" t="n">
        <v>39</v>
      </c>
      <c r="R1203" s="32" t="n">
        <v>189</v>
      </c>
      <c r="S1203" s="32" t="n">
        <v>1</v>
      </c>
      <c r="T1203" s="32"/>
      <c r="U1203" s="32"/>
      <c r="V1203" s="37"/>
      <c r="W1203" s="32"/>
      <c r="X1203" s="34"/>
      <c r="Y1203" s="34"/>
      <c r="Z1203" s="36"/>
      <c r="AA1203" s="32" t="s">
        <v>7247</v>
      </c>
      <c r="AB1203" s="32" t="s">
        <v>7248</v>
      </c>
      <c r="AC1203" s="38" t="str">
        <f aca="false">HYPERLINK("https://biocodex6--c.vf.force.com/0014L00000KFbrpQAD", "KAHN VANESSA")</f>
        <v>KAHN VANESSA</v>
      </c>
      <c r="AD1203" s="38" t="str">
        <f aca="false">HYPERLINK("https://annuairesante.ameli.fr/professionnels-de-sante/recherche/fiche-detaillee-B7c1lTM2NTCz.html", "KAHN VANESSA")</f>
        <v>KAHN VANESSA</v>
      </c>
      <c r="AE1203" s="39"/>
      <c r="AF1203" s="40"/>
      <c r="AG1203" s="41"/>
      <c r="AH1203" s="32" t="s">
        <v>179</v>
      </c>
      <c r="AI1203" s="32"/>
      <c r="AL1203" s="32"/>
      <c r="AM1203" s="32"/>
      <c r="AN1203" s="32"/>
      <c r="AO1203" s="32"/>
      <c r="AP1203" s="32"/>
      <c r="AQ1203" s="32"/>
      <c r="AR1203" s="32"/>
      <c r="AS1203" s="32"/>
      <c r="AT1203" s="32"/>
      <c r="AU1203" s="32"/>
      <c r="XEY1203" s="27"/>
      <c r="XEZ1203" s="27"/>
      <c r="XFA1203" s="27"/>
      <c r="XFB1203" s="27"/>
      <c r="XFC1203" s="27"/>
      <c r="XFD1203" s="27"/>
    </row>
    <row r="1204" s="42" customFormat="true" ht="14.15" hidden="false" customHeight="true" outlineLevel="0" collapsed="false">
      <c r="A1204" s="28" t="s">
        <v>7249</v>
      </c>
      <c r="B1204" s="29" t="s">
        <v>2481</v>
      </c>
      <c r="C1204" s="29" t="s">
        <v>7250</v>
      </c>
      <c r="D1204" s="30" t="s">
        <v>268</v>
      </c>
      <c r="E1204" s="31"/>
      <c r="F1204" s="32" t="n">
        <v>48</v>
      </c>
      <c r="G1204" s="31"/>
      <c r="H1204" s="31" t="n">
        <v>1</v>
      </c>
      <c r="I1204" s="31" t="s">
        <v>51</v>
      </c>
      <c r="J1204" s="29" t="s">
        <v>2010</v>
      </c>
      <c r="K1204" s="29" t="s">
        <v>2011</v>
      </c>
      <c r="L1204" s="32" t="n">
        <v>37</v>
      </c>
      <c r="M1204" s="33" t="s">
        <v>2012</v>
      </c>
      <c r="N1204" s="34" t="n">
        <v>75015</v>
      </c>
      <c r="O1204" s="35" t="s">
        <v>55</v>
      </c>
      <c r="P1204" s="36" t="s">
        <v>7251</v>
      </c>
      <c r="Q1204" s="36" t="n">
        <v>19</v>
      </c>
      <c r="R1204" s="32" t="n">
        <v>188</v>
      </c>
      <c r="S1204" s="32" t="n">
        <v>1</v>
      </c>
      <c r="T1204" s="32"/>
      <c r="U1204" s="32"/>
      <c r="V1204" s="37"/>
      <c r="W1204" s="32"/>
      <c r="X1204" s="34"/>
      <c r="Y1204" s="34"/>
      <c r="Z1204" s="36"/>
      <c r="AA1204" s="32" t="s">
        <v>7252</v>
      </c>
      <c r="AB1204" s="32"/>
      <c r="AC1204" s="38" t="str">
        <f aca="false">HYPERLINK("https://biocodex6--c.vf.force.com/0014L00000KFirxQAD", "CARRET REBILLAT ANNE SOPHIE")</f>
        <v>CARRET REBILLAT ANNE SOPHIE</v>
      </c>
      <c r="AD1204" s="38"/>
      <c r="AE1204" s="39"/>
      <c r="AF1204" s="40"/>
      <c r="AG1204" s="41"/>
      <c r="AH1204" s="32" t="s">
        <v>179</v>
      </c>
      <c r="AI1204" s="32"/>
      <c r="AL1204" s="32"/>
      <c r="AM1204" s="32"/>
      <c r="AN1204" s="32"/>
      <c r="AO1204" s="32"/>
      <c r="AP1204" s="32"/>
      <c r="AQ1204" s="32"/>
      <c r="AR1204" s="32"/>
      <c r="AS1204" s="32"/>
      <c r="AT1204" s="32"/>
      <c r="AU1204" s="32"/>
      <c r="XEY1204" s="27"/>
      <c r="XEZ1204" s="27"/>
      <c r="XFA1204" s="27"/>
      <c r="XFB1204" s="27"/>
      <c r="XFC1204" s="27"/>
      <c r="XFD1204" s="27"/>
    </row>
    <row r="1205" s="42" customFormat="true" ht="14.15" hidden="false" customHeight="true" outlineLevel="0" collapsed="false">
      <c r="A1205" s="28" t="s">
        <v>7253</v>
      </c>
      <c r="B1205" s="29" t="s">
        <v>1166</v>
      </c>
      <c r="C1205" s="29" t="s">
        <v>7254</v>
      </c>
      <c r="D1205" s="30" t="s">
        <v>50</v>
      </c>
      <c r="E1205" s="31"/>
      <c r="F1205" s="32" t="n">
        <v>36</v>
      </c>
      <c r="G1205" s="31"/>
      <c r="H1205" s="31" t="n">
        <v>1</v>
      </c>
      <c r="I1205" s="31" t="s">
        <v>173</v>
      </c>
      <c r="J1205" s="29"/>
      <c r="K1205" s="29" t="s">
        <v>2537</v>
      </c>
      <c r="L1205" s="32" t="n">
        <v>23</v>
      </c>
      <c r="M1205" s="33" t="s">
        <v>175</v>
      </c>
      <c r="N1205" s="34" t="n">
        <v>75016</v>
      </c>
      <c r="O1205" s="35" t="s">
        <v>55</v>
      </c>
      <c r="P1205" s="36" t="s">
        <v>7255</v>
      </c>
      <c r="Q1205" s="36" t="n">
        <v>3</v>
      </c>
      <c r="R1205" s="32" t="n">
        <v>188</v>
      </c>
      <c r="S1205" s="32" t="n">
        <v>1</v>
      </c>
      <c r="T1205" s="32"/>
      <c r="U1205" s="32"/>
      <c r="V1205" s="37"/>
      <c r="W1205" s="32"/>
      <c r="X1205" s="34"/>
      <c r="Y1205" s="34"/>
      <c r="Z1205" s="36"/>
      <c r="AA1205" s="32" t="s">
        <v>7256</v>
      </c>
      <c r="AB1205" s="32"/>
      <c r="AC1205" s="38" t="str">
        <f aca="false">HYPERLINK("https://biocodex6--c.vf.force.com/0014L00000KGBwzQAH", "SEROUSSI DAN")</f>
        <v>SEROUSSI DAN</v>
      </c>
      <c r="AD1205" s="38"/>
      <c r="AE1205" s="39"/>
      <c r="AF1205" s="40"/>
      <c r="AG1205" s="41"/>
      <c r="AH1205" s="32" t="s">
        <v>179</v>
      </c>
      <c r="AI1205" s="32"/>
      <c r="AL1205" s="32"/>
      <c r="AM1205" s="32"/>
      <c r="AN1205" s="32"/>
      <c r="AO1205" s="32"/>
      <c r="AP1205" s="32"/>
      <c r="AQ1205" s="32"/>
      <c r="AR1205" s="32"/>
      <c r="AS1205" s="32"/>
      <c r="AT1205" s="32"/>
      <c r="AU1205" s="32"/>
      <c r="XEY1205" s="27"/>
      <c r="XEZ1205" s="27"/>
      <c r="XFA1205" s="27"/>
      <c r="XFB1205" s="27"/>
      <c r="XFC1205" s="27"/>
      <c r="XFD1205" s="27"/>
    </row>
    <row r="1206" s="42" customFormat="true" ht="14.15" hidden="false" customHeight="true" outlineLevel="0" collapsed="false">
      <c r="A1206" s="28" t="s">
        <v>7257</v>
      </c>
      <c r="B1206" s="29" t="s">
        <v>7258</v>
      </c>
      <c r="C1206" s="29" t="s">
        <v>7259</v>
      </c>
      <c r="D1206" s="30" t="s">
        <v>75</v>
      </c>
      <c r="E1206" s="30" t="s">
        <v>255</v>
      </c>
      <c r="F1206" s="32" t="n">
        <v>53</v>
      </c>
      <c r="G1206" s="31" t="s">
        <v>98</v>
      </c>
      <c r="H1206" s="31" t="n">
        <v>1</v>
      </c>
      <c r="I1206" s="31" t="s">
        <v>173</v>
      </c>
      <c r="J1206" s="29"/>
      <c r="K1206" s="29" t="s">
        <v>7260</v>
      </c>
      <c r="L1206" s="32" t="n">
        <v>12</v>
      </c>
      <c r="M1206" s="33" t="s">
        <v>7261</v>
      </c>
      <c r="N1206" s="34" t="n">
        <v>75016</v>
      </c>
      <c r="O1206" s="35" t="s">
        <v>55</v>
      </c>
      <c r="P1206" s="36" t="s">
        <v>7262</v>
      </c>
      <c r="Q1206" s="36" t="n">
        <v>1</v>
      </c>
      <c r="R1206" s="32" t="n">
        <v>188</v>
      </c>
      <c r="S1206" s="32" t="n">
        <v>1</v>
      </c>
      <c r="T1206" s="32"/>
      <c r="U1206" s="32"/>
      <c r="V1206" s="37"/>
      <c r="W1206" s="32"/>
      <c r="X1206" s="34"/>
      <c r="Y1206" s="34"/>
      <c r="Z1206" s="36"/>
      <c r="AA1206" s="32" t="s">
        <v>7263</v>
      </c>
      <c r="AB1206" s="32" t="s">
        <v>7264</v>
      </c>
      <c r="AC1206" s="38" t="str">
        <f aca="false">HYPERLINK("https://biocodex6--c.vf.force.com/0014L00000KFzjsQAD", "ROCHE SERENA")</f>
        <v>ROCHE SERENA</v>
      </c>
      <c r="AD1206" s="38" t="str">
        <f aca="false">HYPERLINK("https://annuairesante.ameli.fr/professionnels-de-sante/recherche/fiche-detaillee-B7c1lTMyNjq0.html", "ROCHE SERENA")</f>
        <v>ROCHE SERENA</v>
      </c>
      <c r="AE1206" s="39"/>
      <c r="AF1206" s="40"/>
      <c r="AG1206" s="41"/>
      <c r="AH1206" s="32" t="s">
        <v>179</v>
      </c>
      <c r="AI1206" s="32"/>
      <c r="AL1206" s="32"/>
      <c r="AM1206" s="32"/>
      <c r="AN1206" s="32"/>
      <c r="AO1206" s="32"/>
      <c r="AP1206" s="32"/>
      <c r="AQ1206" s="32"/>
      <c r="AR1206" s="32"/>
      <c r="AS1206" s="32"/>
      <c r="AT1206" s="32"/>
      <c r="AU1206" s="32"/>
      <c r="XEY1206" s="27"/>
      <c r="XEZ1206" s="27"/>
      <c r="XFA1206" s="27"/>
      <c r="XFB1206" s="27"/>
      <c r="XFC1206" s="27"/>
      <c r="XFD1206" s="27"/>
    </row>
    <row r="1207" s="42" customFormat="true" ht="14.15" hidden="false" customHeight="true" outlineLevel="0" collapsed="false">
      <c r="A1207" s="28" t="s">
        <v>7265</v>
      </c>
      <c r="B1207" s="29" t="s">
        <v>1600</v>
      </c>
      <c r="C1207" s="29" t="s">
        <v>7266</v>
      </c>
      <c r="D1207" s="30" t="s">
        <v>50</v>
      </c>
      <c r="E1207" s="30" t="s">
        <v>344</v>
      </c>
      <c r="F1207" s="32" t="n">
        <v>56</v>
      </c>
      <c r="G1207" s="31" t="s">
        <v>345</v>
      </c>
      <c r="H1207" s="31" t="n">
        <v>2</v>
      </c>
      <c r="I1207" s="31" t="s">
        <v>62</v>
      </c>
      <c r="J1207" s="29"/>
      <c r="K1207" s="29" t="s">
        <v>7267</v>
      </c>
      <c r="L1207" s="32" t="n">
        <v>1</v>
      </c>
      <c r="M1207" s="33" t="s">
        <v>6325</v>
      </c>
      <c r="N1207" s="34" t="n">
        <v>75017</v>
      </c>
      <c r="O1207" s="35" t="s">
        <v>55</v>
      </c>
      <c r="P1207" s="36" t="s">
        <v>7268</v>
      </c>
      <c r="Q1207" s="36" t="n">
        <v>1</v>
      </c>
      <c r="R1207" s="32" t="n">
        <v>187</v>
      </c>
      <c r="S1207" s="32" t="n">
        <v>1</v>
      </c>
      <c r="T1207" s="32"/>
      <c r="U1207" s="32"/>
      <c r="V1207" s="37"/>
      <c r="W1207" s="32"/>
      <c r="X1207" s="34"/>
      <c r="Y1207" s="34"/>
      <c r="Z1207" s="36"/>
      <c r="AA1207" s="32" t="s">
        <v>7269</v>
      </c>
      <c r="AB1207" s="32" t="s">
        <v>7270</v>
      </c>
      <c r="AC1207" s="38" t="str">
        <f aca="false">HYPERLINK("https://biocodex6--c.vf.force.com/0014L00000KFX2jQAH", "BITOUN CAROLINE")</f>
        <v>BITOUN CAROLINE</v>
      </c>
      <c r="AD1207" s="38" t="str">
        <f aca="false">HYPERLINK("https://annuairesante.ameli.fr/professionnels-de-sante/recherche/fiche-detaillee-B7c1lDEyNTG6.html", "BITOUN CAROLINE")</f>
        <v>BITOUN CAROLINE</v>
      </c>
      <c r="AE1207" s="39"/>
      <c r="AF1207" s="40"/>
      <c r="AG1207" s="41"/>
      <c r="AH1207" s="32" t="s">
        <v>179</v>
      </c>
      <c r="AI1207" s="32"/>
      <c r="AL1207" s="32"/>
      <c r="AM1207" s="32"/>
      <c r="AN1207" s="32"/>
      <c r="AO1207" s="32"/>
      <c r="AP1207" s="32"/>
      <c r="AQ1207" s="32"/>
      <c r="AR1207" s="32"/>
      <c r="AS1207" s="32"/>
      <c r="AT1207" s="32"/>
      <c r="AU1207" s="32"/>
      <c r="XEY1207" s="27"/>
      <c r="XEZ1207" s="27"/>
      <c r="XFA1207" s="27"/>
      <c r="XFB1207" s="27"/>
      <c r="XFC1207" s="27"/>
      <c r="XFD1207" s="27"/>
    </row>
    <row r="1208" s="42" customFormat="true" ht="14.15" hidden="false" customHeight="true" outlineLevel="0" collapsed="false">
      <c r="A1208" s="28" t="s">
        <v>7271</v>
      </c>
      <c r="B1208" s="29" t="s">
        <v>494</v>
      </c>
      <c r="C1208" s="29" t="s">
        <v>7272</v>
      </c>
      <c r="D1208" s="30" t="s">
        <v>75</v>
      </c>
      <c r="E1208" s="31"/>
      <c r="F1208" s="32" t="n">
        <v>49</v>
      </c>
      <c r="G1208" s="31" t="s">
        <v>215</v>
      </c>
      <c r="H1208" s="31" t="n">
        <v>2</v>
      </c>
      <c r="I1208" s="31" t="s">
        <v>99</v>
      </c>
      <c r="J1208" s="29" t="s">
        <v>595</v>
      </c>
      <c r="K1208" s="29" t="s">
        <v>596</v>
      </c>
      <c r="L1208" s="32" t="n">
        <v>20</v>
      </c>
      <c r="M1208" s="33" t="s">
        <v>597</v>
      </c>
      <c r="N1208" s="34" t="n">
        <v>75015</v>
      </c>
      <c r="O1208" s="35" t="s">
        <v>55</v>
      </c>
      <c r="P1208" s="36" t="s">
        <v>7273</v>
      </c>
      <c r="Q1208" s="36" t="n">
        <v>90</v>
      </c>
      <c r="R1208" s="32" t="n">
        <v>185</v>
      </c>
      <c r="S1208" s="32" t="n">
        <v>1</v>
      </c>
      <c r="T1208" s="32"/>
      <c r="U1208" s="32"/>
      <c r="V1208" s="37"/>
      <c r="W1208" s="32"/>
      <c r="X1208" s="34"/>
      <c r="Y1208" s="34"/>
      <c r="Z1208" s="36"/>
      <c r="AA1208" s="32" t="s">
        <v>7274</v>
      </c>
      <c r="AB1208" s="32" t="s">
        <v>7275</v>
      </c>
      <c r="AC1208" s="38" t="str">
        <f aca="false">HYPERLINK("https://biocodex6--c.vf.force.com/0014L00000KFz0BQAT", "RAHMI GABRIEL")</f>
        <v>RAHMI GABRIEL</v>
      </c>
      <c r="AD1208" s="38" t="str">
        <f aca="false">HYPERLINK("https://annuairesante.ameli.fr/professionnels-de-sante/recherche/fiche-detaillee-B7c1mzY4MjWw.html", "RAHMI GABRIEL")</f>
        <v>RAHMI GABRIEL</v>
      </c>
      <c r="AE1208" s="39"/>
      <c r="AF1208" s="40"/>
      <c r="AG1208" s="41"/>
      <c r="AH1208" s="32" t="s">
        <v>179</v>
      </c>
      <c r="AI1208" s="32"/>
      <c r="AL1208" s="32"/>
      <c r="AM1208" s="32"/>
      <c r="AN1208" s="32"/>
      <c r="AO1208" s="32"/>
      <c r="AP1208" s="32"/>
      <c r="AQ1208" s="32"/>
      <c r="AR1208" s="32"/>
      <c r="AS1208" s="32"/>
      <c r="AT1208" s="32"/>
      <c r="AU1208" s="32"/>
      <c r="XEY1208" s="27"/>
      <c r="XEZ1208" s="27"/>
      <c r="XFA1208" s="27"/>
      <c r="XFB1208" s="27"/>
      <c r="XFC1208" s="27"/>
      <c r="XFD1208" s="27"/>
    </row>
    <row r="1209" s="42" customFormat="true" ht="14.15" hidden="false" customHeight="true" outlineLevel="0" collapsed="false">
      <c r="A1209" s="28" t="s">
        <v>3589</v>
      </c>
      <c r="B1209" s="29" t="s">
        <v>3346</v>
      </c>
      <c r="C1209" s="29" t="s">
        <v>7276</v>
      </c>
      <c r="D1209" s="30" t="s">
        <v>75</v>
      </c>
      <c r="E1209" s="30" t="s">
        <v>76</v>
      </c>
      <c r="F1209" s="32" t="n">
        <v>54</v>
      </c>
      <c r="G1209" s="31"/>
      <c r="H1209" s="31" t="n">
        <v>2</v>
      </c>
      <c r="I1209" s="31" t="s">
        <v>99</v>
      </c>
      <c r="J1209" s="29" t="s">
        <v>595</v>
      </c>
      <c r="K1209" s="29" t="s">
        <v>596</v>
      </c>
      <c r="L1209" s="32" t="n">
        <v>20</v>
      </c>
      <c r="M1209" s="33" t="s">
        <v>597</v>
      </c>
      <c r="N1209" s="34" t="n">
        <v>75015</v>
      </c>
      <c r="O1209" s="35" t="s">
        <v>55</v>
      </c>
      <c r="P1209" s="36" t="s">
        <v>2251</v>
      </c>
      <c r="Q1209" s="36" t="n">
        <v>90</v>
      </c>
      <c r="R1209" s="32" t="n">
        <v>185</v>
      </c>
      <c r="S1209" s="32" t="n">
        <v>1</v>
      </c>
      <c r="T1209" s="32"/>
      <c r="U1209" s="32"/>
      <c r="V1209" s="37"/>
      <c r="W1209" s="32"/>
      <c r="X1209" s="34"/>
      <c r="Y1209" s="34"/>
      <c r="Z1209" s="32"/>
      <c r="AA1209" s="32" t="s">
        <v>7277</v>
      </c>
      <c r="AB1209" s="32"/>
      <c r="AC1209" s="38" t="str">
        <f aca="false">HYPERLINK("https://biocodex6--c.vf.force.com/0014L00000KG3DVQA1", "TAIEB JULIEN")</f>
        <v>TAIEB JULIEN</v>
      </c>
      <c r="AD1209" s="38"/>
      <c r="AE1209" s="39"/>
      <c r="AF1209" s="40"/>
      <c r="AG1209" s="41"/>
      <c r="AH1209" s="32"/>
      <c r="AI1209" s="32"/>
      <c r="AL1209" s="32"/>
      <c r="AM1209" s="32"/>
      <c r="AN1209" s="32"/>
      <c r="AO1209" s="32"/>
      <c r="AP1209" s="32"/>
      <c r="AQ1209" s="32"/>
      <c r="AR1209" s="32"/>
      <c r="AS1209" s="32"/>
      <c r="AT1209" s="32"/>
      <c r="AU1209" s="32"/>
      <c r="XEY1209" s="27"/>
      <c r="XEZ1209" s="27"/>
      <c r="XFA1209" s="27"/>
      <c r="XFB1209" s="27"/>
      <c r="XFC1209" s="27"/>
      <c r="XFD1209" s="27"/>
    </row>
    <row r="1210" s="42" customFormat="true" ht="14.15" hidden="false" customHeight="true" outlineLevel="0" collapsed="false">
      <c r="A1210" s="28" t="s">
        <v>7278</v>
      </c>
      <c r="B1210" s="29" t="s">
        <v>883</v>
      </c>
      <c r="C1210" s="29" t="s">
        <v>7279</v>
      </c>
      <c r="D1210" s="30" t="s">
        <v>50</v>
      </c>
      <c r="E1210" s="30" t="s">
        <v>421</v>
      </c>
      <c r="F1210" s="32" t="n">
        <v>73</v>
      </c>
      <c r="G1210" s="31"/>
      <c r="H1210" s="31" t="n">
        <v>1</v>
      </c>
      <c r="I1210" s="31" t="s">
        <v>51</v>
      </c>
      <c r="J1210" s="29" t="s">
        <v>2010</v>
      </c>
      <c r="K1210" s="29" t="s">
        <v>2011</v>
      </c>
      <c r="L1210" s="32" t="n">
        <v>37</v>
      </c>
      <c r="M1210" s="33" t="s">
        <v>2012</v>
      </c>
      <c r="N1210" s="34" t="n">
        <v>75015</v>
      </c>
      <c r="O1210" s="35" t="s">
        <v>55</v>
      </c>
      <c r="P1210" s="36" t="s">
        <v>2013</v>
      </c>
      <c r="Q1210" s="36" t="n">
        <v>19</v>
      </c>
      <c r="R1210" s="32" t="n">
        <v>185</v>
      </c>
      <c r="S1210" s="32" t="n">
        <v>1</v>
      </c>
      <c r="T1210" s="32"/>
      <c r="U1210" s="32"/>
      <c r="V1210" s="37"/>
      <c r="W1210" s="32"/>
      <c r="X1210" s="34"/>
      <c r="Y1210" s="34"/>
      <c r="Z1210" s="36"/>
      <c r="AA1210" s="32" t="s">
        <v>7280</v>
      </c>
      <c r="AB1210" s="32"/>
      <c r="AC1210" s="38" t="str">
        <f aca="false">HYPERLINK("https://biocodex6--c.vf.force.com/0014L00000KFo9sQAD", "LESCS JACQUES")</f>
        <v>LESCS JACQUES</v>
      </c>
      <c r="AD1210" s="38"/>
      <c r="AE1210" s="39"/>
      <c r="AF1210" s="40"/>
      <c r="AG1210" s="41"/>
      <c r="AH1210" s="32" t="s">
        <v>179</v>
      </c>
      <c r="AI1210" s="32"/>
      <c r="AL1210" s="32"/>
      <c r="AM1210" s="32"/>
      <c r="AN1210" s="32"/>
      <c r="AO1210" s="32"/>
      <c r="AP1210" s="32"/>
      <c r="AQ1210" s="32"/>
      <c r="AR1210" s="32"/>
      <c r="AS1210" s="32"/>
      <c r="AT1210" s="32"/>
      <c r="AU1210" s="32"/>
      <c r="XEY1210" s="27"/>
      <c r="XEZ1210" s="27"/>
      <c r="XFA1210" s="27"/>
      <c r="XFB1210" s="27"/>
      <c r="XFC1210" s="27"/>
      <c r="XFD1210" s="27"/>
    </row>
    <row r="1211" s="42" customFormat="true" ht="14.15" hidden="false" customHeight="true" outlineLevel="0" collapsed="false">
      <c r="A1211" s="28" t="s">
        <v>7281</v>
      </c>
      <c r="B1211" s="29" t="s">
        <v>7282</v>
      </c>
      <c r="C1211" s="29" t="s">
        <v>7283</v>
      </c>
      <c r="D1211" s="30" t="s">
        <v>50</v>
      </c>
      <c r="E1211" s="30" t="s">
        <v>344</v>
      </c>
      <c r="F1211" s="32" t="n">
        <v>74</v>
      </c>
      <c r="G1211" s="31"/>
      <c r="H1211" s="31" t="n">
        <v>1</v>
      </c>
      <c r="I1211" s="31" t="s">
        <v>173</v>
      </c>
      <c r="J1211" s="29"/>
      <c r="K1211" s="29" t="s">
        <v>3237</v>
      </c>
      <c r="L1211" s="32" t="n">
        <v>57</v>
      </c>
      <c r="M1211" s="33" t="s">
        <v>1888</v>
      </c>
      <c r="N1211" s="34" t="n">
        <v>75016</v>
      </c>
      <c r="O1211" s="35" t="s">
        <v>55</v>
      </c>
      <c r="P1211" s="36" t="s">
        <v>3238</v>
      </c>
      <c r="Q1211" s="36" t="n">
        <v>3</v>
      </c>
      <c r="R1211" s="32" t="n">
        <v>185</v>
      </c>
      <c r="S1211" s="32" t="n">
        <v>1</v>
      </c>
      <c r="T1211" s="32"/>
      <c r="U1211" s="32"/>
      <c r="V1211" s="37"/>
      <c r="W1211" s="32"/>
      <c r="X1211" s="34"/>
      <c r="Y1211" s="34"/>
      <c r="Z1211" s="36"/>
      <c r="AA1211" s="32" t="s">
        <v>7284</v>
      </c>
      <c r="AB1211" s="32"/>
      <c r="AC1211" s="38" t="str">
        <f aca="false">HYPERLINK("https://biocodex6--c.vf.force.com/0014L00000KFw2IQAT", "PIETRIGA JEAN JACQUES")</f>
        <v>PIETRIGA JEAN JACQUES</v>
      </c>
      <c r="AD1211" s="38"/>
      <c r="AE1211" s="39"/>
      <c r="AF1211" s="40"/>
      <c r="AG1211" s="41"/>
      <c r="AH1211" s="32" t="s">
        <v>179</v>
      </c>
      <c r="AI1211" s="32"/>
      <c r="AL1211" s="32"/>
      <c r="AM1211" s="32"/>
      <c r="AN1211" s="32"/>
      <c r="AO1211" s="32"/>
      <c r="AP1211" s="32"/>
      <c r="AQ1211" s="32"/>
      <c r="AR1211" s="32"/>
      <c r="AS1211" s="32"/>
      <c r="AT1211" s="32"/>
      <c r="AU1211" s="32"/>
      <c r="XEY1211" s="27"/>
      <c r="XEZ1211" s="27"/>
      <c r="XFA1211" s="27"/>
      <c r="XFB1211" s="27"/>
      <c r="XFC1211" s="27"/>
      <c r="XFD1211" s="27"/>
    </row>
    <row r="1212" s="42" customFormat="true" ht="14.15" hidden="false" customHeight="true" outlineLevel="0" collapsed="false">
      <c r="A1212" s="28" t="s">
        <v>7285</v>
      </c>
      <c r="B1212" s="29" t="s">
        <v>7286</v>
      </c>
      <c r="C1212" s="29" t="s">
        <v>7287</v>
      </c>
      <c r="D1212" s="30" t="s">
        <v>50</v>
      </c>
      <c r="E1212" s="30" t="s">
        <v>255</v>
      </c>
      <c r="F1212" s="32" t="n">
        <v>51</v>
      </c>
      <c r="G1212" s="31"/>
      <c r="H1212" s="31" t="n">
        <v>2</v>
      </c>
      <c r="I1212" s="31" t="s">
        <v>233</v>
      </c>
      <c r="J1212" s="29"/>
      <c r="K1212" s="29" t="s">
        <v>5947</v>
      </c>
      <c r="L1212" s="32" t="n">
        <v>237</v>
      </c>
      <c r="M1212" s="33" t="s">
        <v>2387</v>
      </c>
      <c r="N1212" s="34" t="n">
        <v>75015</v>
      </c>
      <c r="O1212" s="35" t="s">
        <v>55</v>
      </c>
      <c r="P1212" s="36" t="s">
        <v>5948</v>
      </c>
      <c r="Q1212" s="36" t="n">
        <v>4</v>
      </c>
      <c r="R1212" s="32" t="n">
        <v>185</v>
      </c>
      <c r="S1212" s="32" t="n">
        <v>1</v>
      </c>
      <c r="T1212" s="32"/>
      <c r="U1212" s="32"/>
      <c r="V1212" s="37"/>
      <c r="W1212" s="32"/>
      <c r="X1212" s="34"/>
      <c r="Y1212" s="34"/>
      <c r="Z1212" s="36"/>
      <c r="AA1212" s="32" t="s">
        <v>7288</v>
      </c>
      <c r="AB1212" s="32"/>
      <c r="AC1212" s="38" t="str">
        <f aca="false">HYPERLINK("https://biocodex6--c.vf.force.com/0014L00000KFSRrQAP", "AZRIA PHILIPPE BENJAMIN")</f>
        <v>AZRIA PHILIPPE BENJAMIN</v>
      </c>
      <c r="AD1212" s="38"/>
      <c r="AE1212" s="39"/>
      <c r="AF1212" s="40"/>
      <c r="AG1212" s="41"/>
      <c r="AH1212" s="32" t="s">
        <v>179</v>
      </c>
      <c r="AI1212" s="32"/>
      <c r="AL1212" s="32"/>
      <c r="AM1212" s="32"/>
      <c r="AN1212" s="32"/>
      <c r="AO1212" s="32"/>
      <c r="AP1212" s="32"/>
      <c r="AQ1212" s="32"/>
      <c r="AR1212" s="32"/>
      <c r="AS1212" s="32"/>
      <c r="AT1212" s="32"/>
      <c r="AU1212" s="32"/>
      <c r="XEY1212" s="27"/>
      <c r="XEZ1212" s="27"/>
      <c r="XFA1212" s="27"/>
      <c r="XFB1212" s="27"/>
      <c r="XFC1212" s="27"/>
      <c r="XFD1212" s="27"/>
    </row>
    <row r="1213" s="42" customFormat="true" ht="14.15" hidden="false" customHeight="true" outlineLevel="0" collapsed="false">
      <c r="A1213" s="28" t="s">
        <v>7289</v>
      </c>
      <c r="B1213" s="29" t="s">
        <v>1438</v>
      </c>
      <c r="C1213" s="29" t="s">
        <v>7290</v>
      </c>
      <c r="D1213" s="30" t="s">
        <v>268</v>
      </c>
      <c r="E1213" s="31"/>
      <c r="F1213" s="32" t="n">
        <v>43</v>
      </c>
      <c r="G1213" s="31"/>
      <c r="H1213" s="31" t="n">
        <v>1</v>
      </c>
      <c r="I1213" s="31" t="s">
        <v>387</v>
      </c>
      <c r="J1213" s="29"/>
      <c r="K1213" s="29" t="s">
        <v>3790</v>
      </c>
      <c r="L1213" s="32" t="n">
        <v>6</v>
      </c>
      <c r="M1213" s="33" t="s">
        <v>3791</v>
      </c>
      <c r="N1213" s="34" t="n">
        <v>75016</v>
      </c>
      <c r="O1213" s="35" t="s">
        <v>55</v>
      </c>
      <c r="P1213" s="36" t="s">
        <v>3792</v>
      </c>
      <c r="Q1213" s="36" t="n">
        <v>5</v>
      </c>
      <c r="R1213" s="32" t="n">
        <v>184</v>
      </c>
      <c r="S1213" s="32" t="n">
        <v>1</v>
      </c>
      <c r="T1213" s="32"/>
      <c r="U1213" s="32"/>
      <c r="V1213" s="37"/>
      <c r="W1213" s="32"/>
      <c r="X1213" s="34"/>
      <c r="Y1213" s="34"/>
      <c r="Z1213" s="36"/>
      <c r="AA1213" s="32" t="s">
        <v>7291</v>
      </c>
      <c r="AB1213" s="32"/>
      <c r="AC1213" s="38" t="str">
        <f aca="false">HYPERLINK("https://biocodex6--c.vf.force.com/0014L00000KG71LQAT", "AZOULAY ZYSS JULIE")</f>
        <v>AZOULAY ZYSS JULIE</v>
      </c>
      <c r="AD1213" s="38"/>
      <c r="AE1213" s="39"/>
      <c r="AF1213" s="40"/>
      <c r="AG1213" s="41"/>
      <c r="AH1213" s="32" t="s">
        <v>179</v>
      </c>
      <c r="AI1213" s="32"/>
      <c r="AL1213" s="32"/>
      <c r="AM1213" s="32"/>
      <c r="AN1213" s="32"/>
      <c r="AO1213" s="32"/>
      <c r="AP1213" s="32"/>
      <c r="AQ1213" s="32"/>
      <c r="AR1213" s="32"/>
      <c r="AS1213" s="32"/>
      <c r="AT1213" s="32"/>
      <c r="AU1213" s="32"/>
      <c r="XEY1213" s="27"/>
      <c r="XEZ1213" s="27"/>
      <c r="XFA1213" s="27"/>
      <c r="XFB1213" s="27"/>
      <c r="XFC1213" s="27"/>
      <c r="XFD1213" s="27"/>
    </row>
    <row r="1214" s="42" customFormat="true" ht="14.15" hidden="false" customHeight="true" outlineLevel="0" collapsed="false">
      <c r="A1214" s="28" t="s">
        <v>7292</v>
      </c>
      <c r="B1214" s="29" t="s">
        <v>1275</v>
      </c>
      <c r="C1214" s="29" t="s">
        <v>7293</v>
      </c>
      <c r="D1214" s="30" t="s">
        <v>50</v>
      </c>
      <c r="E1214" s="31"/>
      <c r="F1214" s="32" t="n">
        <v>47</v>
      </c>
      <c r="G1214" s="31" t="s">
        <v>61</v>
      </c>
      <c r="H1214" s="31" t="n">
        <v>1</v>
      </c>
      <c r="I1214" s="31" t="s">
        <v>435</v>
      </c>
      <c r="J1214" s="29"/>
      <c r="K1214" s="29" t="s">
        <v>7294</v>
      </c>
      <c r="L1214" s="32" t="n">
        <v>46</v>
      </c>
      <c r="M1214" s="33" t="s">
        <v>1010</v>
      </c>
      <c r="N1214" s="34" t="n">
        <v>75016</v>
      </c>
      <c r="O1214" s="35" t="s">
        <v>55</v>
      </c>
      <c r="P1214" s="36" t="s">
        <v>7295</v>
      </c>
      <c r="Q1214" s="36" t="n">
        <v>1</v>
      </c>
      <c r="R1214" s="32" t="n">
        <v>184</v>
      </c>
      <c r="S1214" s="32" t="n">
        <v>1</v>
      </c>
      <c r="T1214" s="32"/>
      <c r="U1214" s="32"/>
      <c r="V1214" s="37"/>
      <c r="W1214" s="32"/>
      <c r="X1214" s="34"/>
      <c r="Y1214" s="34"/>
      <c r="Z1214" s="36"/>
      <c r="AA1214" s="32" t="s">
        <v>7296</v>
      </c>
      <c r="AB1214" s="32" t="s">
        <v>7297</v>
      </c>
      <c r="AC1214" s="38" t="str">
        <f aca="false">HYPERLINK("https://biocodex6--c.vf.force.com/0014L00000KFUZNQA5", "BOHBOT STEPHANE")</f>
        <v>BOHBOT STEPHANE</v>
      </c>
      <c r="AD1214" s="38" t="str">
        <f aca="false">HYPERLINK("https://annuairesante.ameli.fr/professionnels-de-sante/recherche/fiche-detaillee-B7c1mzY4MjS2.html", "BOHBOT STEPHANE")</f>
        <v>BOHBOT STEPHANE</v>
      </c>
      <c r="AE1214" s="39"/>
      <c r="AF1214" s="40"/>
      <c r="AG1214" s="41"/>
      <c r="AH1214" s="32" t="s">
        <v>179</v>
      </c>
      <c r="AI1214" s="32"/>
      <c r="AL1214" s="43" t="s">
        <v>7298</v>
      </c>
      <c r="AM1214" s="43" t="s">
        <v>137</v>
      </c>
      <c r="AN1214" s="43" t="s">
        <v>7298</v>
      </c>
      <c r="AO1214" s="43" t="s">
        <v>137</v>
      </c>
      <c r="AP1214" s="43" t="s">
        <v>7298</v>
      </c>
      <c r="AQ1214" s="43" t="s">
        <v>137</v>
      </c>
      <c r="AR1214" s="43" t="s">
        <v>7298</v>
      </c>
      <c r="AS1214" s="43" t="s">
        <v>137</v>
      </c>
      <c r="AT1214" s="43" t="s">
        <v>7298</v>
      </c>
      <c r="AU1214" s="43" t="s">
        <v>137</v>
      </c>
      <c r="XEY1214" s="27"/>
      <c r="XEZ1214" s="27"/>
      <c r="XFA1214" s="27"/>
      <c r="XFB1214" s="27"/>
      <c r="XFC1214" s="27"/>
      <c r="XFD1214" s="27"/>
    </row>
    <row r="1215" s="42" customFormat="true" ht="14.15" hidden="false" customHeight="true" outlineLevel="0" collapsed="false">
      <c r="A1215" s="28" t="s">
        <v>7299</v>
      </c>
      <c r="B1215" s="29" t="s">
        <v>5010</v>
      </c>
      <c r="C1215" s="29" t="s">
        <v>7300</v>
      </c>
      <c r="D1215" s="30" t="s">
        <v>50</v>
      </c>
      <c r="E1215" s="31"/>
      <c r="F1215" s="32" t="n">
        <v>0</v>
      </c>
      <c r="G1215" s="31"/>
      <c r="H1215" s="31" t="n">
        <v>1</v>
      </c>
      <c r="I1215" s="31" t="s">
        <v>51</v>
      </c>
      <c r="J1215" s="29" t="s">
        <v>286</v>
      </c>
      <c r="K1215" s="29" t="s">
        <v>287</v>
      </c>
      <c r="L1215" s="32" t="n">
        <v>12</v>
      </c>
      <c r="M1215" s="33" t="s">
        <v>288</v>
      </c>
      <c r="N1215" s="34" t="n">
        <v>75015</v>
      </c>
      <c r="O1215" s="35" t="s">
        <v>55</v>
      </c>
      <c r="P1215" s="36" t="s">
        <v>289</v>
      </c>
      <c r="Q1215" s="36" t="n">
        <v>14</v>
      </c>
      <c r="R1215" s="32" t="n">
        <v>183</v>
      </c>
      <c r="S1215" s="32" t="n">
        <v>1</v>
      </c>
      <c r="T1215" s="32"/>
      <c r="U1215" s="32"/>
      <c r="V1215" s="37"/>
      <c r="W1215" s="32"/>
      <c r="X1215" s="34"/>
      <c r="Y1215" s="34"/>
      <c r="Z1215" s="36"/>
      <c r="AA1215" s="32" t="s">
        <v>7301</v>
      </c>
      <c r="AB1215" s="32"/>
      <c r="AC1215" s="38" t="str">
        <f aca="false">HYPERLINK("https://biocodex6--c.vf.force.com/0014L00000KFvZGQA1", "PENA SIBYLLE")</f>
        <v>PENA SIBYLLE</v>
      </c>
      <c r="AD1215" s="38"/>
      <c r="AE1215" s="39" t="n">
        <v>45460.7916666667</v>
      </c>
      <c r="AF1215" s="40" t="s">
        <v>7302</v>
      </c>
      <c r="AG1215" s="41"/>
      <c r="AH1215" s="32" t="s">
        <v>179</v>
      </c>
      <c r="AI1215" s="32"/>
      <c r="AL1215" s="32"/>
      <c r="AM1215" s="32"/>
      <c r="AN1215" s="32"/>
      <c r="AO1215" s="32"/>
      <c r="AP1215" s="32"/>
      <c r="AQ1215" s="32"/>
      <c r="AR1215" s="32"/>
      <c r="AS1215" s="32"/>
      <c r="AT1215" s="32"/>
      <c r="AU1215" s="32"/>
      <c r="XEY1215" s="27"/>
      <c r="XEZ1215" s="27"/>
      <c r="XFA1215" s="27"/>
      <c r="XFB1215" s="27"/>
      <c r="XFC1215" s="27"/>
      <c r="XFD1215" s="27"/>
    </row>
    <row r="1216" s="42" customFormat="true" ht="14.15" hidden="false" customHeight="true" outlineLevel="0" collapsed="false">
      <c r="A1216" s="28" t="s">
        <v>7303</v>
      </c>
      <c r="B1216" s="29" t="s">
        <v>128</v>
      </c>
      <c r="C1216" s="29" t="s">
        <v>7304</v>
      </c>
      <c r="D1216" s="30" t="s">
        <v>50</v>
      </c>
      <c r="E1216" s="30" t="s">
        <v>421</v>
      </c>
      <c r="F1216" s="32" t="n">
        <v>73</v>
      </c>
      <c r="G1216" s="31" t="s">
        <v>345</v>
      </c>
      <c r="H1216" s="31" t="n">
        <v>1</v>
      </c>
      <c r="I1216" s="31" t="s">
        <v>197</v>
      </c>
      <c r="J1216" s="29"/>
      <c r="K1216" s="29" t="s">
        <v>7305</v>
      </c>
      <c r="L1216" s="32" t="n">
        <v>49</v>
      </c>
      <c r="M1216" s="33" t="s">
        <v>646</v>
      </c>
      <c r="N1216" s="34" t="n">
        <v>75017</v>
      </c>
      <c r="O1216" s="35" t="s">
        <v>55</v>
      </c>
      <c r="P1216" s="36" t="s">
        <v>7306</v>
      </c>
      <c r="Q1216" s="36" t="n">
        <v>1</v>
      </c>
      <c r="R1216" s="32" t="n">
        <v>183</v>
      </c>
      <c r="S1216" s="32" t="n">
        <v>1</v>
      </c>
      <c r="T1216" s="32"/>
      <c r="U1216" s="32"/>
      <c r="V1216" s="37"/>
      <c r="W1216" s="32"/>
      <c r="X1216" s="34"/>
      <c r="Y1216" s="34"/>
      <c r="Z1216" s="36"/>
      <c r="AA1216" s="32" t="s">
        <v>7307</v>
      </c>
      <c r="AB1216" s="32" t="s">
        <v>7308</v>
      </c>
      <c r="AC1216" s="38" t="str">
        <f aca="false">HYPERLINK("https://biocodex6--c.vf.force.com/0014L00000KFSmWQAX", "BERGONT FRANCOISE")</f>
        <v>BERGONT FRANCOISE</v>
      </c>
      <c r="AD1216" s="38" t="str">
        <f aca="false">HYPERLINK("https://annuairesante.ameli.fr/professionnels-de-sante/recherche/fiche-detaillee-B7c1ljMxNzCz.html", "BERGONT FRANCOISE")</f>
        <v>BERGONT FRANCOISE</v>
      </c>
      <c r="AE1216" s="39"/>
      <c r="AF1216" s="40"/>
      <c r="AG1216" s="41"/>
      <c r="AH1216" s="32" t="s">
        <v>179</v>
      </c>
      <c r="AI1216" s="32"/>
      <c r="AL1216" s="32"/>
      <c r="AM1216" s="32"/>
      <c r="AN1216" s="32"/>
      <c r="AO1216" s="32"/>
      <c r="AP1216" s="32"/>
      <c r="AQ1216" s="32"/>
      <c r="AR1216" s="32"/>
      <c r="AS1216" s="32"/>
      <c r="AT1216" s="32"/>
      <c r="AU1216" s="32"/>
      <c r="XEY1216" s="27"/>
      <c r="XEZ1216" s="27"/>
      <c r="XFA1216" s="27"/>
      <c r="XFB1216" s="27"/>
      <c r="XFC1216" s="27"/>
      <c r="XFD1216" s="27"/>
    </row>
    <row r="1217" s="42" customFormat="true" ht="14.15" hidden="false" customHeight="true" outlineLevel="0" collapsed="false">
      <c r="A1217" s="28" t="s">
        <v>7309</v>
      </c>
      <c r="B1217" s="29" t="s">
        <v>7310</v>
      </c>
      <c r="C1217" s="29" t="s">
        <v>7311</v>
      </c>
      <c r="D1217" s="30" t="s">
        <v>50</v>
      </c>
      <c r="E1217" s="31"/>
      <c r="F1217" s="32"/>
      <c r="G1217" s="31" t="s">
        <v>215</v>
      </c>
      <c r="H1217" s="31" t="n">
        <v>1</v>
      </c>
      <c r="I1217" s="31" t="s">
        <v>77</v>
      </c>
      <c r="J1217" s="29"/>
      <c r="K1217" s="29" t="s">
        <v>7312</v>
      </c>
      <c r="L1217" s="32" t="n">
        <v>88</v>
      </c>
      <c r="M1217" s="33" t="s">
        <v>379</v>
      </c>
      <c r="N1217" s="34" t="n">
        <v>92200</v>
      </c>
      <c r="O1217" s="35" t="s">
        <v>81</v>
      </c>
      <c r="P1217" s="36" t="s">
        <v>7313</v>
      </c>
      <c r="Q1217" s="36" t="n">
        <v>2</v>
      </c>
      <c r="R1217" s="32" t="n">
        <v>183</v>
      </c>
      <c r="S1217" s="32" t="n">
        <v>1</v>
      </c>
      <c r="T1217" s="32"/>
      <c r="U1217" s="32"/>
      <c r="V1217" s="37"/>
      <c r="W1217" s="32"/>
      <c r="X1217" s="34"/>
      <c r="Y1217" s="34"/>
      <c r="Z1217" s="36"/>
      <c r="AA1217" s="32" t="s">
        <v>7314</v>
      </c>
      <c r="AB1217" s="32" t="s">
        <v>7315</v>
      </c>
      <c r="AC1217" s="38" t="str">
        <f aca="false">HYPERLINK("https://biocodex6--c.vf.force.com/0014L00000KFQV8QAP", "ESTEGASSY OURY")</f>
        <v>ESTEGASSY OURY</v>
      </c>
      <c r="AD1217" s="38" t="str">
        <f aca="false">HYPERLINK("https://annuairesante.ameli.fr/professionnels-de-sante/recherche/fiche-detaillee-CbA1kDMzNTKw.html", "ESTEGASSY OURY")</f>
        <v>ESTEGASSY OURY</v>
      </c>
      <c r="AE1217" s="39"/>
      <c r="AF1217" s="40"/>
      <c r="AG1217" s="41"/>
      <c r="AH1217" s="32" t="s">
        <v>179</v>
      </c>
      <c r="AI1217" s="32"/>
      <c r="AL1217" s="43" t="s">
        <v>442</v>
      </c>
      <c r="AM1217" s="43" t="s">
        <v>6137</v>
      </c>
      <c r="AN1217" s="43" t="s">
        <v>442</v>
      </c>
      <c r="AO1217" s="43" t="s">
        <v>6137</v>
      </c>
      <c r="AP1217" s="43" t="s">
        <v>442</v>
      </c>
      <c r="AQ1217" s="43" t="s">
        <v>6137</v>
      </c>
      <c r="AR1217" s="43" t="s">
        <v>442</v>
      </c>
      <c r="AS1217" s="43" t="s">
        <v>6137</v>
      </c>
      <c r="AT1217" s="43" t="s">
        <v>657</v>
      </c>
      <c r="AU1217" s="32"/>
      <c r="XEY1217" s="27"/>
      <c r="XEZ1217" s="27"/>
      <c r="XFA1217" s="27"/>
      <c r="XFB1217" s="27"/>
      <c r="XFC1217" s="27"/>
      <c r="XFD1217" s="27"/>
    </row>
    <row r="1218" s="42" customFormat="true" ht="14.15" hidden="false" customHeight="true" outlineLevel="0" collapsed="false">
      <c r="A1218" s="28" t="s">
        <v>7316</v>
      </c>
      <c r="B1218" s="29" t="s">
        <v>593</v>
      </c>
      <c r="C1218" s="29" t="s">
        <v>7317</v>
      </c>
      <c r="D1218" s="30" t="s">
        <v>50</v>
      </c>
      <c r="E1218" s="31"/>
      <c r="F1218" s="32" t="n">
        <v>51</v>
      </c>
      <c r="G1218" s="31"/>
      <c r="H1218" s="31" t="n">
        <v>2</v>
      </c>
      <c r="I1218" s="31" t="s">
        <v>119</v>
      </c>
      <c r="J1218" s="29" t="s">
        <v>4143</v>
      </c>
      <c r="K1218" s="29" t="s">
        <v>4144</v>
      </c>
      <c r="L1218" s="32" t="n">
        <v>6</v>
      </c>
      <c r="M1218" s="33" t="s">
        <v>3713</v>
      </c>
      <c r="N1218" s="34" t="n">
        <v>75007</v>
      </c>
      <c r="O1218" s="35" t="s">
        <v>55</v>
      </c>
      <c r="P1218" s="36" t="s">
        <v>6072</v>
      </c>
      <c r="Q1218" s="36" t="n">
        <v>6</v>
      </c>
      <c r="R1218" s="32" t="n">
        <v>182</v>
      </c>
      <c r="S1218" s="32" t="n">
        <v>1</v>
      </c>
      <c r="T1218" s="32"/>
      <c r="U1218" s="32"/>
      <c r="V1218" s="37"/>
      <c r="W1218" s="32"/>
      <c r="X1218" s="34"/>
      <c r="Y1218" s="34"/>
      <c r="Z1218" s="36"/>
      <c r="AA1218" s="32" t="s">
        <v>7318</v>
      </c>
      <c r="AB1218" s="32"/>
      <c r="AC1218" s="38" t="str">
        <f aca="false">HYPERLINK("https://biocodex6--c.vf.force.com/0014L00000KFW9dQAH", "BOUVIER ANTOINE")</f>
        <v>BOUVIER ANTOINE</v>
      </c>
      <c r="AD1218" s="38"/>
      <c r="AE1218" s="39"/>
      <c r="AF1218" s="40"/>
      <c r="AG1218" s="41"/>
      <c r="AH1218" s="32" t="s">
        <v>179</v>
      </c>
      <c r="AI1218" s="32"/>
      <c r="AL1218" s="32"/>
      <c r="AM1218" s="32"/>
      <c r="AN1218" s="32"/>
      <c r="AO1218" s="32"/>
      <c r="AP1218" s="32"/>
      <c r="AQ1218" s="32"/>
      <c r="AR1218" s="32"/>
      <c r="AS1218" s="32"/>
      <c r="AT1218" s="32"/>
      <c r="AU1218" s="32"/>
      <c r="XEY1218" s="27"/>
      <c r="XEZ1218" s="27"/>
      <c r="XFA1218" s="27"/>
      <c r="XFB1218" s="27"/>
      <c r="XFC1218" s="27"/>
      <c r="XFD1218" s="27"/>
    </row>
    <row r="1219" s="42" customFormat="true" ht="14.15" hidden="false" customHeight="true" outlineLevel="0" collapsed="false">
      <c r="A1219" s="28" t="s">
        <v>7319</v>
      </c>
      <c r="B1219" s="29" t="s">
        <v>2033</v>
      </c>
      <c r="C1219" s="29" t="s">
        <v>7320</v>
      </c>
      <c r="D1219" s="30" t="s">
        <v>50</v>
      </c>
      <c r="E1219" s="30" t="s">
        <v>255</v>
      </c>
      <c r="F1219" s="32" t="n">
        <v>51</v>
      </c>
      <c r="G1219" s="31"/>
      <c r="H1219" s="31" t="n">
        <v>1</v>
      </c>
      <c r="I1219" s="31" t="s">
        <v>99</v>
      </c>
      <c r="J1219" s="29"/>
      <c r="K1219" s="29" t="s">
        <v>6596</v>
      </c>
      <c r="L1219" s="32" t="n">
        <v>24</v>
      </c>
      <c r="M1219" s="33" t="s">
        <v>961</v>
      </c>
      <c r="N1219" s="34" t="n">
        <v>75015</v>
      </c>
      <c r="O1219" s="35" t="s">
        <v>55</v>
      </c>
      <c r="P1219" s="36"/>
      <c r="Q1219" s="36" t="n">
        <v>2</v>
      </c>
      <c r="R1219" s="32" t="n">
        <v>181</v>
      </c>
      <c r="S1219" s="32" t="n">
        <v>1</v>
      </c>
      <c r="T1219" s="32"/>
      <c r="U1219" s="32"/>
      <c r="V1219" s="37"/>
      <c r="W1219" s="32"/>
      <c r="X1219" s="34"/>
      <c r="Y1219" s="34"/>
      <c r="Z1219" s="36"/>
      <c r="AA1219" s="32" t="s">
        <v>7321</v>
      </c>
      <c r="AB1219" s="32"/>
      <c r="AC1219" s="38" t="str">
        <f aca="false">HYPERLINK("https://biocodex6--c.vf.force.com/0014L00000KFQRnQAP", "ESFANDIARI ALEXANDRA")</f>
        <v>ESFANDIARI ALEXANDRA</v>
      </c>
      <c r="AD1219" s="38"/>
      <c r="AE1219" s="39"/>
      <c r="AF1219" s="40"/>
      <c r="AG1219" s="41"/>
      <c r="AH1219" s="32" t="s">
        <v>179</v>
      </c>
      <c r="AI1219" s="32"/>
      <c r="AL1219" s="32"/>
      <c r="AM1219" s="32"/>
      <c r="AN1219" s="32"/>
      <c r="AO1219" s="32"/>
      <c r="AP1219" s="32"/>
      <c r="AQ1219" s="32"/>
      <c r="AR1219" s="32"/>
      <c r="AS1219" s="32"/>
      <c r="AT1219" s="32"/>
      <c r="AU1219" s="32"/>
      <c r="XEY1219" s="27"/>
      <c r="XEZ1219" s="27"/>
      <c r="XFA1219" s="27"/>
      <c r="XFB1219" s="27"/>
      <c r="XFC1219" s="27"/>
      <c r="XFD1219" s="27"/>
    </row>
    <row r="1220" s="42" customFormat="true" ht="14.15" hidden="false" customHeight="true" outlineLevel="0" collapsed="false">
      <c r="A1220" s="28" t="s">
        <v>7322</v>
      </c>
      <c r="B1220" s="29" t="s">
        <v>794</v>
      </c>
      <c r="C1220" s="29" t="s">
        <v>7323</v>
      </c>
      <c r="D1220" s="30" t="s">
        <v>50</v>
      </c>
      <c r="E1220" s="30" t="s">
        <v>1103</v>
      </c>
      <c r="F1220" s="32" t="n">
        <v>75</v>
      </c>
      <c r="G1220" s="31" t="s">
        <v>61</v>
      </c>
      <c r="H1220" s="31" t="n">
        <v>1</v>
      </c>
      <c r="I1220" s="31" t="s">
        <v>51</v>
      </c>
      <c r="J1220" s="29"/>
      <c r="K1220" s="29" t="s">
        <v>7324</v>
      </c>
      <c r="L1220" s="32" t="n">
        <v>18</v>
      </c>
      <c r="M1220" s="33" t="s">
        <v>3442</v>
      </c>
      <c r="N1220" s="34" t="n">
        <v>75015</v>
      </c>
      <c r="O1220" s="35" t="s">
        <v>55</v>
      </c>
      <c r="P1220" s="36" t="s">
        <v>7325</v>
      </c>
      <c r="Q1220" s="36" t="n">
        <v>2</v>
      </c>
      <c r="R1220" s="32" t="n">
        <v>181</v>
      </c>
      <c r="S1220" s="32" t="n">
        <v>1</v>
      </c>
      <c r="T1220" s="32"/>
      <c r="U1220" s="32"/>
      <c r="V1220" s="37"/>
      <c r="W1220" s="32"/>
      <c r="X1220" s="34"/>
      <c r="Y1220" s="34"/>
      <c r="Z1220" s="36"/>
      <c r="AA1220" s="32" t="s">
        <v>7326</v>
      </c>
      <c r="AB1220" s="32" t="s">
        <v>7327</v>
      </c>
      <c r="AC1220" s="38" t="str">
        <f aca="false">HYPERLINK("https://biocodex6--c.vf.force.com/0014L00000KG3QQQA1", "TORCHIN DANIELLE")</f>
        <v>TORCHIN DANIELLE</v>
      </c>
      <c r="AD1220" s="38" t="str">
        <f aca="false">HYPERLINK("https://annuairesante.ameli.fr/professionnels-de-sante/recherche/fiche-detaillee-B7c1kTszMTey.html", "TORCHIN DANIELLE")</f>
        <v>TORCHIN DANIELLE</v>
      </c>
      <c r="AE1220" s="39"/>
      <c r="AF1220" s="40"/>
      <c r="AG1220" s="41"/>
      <c r="AH1220" s="32" t="s">
        <v>179</v>
      </c>
      <c r="AI1220" s="32"/>
      <c r="AL1220" s="43" t="s">
        <v>639</v>
      </c>
      <c r="AM1220" s="43" t="s">
        <v>137</v>
      </c>
      <c r="AN1220" s="43" t="s">
        <v>639</v>
      </c>
      <c r="AO1220" s="43" t="s">
        <v>137</v>
      </c>
      <c r="AP1220" s="43" t="s">
        <v>657</v>
      </c>
      <c r="AQ1220" s="43" t="s">
        <v>137</v>
      </c>
      <c r="AR1220" s="43" t="s">
        <v>639</v>
      </c>
      <c r="AS1220" s="43" t="s">
        <v>137</v>
      </c>
      <c r="AT1220" s="43" t="s">
        <v>639</v>
      </c>
      <c r="AU1220" s="43" t="s">
        <v>137</v>
      </c>
      <c r="XEY1220" s="27"/>
      <c r="XEZ1220" s="27"/>
      <c r="XFA1220" s="27"/>
      <c r="XFB1220" s="27"/>
      <c r="XFC1220" s="27"/>
      <c r="XFD1220" s="27"/>
    </row>
    <row r="1221" s="42" customFormat="true" ht="14.15" hidden="false" customHeight="true" outlineLevel="0" collapsed="false">
      <c r="A1221" s="28" t="s">
        <v>7328</v>
      </c>
      <c r="B1221" s="29" t="s">
        <v>7329</v>
      </c>
      <c r="C1221" s="29" t="s">
        <v>7330</v>
      </c>
      <c r="D1221" s="30" t="s">
        <v>50</v>
      </c>
      <c r="E1221" s="31"/>
      <c r="F1221" s="32"/>
      <c r="G1221" s="31"/>
      <c r="H1221" s="31" t="n">
        <v>1</v>
      </c>
      <c r="I1221" s="31" t="s">
        <v>62</v>
      </c>
      <c r="J1221" s="29" t="s">
        <v>1123</v>
      </c>
      <c r="K1221" s="29" t="s">
        <v>1124</v>
      </c>
      <c r="L1221" s="32" t="n">
        <v>97</v>
      </c>
      <c r="M1221" s="33" t="s">
        <v>1125</v>
      </c>
      <c r="N1221" s="34" t="n">
        <v>75017</v>
      </c>
      <c r="O1221" s="35" t="s">
        <v>55</v>
      </c>
      <c r="P1221" s="36" t="s">
        <v>1126</v>
      </c>
      <c r="Q1221" s="36" t="n">
        <v>6</v>
      </c>
      <c r="R1221" s="32" t="n">
        <v>181</v>
      </c>
      <c r="S1221" s="32" t="n">
        <v>1</v>
      </c>
      <c r="T1221" s="32"/>
      <c r="U1221" s="32"/>
      <c r="V1221" s="37"/>
      <c r="W1221" s="32"/>
      <c r="X1221" s="34"/>
      <c r="Y1221" s="34"/>
      <c r="Z1221" s="36"/>
      <c r="AA1221" s="32" t="s">
        <v>7331</v>
      </c>
      <c r="AB1221" s="32"/>
      <c r="AC1221" s="38" t="str">
        <f aca="false">HYPERLINK("https://biocodex6--c.vf.force.com/0014L00000KGDEbQAP", "BERRADA HANANE")</f>
        <v>BERRADA HANANE</v>
      </c>
      <c r="AD1221" s="38"/>
      <c r="AE1221" s="39"/>
      <c r="AF1221" s="40"/>
      <c r="AG1221" s="41"/>
      <c r="AH1221" s="32" t="s">
        <v>179</v>
      </c>
      <c r="AI1221" s="32"/>
      <c r="AJ1221" s="42" t="s">
        <v>1128</v>
      </c>
      <c r="AL1221" s="32"/>
      <c r="AM1221" s="32"/>
      <c r="AN1221" s="32"/>
      <c r="AO1221" s="32"/>
      <c r="AP1221" s="32"/>
      <c r="AQ1221" s="32"/>
      <c r="AR1221" s="32"/>
      <c r="AS1221" s="32"/>
      <c r="AT1221" s="32"/>
      <c r="AU1221" s="32"/>
      <c r="XEY1221" s="27"/>
      <c r="XEZ1221" s="27"/>
      <c r="XFA1221" s="27"/>
      <c r="XFB1221" s="27"/>
      <c r="XFC1221" s="27"/>
      <c r="XFD1221" s="27"/>
    </row>
    <row r="1222" s="42" customFormat="true" ht="14.15" hidden="false" customHeight="true" outlineLevel="0" collapsed="false">
      <c r="A1222" s="28" t="s">
        <v>7332</v>
      </c>
      <c r="B1222" s="29" t="s">
        <v>1236</v>
      </c>
      <c r="C1222" s="29" t="s">
        <v>7333</v>
      </c>
      <c r="D1222" s="30" t="s">
        <v>75</v>
      </c>
      <c r="E1222" s="30" t="s">
        <v>1176</v>
      </c>
      <c r="F1222" s="32" t="n">
        <v>71</v>
      </c>
      <c r="G1222" s="31" t="s">
        <v>215</v>
      </c>
      <c r="H1222" s="31" t="n">
        <v>2</v>
      </c>
      <c r="I1222" s="31" t="s">
        <v>197</v>
      </c>
      <c r="J1222" s="29"/>
      <c r="K1222" s="29" t="s">
        <v>2710</v>
      </c>
      <c r="L1222" s="32" t="n">
        <v>17</v>
      </c>
      <c r="M1222" s="33" t="s">
        <v>2447</v>
      </c>
      <c r="N1222" s="34" t="n">
        <v>75017</v>
      </c>
      <c r="O1222" s="35" t="s">
        <v>55</v>
      </c>
      <c r="P1222" s="36" t="s">
        <v>7334</v>
      </c>
      <c r="Q1222" s="36" t="n">
        <v>2</v>
      </c>
      <c r="R1222" s="32" t="n">
        <v>181</v>
      </c>
      <c r="S1222" s="32" t="n">
        <v>1</v>
      </c>
      <c r="T1222" s="32"/>
      <c r="U1222" s="32"/>
      <c r="V1222" s="37"/>
      <c r="W1222" s="32"/>
      <c r="X1222" s="34"/>
      <c r="Y1222" s="34"/>
      <c r="Z1222" s="36"/>
      <c r="AA1222" s="32" t="s">
        <v>7335</v>
      </c>
      <c r="AB1222" s="32" t="s">
        <v>7336</v>
      </c>
      <c r="AC1222" s="38" t="str">
        <f aca="false">HYPERLINK("https://biocodex6--c.vf.force.com/0014L00000KFfWzQAL", "GELINET JEAN MARC")</f>
        <v>GELINET JEAN MARC</v>
      </c>
      <c r="AD1222" s="38" t="str">
        <f aca="false">HYPERLINK("https://annuairesante.ameli.fr/professionnels-de-sante/recherche/fiche-detaillee-B7c1kTc0NTSz.html", "GELINET JEAN MARC")</f>
        <v>GELINET JEAN MARC</v>
      </c>
      <c r="AE1222" s="39"/>
      <c r="AF1222" s="40"/>
      <c r="AG1222" s="41"/>
      <c r="AH1222" s="32" t="s">
        <v>179</v>
      </c>
      <c r="AI1222" s="32"/>
      <c r="AL1222" s="32"/>
      <c r="AM1222" s="43" t="s">
        <v>7337</v>
      </c>
      <c r="AN1222" s="32"/>
      <c r="AO1222" s="43" t="s">
        <v>137</v>
      </c>
      <c r="AP1222" s="32"/>
      <c r="AQ1222" s="32"/>
      <c r="AR1222" s="43" t="s">
        <v>1301</v>
      </c>
      <c r="AS1222" s="43" t="s">
        <v>1692</v>
      </c>
      <c r="AT1222" s="32"/>
      <c r="AU1222" s="43" t="s">
        <v>4052</v>
      </c>
      <c r="XEY1222" s="27"/>
      <c r="XEZ1222" s="27"/>
      <c r="XFA1222" s="27"/>
      <c r="XFB1222" s="27"/>
      <c r="XFC1222" s="27"/>
      <c r="XFD1222" s="27"/>
    </row>
    <row r="1223" s="42" customFormat="true" ht="14.15" hidden="false" customHeight="true" outlineLevel="0" collapsed="false">
      <c r="A1223" s="28" t="s">
        <v>7338</v>
      </c>
      <c r="B1223" s="29" t="s">
        <v>7339</v>
      </c>
      <c r="C1223" s="29" t="s">
        <v>7340</v>
      </c>
      <c r="D1223" s="30" t="s">
        <v>75</v>
      </c>
      <c r="E1223" s="31"/>
      <c r="F1223" s="32" t="n">
        <v>67</v>
      </c>
      <c r="G1223" s="31" t="s">
        <v>215</v>
      </c>
      <c r="H1223" s="31" t="n">
        <v>2</v>
      </c>
      <c r="I1223" s="31" t="s">
        <v>173</v>
      </c>
      <c r="J1223" s="29"/>
      <c r="K1223" s="29" t="s">
        <v>7341</v>
      </c>
      <c r="L1223" s="32" t="n">
        <v>28</v>
      </c>
      <c r="M1223" s="33" t="s">
        <v>3105</v>
      </c>
      <c r="N1223" s="34" t="n">
        <v>75016</v>
      </c>
      <c r="O1223" s="35" t="s">
        <v>55</v>
      </c>
      <c r="P1223" s="36" t="s">
        <v>7342</v>
      </c>
      <c r="Q1223" s="36" t="n">
        <v>1</v>
      </c>
      <c r="R1223" s="32" t="n">
        <v>179</v>
      </c>
      <c r="S1223" s="32" t="n">
        <v>1</v>
      </c>
      <c r="T1223" s="32"/>
      <c r="U1223" s="32" t="n">
        <v>3</v>
      </c>
      <c r="V1223" s="37"/>
      <c r="W1223" s="32" t="n">
        <v>3</v>
      </c>
      <c r="X1223" s="34"/>
      <c r="Y1223" s="34" t="n">
        <v>1</v>
      </c>
      <c r="Z1223" s="32"/>
      <c r="AA1223" s="32" t="s">
        <v>7343</v>
      </c>
      <c r="AB1223" s="44" t="s">
        <v>7344</v>
      </c>
      <c r="AC1223" s="38" t="str">
        <f aca="false">HYPERLINK("https://biocodex6--c.vf.force.com/0014L00000KFv4IQAT", "PAUPHILET CYRILLE")</f>
        <v>PAUPHILET CYRILLE</v>
      </c>
      <c r="AD1223" s="38" t="str">
        <f aca="false">HYPERLINK("https://annuairesante.ameli.fr/professionnels-de-sante/recherche/fiche-detaillee-B7c1lzA4MDe6.html", "PAUPHILET CYRILLE")</f>
        <v>PAUPHILET CYRILLE</v>
      </c>
      <c r="AE1223" s="39" t="n">
        <v>45442.4166666667</v>
      </c>
      <c r="AF1223" s="40" t="s">
        <v>7345</v>
      </c>
      <c r="AG1223" s="41" t="s">
        <v>69</v>
      </c>
      <c r="AH1223" s="32" t="s">
        <v>70</v>
      </c>
      <c r="AI1223" s="32"/>
      <c r="AL1223" s="32"/>
      <c r="AM1223" s="32"/>
      <c r="AN1223" s="32"/>
      <c r="AO1223" s="32"/>
      <c r="AP1223" s="32"/>
      <c r="AQ1223" s="32"/>
      <c r="AR1223" s="32"/>
      <c r="AS1223" s="32"/>
      <c r="AT1223" s="32"/>
      <c r="AU1223" s="32"/>
      <c r="XEY1223" s="27"/>
      <c r="XEZ1223" s="27"/>
      <c r="XFA1223" s="27"/>
      <c r="XFB1223" s="27"/>
      <c r="XFC1223" s="27"/>
      <c r="XFD1223" s="27"/>
    </row>
    <row r="1224" s="42" customFormat="true" ht="14.15" hidden="false" customHeight="true" outlineLevel="0" collapsed="false">
      <c r="A1224" s="28" t="s">
        <v>7346</v>
      </c>
      <c r="B1224" s="29" t="s">
        <v>7347</v>
      </c>
      <c r="C1224" s="29" t="s">
        <v>7348</v>
      </c>
      <c r="D1224" s="30" t="s">
        <v>50</v>
      </c>
      <c r="E1224" s="30" t="s">
        <v>344</v>
      </c>
      <c r="F1224" s="32" t="n">
        <v>0</v>
      </c>
      <c r="G1224" s="31" t="s">
        <v>98</v>
      </c>
      <c r="H1224" s="31" t="n">
        <v>1</v>
      </c>
      <c r="I1224" s="31" t="s">
        <v>99</v>
      </c>
      <c r="J1224" s="29"/>
      <c r="K1224" s="29" t="s">
        <v>4208</v>
      </c>
      <c r="L1224" s="32" t="n">
        <v>181</v>
      </c>
      <c r="M1224" s="33" t="s">
        <v>588</v>
      </c>
      <c r="N1224" s="34" t="n">
        <v>75015</v>
      </c>
      <c r="O1224" s="35" t="s">
        <v>55</v>
      </c>
      <c r="P1224" s="36" t="s">
        <v>4209</v>
      </c>
      <c r="Q1224" s="36" t="n">
        <v>2</v>
      </c>
      <c r="R1224" s="32" t="n">
        <v>179</v>
      </c>
      <c r="S1224" s="32" t="n">
        <v>1</v>
      </c>
      <c r="T1224" s="32"/>
      <c r="U1224" s="32"/>
      <c r="V1224" s="37"/>
      <c r="W1224" s="32"/>
      <c r="X1224" s="34"/>
      <c r="Y1224" s="34"/>
      <c r="Z1224" s="36"/>
      <c r="AA1224" s="32" t="s">
        <v>7349</v>
      </c>
      <c r="AB1224" s="32" t="s">
        <v>7350</v>
      </c>
      <c r="AC1224" s="38" t="str">
        <f aca="false">HYPERLINK("https://biocodex6--c.vf.force.com/0014L00000KFvViQAL", "PELTZ AIM JENNYFER")</f>
        <v>PELTZ AIM JENNYFER</v>
      </c>
      <c r="AD1224" s="38" t="str">
        <f aca="false">HYPERLINK("https://annuairesante.ameli.fr/professionnels-de-sante/recherche/fiche-detaillee-B7c1lTE5MTWy.html", "PELTZ AIM JENNYFER")</f>
        <v>PELTZ AIM JENNYFER</v>
      </c>
      <c r="AE1224" s="39"/>
      <c r="AF1224" s="40"/>
      <c r="AG1224" s="41"/>
      <c r="AH1224" s="32" t="s">
        <v>179</v>
      </c>
      <c r="AI1224" s="32"/>
      <c r="AL1224" s="32"/>
      <c r="AM1224" s="32"/>
      <c r="AN1224" s="32"/>
      <c r="AO1224" s="32"/>
      <c r="AP1224" s="32"/>
      <c r="AQ1224" s="32"/>
      <c r="AR1224" s="32"/>
      <c r="AS1224" s="32"/>
      <c r="AT1224" s="32"/>
      <c r="AU1224" s="32"/>
      <c r="XEY1224" s="27"/>
      <c r="XEZ1224" s="27"/>
      <c r="XFA1224" s="27"/>
      <c r="XFB1224" s="27"/>
      <c r="XFC1224" s="27"/>
      <c r="XFD1224" s="27"/>
    </row>
    <row r="1225" s="42" customFormat="true" ht="14.15" hidden="false" customHeight="true" outlineLevel="0" collapsed="false">
      <c r="A1225" s="28" t="s">
        <v>7351</v>
      </c>
      <c r="B1225" s="29" t="s">
        <v>7352</v>
      </c>
      <c r="C1225" s="29" t="s">
        <v>7353</v>
      </c>
      <c r="D1225" s="30" t="s">
        <v>50</v>
      </c>
      <c r="E1225" s="30" t="s">
        <v>7354</v>
      </c>
      <c r="F1225" s="32" t="n">
        <v>56</v>
      </c>
      <c r="G1225" s="31" t="s">
        <v>215</v>
      </c>
      <c r="H1225" s="31" t="n">
        <v>1</v>
      </c>
      <c r="I1225" s="31" t="s">
        <v>51</v>
      </c>
      <c r="J1225" s="29"/>
      <c r="K1225" s="29" t="s">
        <v>7355</v>
      </c>
      <c r="L1225" s="32" t="n">
        <v>19</v>
      </c>
      <c r="M1225" s="33" t="s">
        <v>7356</v>
      </c>
      <c r="N1225" s="34" t="n">
        <v>75015</v>
      </c>
      <c r="O1225" s="35" t="s">
        <v>55</v>
      </c>
      <c r="P1225" s="36" t="s">
        <v>7357</v>
      </c>
      <c r="Q1225" s="36" t="n">
        <v>1</v>
      </c>
      <c r="R1225" s="32" t="n">
        <v>179</v>
      </c>
      <c r="S1225" s="32" t="n">
        <v>1</v>
      </c>
      <c r="T1225" s="32"/>
      <c r="U1225" s="32"/>
      <c r="V1225" s="37"/>
      <c r="W1225" s="32"/>
      <c r="X1225" s="34"/>
      <c r="Y1225" s="34"/>
      <c r="Z1225" s="36"/>
      <c r="AA1225" s="32" t="s">
        <v>7358</v>
      </c>
      <c r="AB1225" s="32" t="s">
        <v>7359</v>
      </c>
      <c r="AC1225" s="38" t="str">
        <f aca="false">HYPERLINK("https://biocodex6--c.vf.force.com/0014L00000KG3KEQA1", "TERRASSE LINDA")</f>
        <v>TERRASSE LINDA</v>
      </c>
      <c r="AD1225" s="38" t="str">
        <f aca="false">HYPERLINK("https://annuairesante.ameli.fr/professionnels-de-sante/recherche/fiche-detaillee-B7c1lDcwOTux.html", "TERRASSE LINDA")</f>
        <v>TERRASSE LINDA</v>
      </c>
      <c r="AE1225" s="39"/>
      <c r="AF1225" s="40"/>
      <c r="AG1225" s="41"/>
      <c r="AH1225" s="32" t="s">
        <v>179</v>
      </c>
      <c r="AI1225" s="32"/>
      <c r="AL1225" s="32"/>
      <c r="AM1225" s="32"/>
      <c r="AN1225" s="32"/>
      <c r="AO1225" s="32"/>
      <c r="AP1225" s="32"/>
      <c r="AQ1225" s="32"/>
      <c r="AR1225" s="32"/>
      <c r="AS1225" s="32"/>
      <c r="AT1225" s="32"/>
      <c r="AU1225" s="32"/>
      <c r="XEY1225" s="27"/>
      <c r="XEZ1225" s="27"/>
      <c r="XFA1225" s="27"/>
      <c r="XFB1225" s="27"/>
      <c r="XFC1225" s="27"/>
      <c r="XFD1225" s="27"/>
    </row>
    <row r="1226" s="42" customFormat="true" ht="14.15" hidden="false" customHeight="true" outlineLevel="0" collapsed="false">
      <c r="A1226" s="28" t="s">
        <v>2781</v>
      </c>
      <c r="B1226" s="29" t="s">
        <v>543</v>
      </c>
      <c r="C1226" s="29" t="s">
        <v>7360</v>
      </c>
      <c r="D1226" s="30" t="s">
        <v>50</v>
      </c>
      <c r="E1226" s="31"/>
      <c r="F1226" s="32" t="n">
        <v>72</v>
      </c>
      <c r="G1226" s="31"/>
      <c r="H1226" s="31" t="n">
        <v>3</v>
      </c>
      <c r="I1226" s="31" t="s">
        <v>51</v>
      </c>
      <c r="J1226" s="29"/>
      <c r="K1226" s="29" t="s">
        <v>7361</v>
      </c>
      <c r="L1226" s="32" t="n">
        <v>5</v>
      </c>
      <c r="M1226" s="33" t="s">
        <v>7362</v>
      </c>
      <c r="N1226" s="34" t="n">
        <v>75015</v>
      </c>
      <c r="O1226" s="35" t="s">
        <v>55</v>
      </c>
      <c r="P1226" s="36" t="s">
        <v>7363</v>
      </c>
      <c r="Q1226" s="36" t="n">
        <v>2</v>
      </c>
      <c r="R1226" s="32" t="n">
        <v>179</v>
      </c>
      <c r="S1226" s="32" t="n">
        <v>1</v>
      </c>
      <c r="T1226" s="32"/>
      <c r="U1226" s="32"/>
      <c r="V1226" s="37"/>
      <c r="W1226" s="32"/>
      <c r="X1226" s="34"/>
      <c r="Y1226" s="34"/>
      <c r="Z1226" s="32"/>
      <c r="AA1226" s="32" t="s">
        <v>7364</v>
      </c>
      <c r="AB1226" s="32"/>
      <c r="AC1226" s="38" t="str">
        <f aca="false">HYPERLINK("https://biocodex6--c.vf.force.com/0014L00000KFfknQAD", "GERMAIN CHRISTINE")</f>
        <v>GERMAIN CHRISTINE</v>
      </c>
      <c r="AD1226" s="38"/>
      <c r="AE1226" s="39"/>
      <c r="AF1226" s="40"/>
      <c r="AG1226" s="41"/>
      <c r="AH1226" s="32"/>
      <c r="AI1226" s="32"/>
      <c r="AL1226" s="32"/>
      <c r="AM1226" s="32"/>
      <c r="AN1226" s="32"/>
      <c r="AO1226" s="32"/>
      <c r="AP1226" s="32"/>
      <c r="AQ1226" s="32"/>
      <c r="AR1226" s="32"/>
      <c r="AS1226" s="32"/>
      <c r="AT1226" s="32"/>
      <c r="AU1226" s="32"/>
      <c r="XEY1226" s="27"/>
      <c r="XEZ1226" s="27"/>
      <c r="XFA1226" s="27"/>
      <c r="XFB1226" s="27"/>
      <c r="XFC1226" s="27"/>
      <c r="XFD1226" s="27"/>
    </row>
    <row r="1227" s="42" customFormat="true" ht="14.15" hidden="false" customHeight="true" outlineLevel="0" collapsed="false">
      <c r="A1227" s="28" t="s">
        <v>7365</v>
      </c>
      <c r="B1227" s="29" t="s">
        <v>709</v>
      </c>
      <c r="C1227" s="29" t="s">
        <v>7366</v>
      </c>
      <c r="D1227" s="30" t="s">
        <v>50</v>
      </c>
      <c r="E1227" s="31"/>
      <c r="F1227" s="32"/>
      <c r="G1227" s="31" t="s">
        <v>98</v>
      </c>
      <c r="H1227" s="31" t="n">
        <v>1</v>
      </c>
      <c r="I1227" s="31" t="s">
        <v>173</v>
      </c>
      <c r="J1227" s="29"/>
      <c r="K1227" s="29" t="s">
        <v>7367</v>
      </c>
      <c r="L1227" s="32" t="n">
        <v>69</v>
      </c>
      <c r="M1227" s="33" t="s">
        <v>1988</v>
      </c>
      <c r="N1227" s="34" t="n">
        <v>75016</v>
      </c>
      <c r="O1227" s="35" t="s">
        <v>55</v>
      </c>
      <c r="P1227" s="36" t="s">
        <v>7368</v>
      </c>
      <c r="Q1227" s="36" t="n">
        <v>1</v>
      </c>
      <c r="R1227" s="32" t="n">
        <v>179</v>
      </c>
      <c r="S1227" s="32" t="n">
        <v>1</v>
      </c>
      <c r="T1227" s="32"/>
      <c r="U1227" s="32"/>
      <c r="V1227" s="37"/>
      <c r="W1227" s="32"/>
      <c r="X1227" s="34"/>
      <c r="Y1227" s="34"/>
      <c r="Z1227" s="36"/>
      <c r="AA1227" s="32" t="s">
        <v>7369</v>
      </c>
      <c r="AB1227" s="32" t="s">
        <v>7370</v>
      </c>
      <c r="AC1227" s="38" t="str">
        <f aca="false">HYPERLINK("https://biocodex6--c.vf.force.com/0014L00000KGA4KQAX", "BAMBERGER MARION")</f>
        <v>BAMBERGER MARION</v>
      </c>
      <c r="AD1227" s="38" t="str">
        <f aca="false">HYPERLINK("https://annuairesante.ameli.fr/professionnels-de-sante/recherche/fiche-detaillee-B7c1kjMzNjW3.html", "BAMBERGER MARION")</f>
        <v>BAMBERGER MARION</v>
      </c>
      <c r="AE1227" s="39"/>
      <c r="AF1227" s="40"/>
      <c r="AG1227" s="41"/>
      <c r="AH1227" s="32" t="s">
        <v>179</v>
      </c>
      <c r="AI1227" s="32"/>
      <c r="AL1227" s="43" t="s">
        <v>2148</v>
      </c>
      <c r="AM1227" s="43" t="s">
        <v>262</v>
      </c>
      <c r="AN1227" s="43" t="s">
        <v>995</v>
      </c>
      <c r="AO1227" s="43" t="s">
        <v>792</v>
      </c>
      <c r="AP1227" s="32"/>
      <c r="AQ1227" s="32"/>
      <c r="AR1227" s="43" t="s">
        <v>396</v>
      </c>
      <c r="AS1227" s="43" t="s">
        <v>967</v>
      </c>
      <c r="AT1227" s="43" t="s">
        <v>263</v>
      </c>
      <c r="AU1227" s="43" t="s">
        <v>792</v>
      </c>
      <c r="XEY1227" s="27"/>
      <c r="XEZ1227" s="27"/>
      <c r="XFA1227" s="27"/>
      <c r="XFB1227" s="27"/>
      <c r="XFC1227" s="27"/>
      <c r="XFD1227" s="27"/>
    </row>
    <row r="1228" s="42" customFormat="true" ht="14.15" hidden="false" customHeight="true" outlineLevel="0" collapsed="false">
      <c r="A1228" s="28" t="s">
        <v>7371</v>
      </c>
      <c r="B1228" s="29" t="s">
        <v>7372</v>
      </c>
      <c r="C1228" s="29" t="s">
        <v>7373</v>
      </c>
      <c r="D1228" s="30" t="s">
        <v>50</v>
      </c>
      <c r="E1228" s="30" t="s">
        <v>255</v>
      </c>
      <c r="F1228" s="32" t="n">
        <v>54</v>
      </c>
      <c r="G1228" s="31"/>
      <c r="H1228" s="31" t="n">
        <v>1</v>
      </c>
      <c r="I1228" s="31" t="s">
        <v>387</v>
      </c>
      <c r="J1228" s="29"/>
      <c r="K1228" s="29" t="s">
        <v>6170</v>
      </c>
      <c r="L1228" s="32" t="n">
        <v>11</v>
      </c>
      <c r="M1228" s="33" t="s">
        <v>6171</v>
      </c>
      <c r="N1228" s="34" t="n">
        <v>75016</v>
      </c>
      <c r="O1228" s="35" t="s">
        <v>55</v>
      </c>
      <c r="P1228" s="36" t="s">
        <v>7374</v>
      </c>
      <c r="Q1228" s="36" t="n">
        <v>2</v>
      </c>
      <c r="R1228" s="32" t="n">
        <v>178</v>
      </c>
      <c r="S1228" s="32" t="n">
        <v>1</v>
      </c>
      <c r="T1228" s="32"/>
      <c r="U1228" s="32"/>
      <c r="V1228" s="37"/>
      <c r="W1228" s="32"/>
      <c r="X1228" s="34"/>
      <c r="Y1228" s="34"/>
      <c r="Z1228" s="36"/>
      <c r="AA1228" s="32" t="s">
        <v>7375</v>
      </c>
      <c r="AB1228" s="32"/>
      <c r="AC1228" s="38" t="str">
        <f aca="false">HYPERLINK("https://biocodex6--c.vf.force.com/0014L00000KG1N0QAL", "SAAL BOURENANE FELLA")</f>
        <v>SAAL BOURENANE FELLA</v>
      </c>
      <c r="AD1228" s="38"/>
      <c r="AE1228" s="39"/>
      <c r="AF1228" s="40"/>
      <c r="AG1228" s="41"/>
      <c r="AH1228" s="32" t="s">
        <v>179</v>
      </c>
      <c r="AI1228" s="32"/>
      <c r="AL1228" s="32"/>
      <c r="AM1228" s="32"/>
      <c r="AN1228" s="32"/>
      <c r="AO1228" s="32"/>
      <c r="AP1228" s="32"/>
      <c r="AQ1228" s="32"/>
      <c r="AR1228" s="32"/>
      <c r="AS1228" s="32"/>
      <c r="AT1228" s="32"/>
      <c r="AU1228" s="32"/>
      <c r="XEY1228" s="27"/>
      <c r="XEZ1228" s="27"/>
      <c r="XFA1228" s="27"/>
      <c r="XFB1228" s="27"/>
      <c r="XFC1228" s="27"/>
      <c r="XFD1228" s="27"/>
    </row>
    <row r="1229" s="42" customFormat="true" ht="14.15" hidden="false" customHeight="true" outlineLevel="0" collapsed="false">
      <c r="A1229" s="28" t="s">
        <v>7376</v>
      </c>
      <c r="B1229" s="29" t="s">
        <v>1584</v>
      </c>
      <c r="C1229" s="29" t="s">
        <v>7377</v>
      </c>
      <c r="D1229" s="30" t="s">
        <v>50</v>
      </c>
      <c r="E1229" s="31"/>
      <c r="F1229" s="32" t="n">
        <v>59</v>
      </c>
      <c r="G1229" s="31" t="s">
        <v>98</v>
      </c>
      <c r="H1229" s="31" t="n">
        <v>3</v>
      </c>
      <c r="I1229" s="31" t="s">
        <v>99</v>
      </c>
      <c r="J1229" s="29"/>
      <c r="K1229" s="29" t="s">
        <v>1935</v>
      </c>
      <c r="L1229" s="32" t="n">
        <v>10</v>
      </c>
      <c r="M1229" s="33" t="s">
        <v>1474</v>
      </c>
      <c r="N1229" s="34" t="n">
        <v>75015</v>
      </c>
      <c r="O1229" s="35" t="s">
        <v>55</v>
      </c>
      <c r="P1229" s="36" t="s">
        <v>1936</v>
      </c>
      <c r="Q1229" s="36" t="n">
        <v>5</v>
      </c>
      <c r="R1229" s="32" t="n">
        <v>178</v>
      </c>
      <c r="S1229" s="32" t="n">
        <v>1</v>
      </c>
      <c r="T1229" s="32"/>
      <c r="U1229" s="32"/>
      <c r="V1229" s="37"/>
      <c r="W1229" s="32"/>
      <c r="X1229" s="34"/>
      <c r="Y1229" s="34"/>
      <c r="Z1229" s="36"/>
      <c r="AA1229" s="32" t="s">
        <v>7378</v>
      </c>
      <c r="AB1229" s="32" t="s">
        <v>7379</v>
      </c>
      <c r="AC1229" s="38" t="str">
        <f aca="false">HYPERLINK("https://biocodex6--c.vf.force.com/0014L00000KFNXwQAP", "FAURE LAURENCE")</f>
        <v>FAURE LAURENCE</v>
      </c>
      <c r="AD1229" s="38" t="str">
        <f aca="false">HYPERLINK("https://annuairesante.ameli.fr/professionnels-de-sante/recherche/fiche-detaillee-B7c1lzY3MTez.html", "FAURE LAURENCE")</f>
        <v>FAURE LAURENCE</v>
      </c>
      <c r="AE1229" s="39"/>
      <c r="AF1229" s="40"/>
      <c r="AG1229" s="41"/>
      <c r="AH1229" s="32" t="s">
        <v>179</v>
      </c>
      <c r="AI1229" s="32"/>
      <c r="AJ1229" s="42" t="s">
        <v>1128</v>
      </c>
      <c r="AL1229" s="32"/>
      <c r="AM1229" s="32"/>
      <c r="AN1229" s="32"/>
      <c r="AO1229" s="32"/>
      <c r="AP1229" s="32"/>
      <c r="AQ1229" s="32"/>
      <c r="AR1229" s="32"/>
      <c r="AS1229" s="32"/>
      <c r="AT1229" s="32"/>
      <c r="AU1229" s="32"/>
      <c r="XEY1229" s="27"/>
      <c r="XEZ1229" s="27"/>
      <c r="XFA1229" s="27"/>
      <c r="XFB1229" s="27"/>
      <c r="XFC1229" s="27"/>
      <c r="XFD1229" s="27"/>
    </row>
    <row r="1230" s="42" customFormat="true" ht="14.15" hidden="false" customHeight="true" outlineLevel="0" collapsed="false">
      <c r="A1230" s="28" t="s">
        <v>7380</v>
      </c>
      <c r="B1230" s="29" t="s">
        <v>242</v>
      </c>
      <c r="C1230" s="29" t="s">
        <v>7381</v>
      </c>
      <c r="D1230" s="30" t="s">
        <v>268</v>
      </c>
      <c r="E1230" s="31"/>
      <c r="F1230" s="32" t="n">
        <v>66</v>
      </c>
      <c r="G1230" s="31" t="s">
        <v>215</v>
      </c>
      <c r="H1230" s="31" t="n">
        <v>2</v>
      </c>
      <c r="I1230" s="31" t="s">
        <v>572</v>
      </c>
      <c r="J1230" s="29"/>
      <c r="K1230" s="29" t="s">
        <v>7382</v>
      </c>
      <c r="L1230" s="32" t="n">
        <v>16</v>
      </c>
      <c r="M1230" s="33" t="s">
        <v>7383</v>
      </c>
      <c r="N1230" s="34" t="n">
        <v>75008</v>
      </c>
      <c r="O1230" s="35" t="s">
        <v>55</v>
      </c>
      <c r="P1230" s="36" t="s">
        <v>7384</v>
      </c>
      <c r="Q1230" s="36" t="n">
        <v>1</v>
      </c>
      <c r="R1230" s="32" t="n">
        <v>177</v>
      </c>
      <c r="S1230" s="32" t="n">
        <v>1</v>
      </c>
      <c r="T1230" s="32"/>
      <c r="U1230" s="32"/>
      <c r="V1230" s="37"/>
      <c r="W1230" s="32"/>
      <c r="X1230" s="34"/>
      <c r="Y1230" s="34"/>
      <c r="Z1230" s="36"/>
      <c r="AA1230" s="32" t="s">
        <v>7385</v>
      </c>
      <c r="AB1230" s="32" t="s">
        <v>7386</v>
      </c>
      <c r="AC1230" s="38" t="str">
        <f aca="false">HYPERLINK("https://biocodex6--c.vf.force.com/0014L00000KFUX4QAP", "BLIN JEROME")</f>
        <v>BLIN JEROME</v>
      </c>
      <c r="AD1230" s="38" t="str">
        <f aca="false">HYPERLINK("https://annuairesante.ameli.fr/professionnels-de-sante/recherche/fiche-detaillee-B7c1lDs0NDW7.html", "BLIN JEROME")</f>
        <v>BLIN JEROME</v>
      </c>
      <c r="AE1230" s="39"/>
      <c r="AF1230" s="40"/>
      <c r="AG1230" s="41"/>
      <c r="AH1230" s="32" t="s">
        <v>179</v>
      </c>
      <c r="AI1230" s="32"/>
      <c r="AL1230" s="43" t="s">
        <v>639</v>
      </c>
      <c r="AM1230" s="43" t="s">
        <v>262</v>
      </c>
      <c r="AN1230" s="43" t="s">
        <v>639</v>
      </c>
      <c r="AO1230" s="43" t="s">
        <v>262</v>
      </c>
      <c r="AP1230" s="43" t="s">
        <v>639</v>
      </c>
      <c r="AQ1230" s="43" t="s">
        <v>262</v>
      </c>
      <c r="AR1230" s="43" t="s">
        <v>639</v>
      </c>
      <c r="AS1230" s="43" t="s">
        <v>262</v>
      </c>
      <c r="AT1230" s="43" t="s">
        <v>639</v>
      </c>
      <c r="AU1230" s="43" t="s">
        <v>262</v>
      </c>
      <c r="XEY1230" s="27"/>
      <c r="XEZ1230" s="27"/>
      <c r="XFA1230" s="27"/>
      <c r="XFB1230" s="27"/>
      <c r="XFC1230" s="27"/>
      <c r="XFD1230" s="27"/>
    </row>
    <row r="1231" s="42" customFormat="true" ht="14.15" hidden="false" customHeight="true" outlineLevel="0" collapsed="false">
      <c r="A1231" s="28" t="s">
        <v>7387</v>
      </c>
      <c r="B1231" s="29" t="s">
        <v>7388</v>
      </c>
      <c r="C1231" s="29" t="s">
        <v>7389</v>
      </c>
      <c r="D1231" s="30" t="s">
        <v>244</v>
      </c>
      <c r="E1231" s="30" t="s">
        <v>245</v>
      </c>
      <c r="F1231" s="32" t="n">
        <v>65</v>
      </c>
      <c r="G1231" s="31"/>
      <c r="H1231" s="31" t="n">
        <v>1</v>
      </c>
      <c r="I1231" s="31" t="s">
        <v>572</v>
      </c>
      <c r="J1231" s="29"/>
      <c r="K1231" s="29" t="s">
        <v>7390</v>
      </c>
      <c r="L1231" s="32" t="n">
        <v>18</v>
      </c>
      <c r="M1231" s="33" t="s">
        <v>7391</v>
      </c>
      <c r="N1231" s="34" t="n">
        <v>75008</v>
      </c>
      <c r="O1231" s="35" t="s">
        <v>55</v>
      </c>
      <c r="P1231" s="36" t="s">
        <v>7392</v>
      </c>
      <c r="Q1231" s="36" t="n">
        <v>1</v>
      </c>
      <c r="R1231" s="32" t="n">
        <v>177</v>
      </c>
      <c r="S1231" s="32" t="n">
        <v>1</v>
      </c>
      <c r="T1231" s="32"/>
      <c r="U1231" s="32" t="n">
        <v>3</v>
      </c>
      <c r="V1231" s="37"/>
      <c r="W1231" s="32" t="n">
        <v>2</v>
      </c>
      <c r="X1231" s="34"/>
      <c r="Y1231" s="34" t="n">
        <v>2</v>
      </c>
      <c r="Z1231" s="36"/>
      <c r="AA1231" s="32" t="s">
        <v>7393</v>
      </c>
      <c r="AB1231" s="44"/>
      <c r="AC1231" s="38" t="str">
        <f aca="false">HYPERLINK("https://biocodex6--c.vf.force.com/0014L00000KFkPbQAL", "JUMAH ALEXANDRE OMAR")</f>
        <v>JUMAH ALEXANDRE OMAR</v>
      </c>
      <c r="AD1231" s="38"/>
      <c r="AE1231" s="39"/>
      <c r="AF1231" s="40"/>
      <c r="AG1231" s="41"/>
      <c r="AH1231" s="32" t="s">
        <v>3469</v>
      </c>
      <c r="AI1231" s="32"/>
      <c r="AL1231" s="32"/>
      <c r="AM1231" s="32"/>
      <c r="AN1231" s="32"/>
      <c r="AO1231" s="32"/>
      <c r="AP1231" s="32"/>
      <c r="AQ1231" s="32"/>
      <c r="AR1231" s="32"/>
      <c r="AS1231" s="32"/>
      <c r="AT1231" s="32"/>
      <c r="AU1231" s="32"/>
      <c r="XEY1231" s="27"/>
      <c r="XEZ1231" s="27"/>
      <c r="XFA1231" s="27"/>
      <c r="XFB1231" s="27"/>
      <c r="XFC1231" s="27"/>
      <c r="XFD1231" s="27"/>
    </row>
    <row r="1232" s="42" customFormat="true" ht="14.15" hidden="false" customHeight="true" outlineLevel="0" collapsed="false">
      <c r="A1232" s="28" t="s">
        <v>7394</v>
      </c>
      <c r="B1232" s="29" t="s">
        <v>7395</v>
      </c>
      <c r="C1232" s="29" t="s">
        <v>7396</v>
      </c>
      <c r="D1232" s="30" t="s">
        <v>50</v>
      </c>
      <c r="E1232" s="30" t="s">
        <v>386</v>
      </c>
      <c r="F1232" s="32" t="n">
        <v>66</v>
      </c>
      <c r="G1232" s="31"/>
      <c r="H1232" s="31" t="n">
        <v>1</v>
      </c>
      <c r="I1232" s="31" t="s">
        <v>51</v>
      </c>
      <c r="J1232" s="29" t="s">
        <v>2010</v>
      </c>
      <c r="K1232" s="29" t="s">
        <v>2011</v>
      </c>
      <c r="L1232" s="32" t="n">
        <v>37</v>
      </c>
      <c r="M1232" s="33" t="s">
        <v>2012</v>
      </c>
      <c r="N1232" s="34" t="n">
        <v>75015</v>
      </c>
      <c r="O1232" s="35" t="s">
        <v>55</v>
      </c>
      <c r="P1232" s="36" t="s">
        <v>2013</v>
      </c>
      <c r="Q1232" s="36" t="n">
        <v>19</v>
      </c>
      <c r="R1232" s="32" t="n">
        <v>177</v>
      </c>
      <c r="S1232" s="32" t="n">
        <v>1</v>
      </c>
      <c r="T1232" s="32"/>
      <c r="U1232" s="32"/>
      <c r="V1232" s="37"/>
      <c r="W1232" s="32"/>
      <c r="X1232" s="34"/>
      <c r="Y1232" s="34"/>
      <c r="Z1232" s="36"/>
      <c r="AA1232" s="32" t="s">
        <v>7397</v>
      </c>
      <c r="AB1232" s="32"/>
      <c r="AC1232" s="38" t="str">
        <f aca="false">HYPERLINK("https://biocodex6--c.vf.force.com/0014L00000KG6GBQA1", "ZURCHER NOELLE")</f>
        <v>ZURCHER NOELLE</v>
      </c>
      <c r="AD1232" s="38"/>
      <c r="AE1232" s="39"/>
      <c r="AF1232" s="40"/>
      <c r="AG1232" s="41"/>
      <c r="AH1232" s="32" t="s">
        <v>179</v>
      </c>
      <c r="AI1232" s="32"/>
      <c r="AL1232" s="32"/>
      <c r="AM1232" s="32"/>
      <c r="AN1232" s="32"/>
      <c r="AO1232" s="32"/>
      <c r="AP1232" s="32"/>
      <c r="AQ1232" s="32"/>
      <c r="AR1232" s="32"/>
      <c r="AS1232" s="32"/>
      <c r="AT1232" s="32"/>
      <c r="AU1232" s="32"/>
      <c r="XEY1232" s="27"/>
      <c r="XEZ1232" s="27"/>
      <c r="XFA1232" s="27"/>
      <c r="XFB1232" s="27"/>
      <c r="XFC1232" s="27"/>
      <c r="XFD1232" s="27"/>
    </row>
    <row r="1233" s="42" customFormat="true" ht="14.15" hidden="false" customHeight="true" outlineLevel="0" collapsed="false">
      <c r="A1233" s="28" t="s">
        <v>7398</v>
      </c>
      <c r="B1233" s="29" t="s">
        <v>1196</v>
      </c>
      <c r="C1233" s="29" t="s">
        <v>7399</v>
      </c>
      <c r="D1233" s="30" t="s">
        <v>50</v>
      </c>
      <c r="E1233" s="30" t="s">
        <v>112</v>
      </c>
      <c r="F1233" s="32" t="n">
        <v>68</v>
      </c>
      <c r="G1233" s="31" t="s">
        <v>345</v>
      </c>
      <c r="H1233" s="31" t="n">
        <v>1</v>
      </c>
      <c r="I1233" s="31" t="s">
        <v>62</v>
      </c>
      <c r="J1233" s="29"/>
      <c r="K1233" s="29" t="s">
        <v>7400</v>
      </c>
      <c r="L1233" s="32" t="n">
        <v>5</v>
      </c>
      <c r="M1233" s="33" t="s">
        <v>1489</v>
      </c>
      <c r="N1233" s="34" t="n">
        <v>75017</v>
      </c>
      <c r="O1233" s="35" t="s">
        <v>55</v>
      </c>
      <c r="P1233" s="36" t="s">
        <v>7401</v>
      </c>
      <c r="Q1233" s="36" t="n">
        <v>1</v>
      </c>
      <c r="R1233" s="32" t="n">
        <v>177</v>
      </c>
      <c r="S1233" s="32" t="n">
        <v>1</v>
      </c>
      <c r="T1233" s="32"/>
      <c r="U1233" s="32"/>
      <c r="V1233" s="37"/>
      <c r="W1233" s="32"/>
      <c r="X1233" s="34"/>
      <c r="Y1233" s="34"/>
      <c r="Z1233" s="36"/>
      <c r="AA1233" s="32" t="s">
        <v>7402</v>
      </c>
      <c r="AB1233" s="32" t="s">
        <v>7403</v>
      </c>
      <c r="AC1233" s="38" t="str">
        <f aca="false">HYPERLINK("https://biocodex6--c.vf.force.com/0014L00000KFTj3QAH", "BACHE JULIA")</f>
        <v>BACHE JULIA</v>
      </c>
      <c r="AD1233" s="38" t="str">
        <f aca="false">HYPERLINK("https://annuairesante.ameli.fr/professionnels-de-sante/recherche/fiche-detaillee-B7c1lDU4OTa3.html", "BACHE JULIA")</f>
        <v>BACHE JULIA</v>
      </c>
      <c r="AE1233" s="39"/>
      <c r="AF1233" s="40"/>
      <c r="AG1233" s="41"/>
      <c r="AH1233" s="32" t="s">
        <v>179</v>
      </c>
      <c r="AI1233" s="32"/>
      <c r="AL1233" s="32"/>
      <c r="AM1233" s="32"/>
      <c r="AN1233" s="32"/>
      <c r="AO1233" s="32"/>
      <c r="AP1233" s="32"/>
      <c r="AQ1233" s="32"/>
      <c r="AR1233" s="32"/>
      <c r="AS1233" s="32"/>
      <c r="AT1233" s="32"/>
      <c r="AU1233" s="32"/>
      <c r="XEY1233" s="27"/>
      <c r="XEZ1233" s="27"/>
      <c r="XFA1233" s="27"/>
      <c r="XFB1233" s="27"/>
      <c r="XFC1233" s="27"/>
      <c r="XFD1233" s="27"/>
    </row>
    <row r="1234" s="42" customFormat="true" ht="14.15" hidden="false" customHeight="true" outlineLevel="0" collapsed="false">
      <c r="A1234" s="28" t="s">
        <v>7404</v>
      </c>
      <c r="B1234" s="29" t="s">
        <v>1539</v>
      </c>
      <c r="C1234" s="29" t="s">
        <v>7405</v>
      </c>
      <c r="D1234" s="30" t="s">
        <v>50</v>
      </c>
      <c r="E1234" s="30" t="s">
        <v>344</v>
      </c>
      <c r="F1234" s="32" t="n">
        <v>48</v>
      </c>
      <c r="G1234" s="31" t="s">
        <v>98</v>
      </c>
      <c r="H1234" s="31" t="n">
        <v>1</v>
      </c>
      <c r="I1234" s="31" t="s">
        <v>173</v>
      </c>
      <c r="J1234" s="29"/>
      <c r="K1234" s="29" t="s">
        <v>7406</v>
      </c>
      <c r="L1234" s="32" t="n">
        <v>140</v>
      </c>
      <c r="M1234" s="33" t="s">
        <v>175</v>
      </c>
      <c r="N1234" s="34" t="n">
        <v>75016</v>
      </c>
      <c r="O1234" s="35" t="s">
        <v>55</v>
      </c>
      <c r="P1234" s="36" t="s">
        <v>7407</v>
      </c>
      <c r="Q1234" s="36" t="n">
        <v>2</v>
      </c>
      <c r="R1234" s="32" t="n">
        <v>176</v>
      </c>
      <c r="S1234" s="32" t="n">
        <v>1</v>
      </c>
      <c r="T1234" s="32"/>
      <c r="U1234" s="32"/>
      <c r="V1234" s="37"/>
      <c r="W1234" s="32"/>
      <c r="X1234" s="34"/>
      <c r="Y1234" s="34"/>
      <c r="Z1234" s="36"/>
      <c r="AA1234" s="32" t="s">
        <v>7408</v>
      </c>
      <c r="AB1234" s="32" t="s">
        <v>7409</v>
      </c>
      <c r="AC1234" s="38" t="str">
        <f aca="false">HYPERLINK("https://biocodex6--c.vf.force.com/0014L00000KFSYxQAP", "BEGEL DEVAUX STEPHANIE")</f>
        <v>BEGEL DEVAUX STEPHANIE</v>
      </c>
      <c r="AD1234" s="38" t="str">
        <f aca="false">HYPERLINK("https://annuairesante.ameli.fr/professionnels-de-sante/recherche/fiche-detaillee-B7c1kjc1NTKx.html", "BEGEL DEVAUX STEPHANIE")</f>
        <v>BEGEL DEVAUX STEPHANIE</v>
      </c>
      <c r="AE1234" s="39"/>
      <c r="AF1234" s="40"/>
      <c r="AG1234" s="41"/>
      <c r="AH1234" s="32" t="s">
        <v>179</v>
      </c>
      <c r="AI1234" s="32"/>
      <c r="AL1234" s="32"/>
      <c r="AM1234" s="32"/>
      <c r="AN1234" s="32"/>
      <c r="AO1234" s="32"/>
      <c r="AP1234" s="32"/>
      <c r="AQ1234" s="32"/>
      <c r="AR1234" s="32"/>
      <c r="AS1234" s="32"/>
      <c r="AT1234" s="32"/>
      <c r="AU1234" s="32"/>
      <c r="XEY1234" s="27"/>
      <c r="XEZ1234" s="27"/>
      <c r="XFA1234" s="27"/>
      <c r="XFB1234" s="27"/>
      <c r="XFC1234" s="27"/>
      <c r="XFD1234" s="27"/>
    </row>
    <row r="1235" s="42" customFormat="true" ht="14.15" hidden="false" customHeight="true" outlineLevel="0" collapsed="false">
      <c r="A1235" s="28" t="s">
        <v>1203</v>
      </c>
      <c r="B1235" s="29" t="s">
        <v>2033</v>
      </c>
      <c r="C1235" s="29" t="s">
        <v>7410</v>
      </c>
      <c r="D1235" s="30" t="s">
        <v>50</v>
      </c>
      <c r="E1235" s="31"/>
      <c r="F1235" s="32"/>
      <c r="G1235" s="31"/>
      <c r="H1235" s="31" t="n">
        <v>1</v>
      </c>
      <c r="I1235" s="31" t="s">
        <v>173</v>
      </c>
      <c r="J1235" s="29" t="s">
        <v>1331</v>
      </c>
      <c r="K1235" s="29" t="s">
        <v>1332</v>
      </c>
      <c r="L1235" s="32" t="n">
        <v>23</v>
      </c>
      <c r="M1235" s="33" t="s">
        <v>1333</v>
      </c>
      <c r="N1235" s="34" t="n">
        <v>75016</v>
      </c>
      <c r="O1235" s="35" t="s">
        <v>55</v>
      </c>
      <c r="P1235" s="36"/>
      <c r="Q1235" s="36" t="n">
        <v>3</v>
      </c>
      <c r="R1235" s="32" t="n">
        <v>176</v>
      </c>
      <c r="S1235" s="32" t="n">
        <v>1</v>
      </c>
      <c r="T1235" s="32"/>
      <c r="U1235" s="32"/>
      <c r="V1235" s="37"/>
      <c r="W1235" s="32"/>
      <c r="X1235" s="34"/>
      <c r="Y1235" s="34"/>
      <c r="Z1235" s="32"/>
      <c r="AA1235" s="32"/>
      <c r="AB1235" s="32"/>
      <c r="AC1235" s="38"/>
      <c r="AD1235" s="38"/>
      <c r="AE1235" s="39"/>
      <c r="AF1235" s="40"/>
      <c r="AG1235" s="45"/>
      <c r="AH1235" s="32"/>
      <c r="AI1235" s="32"/>
      <c r="AL1235" s="32"/>
      <c r="AM1235" s="32"/>
      <c r="AN1235" s="32"/>
      <c r="AO1235" s="32"/>
      <c r="AP1235" s="32"/>
      <c r="AQ1235" s="32"/>
      <c r="AR1235" s="32"/>
      <c r="AS1235" s="32"/>
      <c r="AT1235" s="32"/>
      <c r="AU1235" s="32"/>
      <c r="XEY1235" s="27"/>
      <c r="XEZ1235" s="27"/>
      <c r="XFA1235" s="27"/>
      <c r="XFB1235" s="27"/>
      <c r="XFC1235" s="27"/>
      <c r="XFD1235" s="27"/>
    </row>
    <row r="1236" s="42" customFormat="true" ht="14.15" hidden="false" customHeight="true" outlineLevel="0" collapsed="false">
      <c r="A1236" s="28" t="s">
        <v>4257</v>
      </c>
      <c r="B1236" s="29" t="s">
        <v>7411</v>
      </c>
      <c r="C1236" s="29" t="s">
        <v>7412</v>
      </c>
      <c r="D1236" s="30" t="s">
        <v>50</v>
      </c>
      <c r="E1236" s="31"/>
      <c r="F1236" s="32" t="n">
        <v>57</v>
      </c>
      <c r="G1236" s="31"/>
      <c r="H1236" s="31" t="n">
        <v>1</v>
      </c>
      <c r="I1236" s="31" t="s">
        <v>99</v>
      </c>
      <c r="J1236" s="29" t="s">
        <v>595</v>
      </c>
      <c r="K1236" s="29" t="s">
        <v>596</v>
      </c>
      <c r="L1236" s="32" t="n">
        <v>20</v>
      </c>
      <c r="M1236" s="33" t="s">
        <v>597</v>
      </c>
      <c r="N1236" s="34" t="n">
        <v>75015</v>
      </c>
      <c r="O1236" s="35" t="s">
        <v>55</v>
      </c>
      <c r="P1236" s="36" t="s">
        <v>7413</v>
      </c>
      <c r="Q1236" s="36" t="n">
        <v>90</v>
      </c>
      <c r="R1236" s="32" t="n">
        <v>175</v>
      </c>
      <c r="S1236" s="32" t="n">
        <v>1</v>
      </c>
      <c r="T1236" s="32"/>
      <c r="U1236" s="32"/>
      <c r="V1236" s="37"/>
      <c r="W1236" s="32"/>
      <c r="X1236" s="34"/>
      <c r="Y1236" s="34"/>
      <c r="Z1236" s="36"/>
      <c r="AA1236" s="32" t="s">
        <v>7414</v>
      </c>
      <c r="AB1236" s="32"/>
      <c r="AC1236" s="38" t="str">
        <f aca="false">HYPERLINK("https://biocodex6--c.vf.force.com/0014L00000KFX9uQAH", "COLIN MARIANNE")</f>
        <v>COLIN MARIANNE</v>
      </c>
      <c r="AD1236" s="38"/>
      <c r="AE1236" s="39"/>
      <c r="AF1236" s="40"/>
      <c r="AG1236" s="41"/>
      <c r="AH1236" s="32" t="s">
        <v>179</v>
      </c>
      <c r="AI1236" s="32"/>
      <c r="AL1236" s="32"/>
      <c r="AM1236" s="32"/>
      <c r="AN1236" s="32"/>
      <c r="AO1236" s="32"/>
      <c r="AP1236" s="32"/>
      <c r="AQ1236" s="32"/>
      <c r="AR1236" s="32"/>
      <c r="AS1236" s="32"/>
      <c r="AT1236" s="32"/>
      <c r="AU1236" s="32"/>
      <c r="XEY1236" s="27"/>
      <c r="XEZ1236" s="27"/>
      <c r="XFA1236" s="27"/>
      <c r="XFB1236" s="27"/>
      <c r="XFC1236" s="27"/>
      <c r="XFD1236" s="27"/>
    </row>
    <row r="1237" s="42" customFormat="true" ht="14.15" hidden="false" customHeight="true" outlineLevel="0" collapsed="false">
      <c r="A1237" s="28" t="s">
        <v>7415</v>
      </c>
      <c r="B1237" s="29" t="s">
        <v>811</v>
      </c>
      <c r="C1237" s="29" t="s">
        <v>7416</v>
      </c>
      <c r="D1237" s="30" t="s">
        <v>50</v>
      </c>
      <c r="E1237" s="30" t="s">
        <v>255</v>
      </c>
      <c r="F1237" s="32" t="n">
        <v>58</v>
      </c>
      <c r="G1237" s="31"/>
      <c r="H1237" s="31" t="n">
        <v>3</v>
      </c>
      <c r="I1237" s="31" t="s">
        <v>99</v>
      </c>
      <c r="J1237" s="29"/>
      <c r="K1237" s="29" t="s">
        <v>7417</v>
      </c>
      <c r="L1237" s="32" t="n">
        <v>9</v>
      </c>
      <c r="M1237" s="33" t="s">
        <v>7418</v>
      </c>
      <c r="N1237" s="34" t="n">
        <v>75015</v>
      </c>
      <c r="O1237" s="35" t="s">
        <v>55</v>
      </c>
      <c r="P1237" s="36" t="s">
        <v>7419</v>
      </c>
      <c r="Q1237" s="36" t="n">
        <v>1</v>
      </c>
      <c r="R1237" s="32" t="n">
        <v>175</v>
      </c>
      <c r="S1237" s="32" t="n">
        <v>1</v>
      </c>
      <c r="T1237" s="32"/>
      <c r="U1237" s="32"/>
      <c r="V1237" s="37"/>
      <c r="W1237" s="32"/>
      <c r="X1237" s="34"/>
      <c r="Y1237" s="34"/>
      <c r="Z1237" s="36"/>
      <c r="AA1237" s="32" t="s">
        <v>7420</v>
      </c>
      <c r="AB1237" s="32"/>
      <c r="AC1237" s="38" t="str">
        <f aca="false">HYPERLINK("https://biocodex6--c.vf.force.com/0014L00000KG6EKQA1", "VILLEMUR VERONIQUE")</f>
        <v>VILLEMUR VERONIQUE</v>
      </c>
      <c r="AD1237" s="38"/>
      <c r="AE1237" s="39"/>
      <c r="AF1237" s="40"/>
      <c r="AG1237" s="41"/>
      <c r="AH1237" s="32" t="s">
        <v>179</v>
      </c>
      <c r="AI1237" s="32"/>
      <c r="AL1237" s="32"/>
      <c r="AM1237" s="32"/>
      <c r="AN1237" s="32"/>
      <c r="AO1237" s="32"/>
      <c r="AP1237" s="32"/>
      <c r="AQ1237" s="32"/>
      <c r="AR1237" s="32"/>
      <c r="AS1237" s="32"/>
      <c r="AT1237" s="32"/>
      <c r="AU1237" s="32"/>
      <c r="XEY1237" s="27"/>
      <c r="XEZ1237" s="27"/>
      <c r="XFA1237" s="27"/>
      <c r="XFB1237" s="27"/>
      <c r="XFC1237" s="27"/>
      <c r="XFD1237" s="27"/>
    </row>
    <row r="1238" s="42" customFormat="true" ht="14.15" hidden="false" customHeight="true" outlineLevel="0" collapsed="false">
      <c r="A1238" s="28" t="s">
        <v>7421</v>
      </c>
      <c r="B1238" s="29" t="s">
        <v>332</v>
      </c>
      <c r="C1238" s="29" t="s">
        <v>7422</v>
      </c>
      <c r="D1238" s="30" t="s">
        <v>50</v>
      </c>
      <c r="E1238" s="30" t="s">
        <v>796</v>
      </c>
      <c r="F1238" s="32" t="n">
        <v>70</v>
      </c>
      <c r="G1238" s="31"/>
      <c r="H1238" s="31" t="n">
        <v>1</v>
      </c>
      <c r="I1238" s="31" t="s">
        <v>197</v>
      </c>
      <c r="J1238" s="29"/>
      <c r="K1238" s="29" t="s">
        <v>7423</v>
      </c>
      <c r="L1238" s="32" t="n">
        <v>53</v>
      </c>
      <c r="M1238" s="33" t="s">
        <v>2804</v>
      </c>
      <c r="N1238" s="34" t="n">
        <v>75017</v>
      </c>
      <c r="O1238" s="35" t="s">
        <v>55</v>
      </c>
      <c r="P1238" s="36" t="s">
        <v>7424</v>
      </c>
      <c r="Q1238" s="36" t="n">
        <v>1</v>
      </c>
      <c r="R1238" s="32" t="n">
        <v>175</v>
      </c>
      <c r="S1238" s="32" t="n">
        <v>1</v>
      </c>
      <c r="T1238" s="32"/>
      <c r="U1238" s="32"/>
      <c r="V1238" s="37"/>
      <c r="W1238" s="32"/>
      <c r="X1238" s="34"/>
      <c r="Y1238" s="34"/>
      <c r="Z1238" s="36"/>
      <c r="AA1238" s="32" t="s">
        <v>7425</v>
      </c>
      <c r="AB1238" s="32"/>
      <c r="AC1238" s="38" t="str">
        <f aca="false">HYPERLINK("https://biocodex6--c.vf.force.com/0014L00000KFQ4FQAX", "AKOKA CATHERINE")</f>
        <v>AKOKA CATHERINE</v>
      </c>
      <c r="AD1238" s="38"/>
      <c r="AE1238" s="39"/>
      <c r="AF1238" s="40"/>
      <c r="AG1238" s="41"/>
      <c r="AH1238" s="32" t="s">
        <v>179</v>
      </c>
      <c r="AI1238" s="32"/>
      <c r="AL1238" s="32"/>
      <c r="AM1238" s="32"/>
      <c r="AN1238" s="32"/>
      <c r="AO1238" s="32"/>
      <c r="AP1238" s="32"/>
      <c r="AQ1238" s="32"/>
      <c r="AR1238" s="32"/>
      <c r="AS1238" s="32"/>
      <c r="AT1238" s="32"/>
      <c r="AU1238" s="32"/>
      <c r="XEY1238" s="27"/>
      <c r="XEZ1238" s="27"/>
      <c r="XFA1238" s="27"/>
      <c r="XFB1238" s="27"/>
      <c r="XFC1238" s="27"/>
      <c r="XFD1238" s="27"/>
    </row>
    <row r="1239" s="42" customFormat="true" ht="14.15" hidden="false" customHeight="true" outlineLevel="0" collapsed="false">
      <c r="A1239" s="28" t="s">
        <v>7426</v>
      </c>
      <c r="B1239" s="29" t="s">
        <v>6075</v>
      </c>
      <c r="C1239" s="29" t="s">
        <v>7427</v>
      </c>
      <c r="D1239" s="30" t="s">
        <v>50</v>
      </c>
      <c r="E1239" s="31"/>
      <c r="F1239" s="32"/>
      <c r="G1239" s="31" t="s">
        <v>215</v>
      </c>
      <c r="H1239" s="31" t="n">
        <v>1</v>
      </c>
      <c r="I1239" s="31" t="s">
        <v>173</v>
      </c>
      <c r="J1239" s="29" t="s">
        <v>1986</v>
      </c>
      <c r="K1239" s="29" t="s">
        <v>1987</v>
      </c>
      <c r="L1239" s="32" t="n">
        <v>76</v>
      </c>
      <c r="M1239" s="33" t="s">
        <v>1988</v>
      </c>
      <c r="N1239" s="34" t="n">
        <v>75016</v>
      </c>
      <c r="O1239" s="35" t="s">
        <v>55</v>
      </c>
      <c r="P1239" s="36" t="s">
        <v>7428</v>
      </c>
      <c r="Q1239" s="36" t="n">
        <v>5</v>
      </c>
      <c r="R1239" s="32" t="n">
        <v>174</v>
      </c>
      <c r="S1239" s="32" t="n">
        <v>1</v>
      </c>
      <c r="T1239" s="32"/>
      <c r="U1239" s="32"/>
      <c r="V1239" s="37"/>
      <c r="W1239" s="32"/>
      <c r="X1239" s="34"/>
      <c r="Y1239" s="34"/>
      <c r="Z1239" s="36"/>
      <c r="AA1239" s="32" t="s">
        <v>7429</v>
      </c>
      <c r="AB1239" s="32" t="s">
        <v>7430</v>
      </c>
      <c r="AC1239" s="38" t="str">
        <f aca="false">HYPERLINK("https://biocodex6--c.vf.force.com/0014L00000KG0eAQAT", "ROUSSEAUX VANESSA")</f>
        <v>ROUSSEAUX VANESSA</v>
      </c>
      <c r="AD1239" s="38" t="str">
        <f aca="false">HYPERLINK("https://annuairesante.ameli.fr/professionnels-de-sante/recherche/fiche-detaillee-B7c1mzoxNTGx.html", "ROUSSEAUX VANESSA")</f>
        <v>ROUSSEAUX VANESSA</v>
      </c>
      <c r="AE1239" s="39"/>
      <c r="AF1239" s="40"/>
      <c r="AG1239" s="41"/>
      <c r="AH1239" s="32" t="s">
        <v>179</v>
      </c>
      <c r="AI1239" s="32"/>
      <c r="AL1239" s="32"/>
      <c r="AM1239" s="32"/>
      <c r="AN1239" s="32"/>
      <c r="AO1239" s="32"/>
      <c r="AP1239" s="32"/>
      <c r="AQ1239" s="32"/>
      <c r="AR1239" s="32"/>
      <c r="AS1239" s="32"/>
      <c r="AT1239" s="32"/>
      <c r="AU1239" s="32"/>
      <c r="XEY1239" s="27"/>
      <c r="XEZ1239" s="27"/>
      <c r="XFA1239" s="27"/>
      <c r="XFB1239" s="27"/>
      <c r="XFC1239" s="27"/>
      <c r="XFD1239" s="27"/>
    </row>
    <row r="1240" s="42" customFormat="true" ht="14.15" hidden="false" customHeight="true" outlineLevel="0" collapsed="false">
      <c r="A1240" s="28" t="s">
        <v>7431</v>
      </c>
      <c r="B1240" s="29" t="s">
        <v>5952</v>
      </c>
      <c r="C1240" s="29" t="s">
        <v>7432</v>
      </c>
      <c r="D1240" s="30" t="s">
        <v>50</v>
      </c>
      <c r="E1240" s="30" t="s">
        <v>421</v>
      </c>
      <c r="F1240" s="32" t="n">
        <v>74</v>
      </c>
      <c r="G1240" s="31"/>
      <c r="H1240" s="31" t="n">
        <v>1</v>
      </c>
      <c r="I1240" s="31" t="s">
        <v>99</v>
      </c>
      <c r="J1240" s="29" t="s">
        <v>595</v>
      </c>
      <c r="K1240" s="29" t="s">
        <v>596</v>
      </c>
      <c r="L1240" s="32" t="n">
        <v>20</v>
      </c>
      <c r="M1240" s="33" t="s">
        <v>597</v>
      </c>
      <c r="N1240" s="34" t="n">
        <v>75015</v>
      </c>
      <c r="O1240" s="35" t="s">
        <v>55</v>
      </c>
      <c r="P1240" s="36" t="s">
        <v>2057</v>
      </c>
      <c r="Q1240" s="36" t="n">
        <v>90</v>
      </c>
      <c r="R1240" s="32" t="n">
        <v>173</v>
      </c>
      <c r="S1240" s="32" t="n">
        <v>1</v>
      </c>
      <c r="T1240" s="32"/>
      <c r="U1240" s="32"/>
      <c r="V1240" s="37"/>
      <c r="W1240" s="32"/>
      <c r="X1240" s="34"/>
      <c r="Y1240" s="34"/>
      <c r="Z1240" s="36"/>
      <c r="AA1240" s="32" t="s">
        <v>7433</v>
      </c>
      <c r="AB1240" s="32"/>
      <c r="AC1240" s="38" t="str">
        <f aca="false">HYPERLINK("https://biocodex6--c.vf.force.com/0014L00000KFbUgQAL", "DUBOIS JEAN CLAUDE")</f>
        <v>DUBOIS JEAN CLAUDE</v>
      </c>
      <c r="AD1240" s="38"/>
      <c r="AE1240" s="39"/>
      <c r="AF1240" s="40"/>
      <c r="AG1240" s="41"/>
      <c r="AH1240" s="32" t="s">
        <v>179</v>
      </c>
      <c r="AI1240" s="32"/>
      <c r="AL1240" s="32"/>
      <c r="AM1240" s="32"/>
      <c r="AN1240" s="32"/>
      <c r="AO1240" s="32"/>
      <c r="AP1240" s="32"/>
      <c r="AQ1240" s="32"/>
      <c r="AR1240" s="32"/>
      <c r="AS1240" s="32"/>
      <c r="AT1240" s="32"/>
      <c r="AU1240" s="32"/>
      <c r="XEY1240" s="27"/>
      <c r="XEZ1240" s="27"/>
      <c r="XFA1240" s="27"/>
      <c r="XFB1240" s="27"/>
      <c r="XFC1240" s="27"/>
      <c r="XFD1240" s="27"/>
    </row>
    <row r="1241" s="42" customFormat="true" ht="14.15" hidden="false" customHeight="true" outlineLevel="0" collapsed="false">
      <c r="A1241" s="28" t="s">
        <v>7434</v>
      </c>
      <c r="B1241" s="29" t="s">
        <v>1007</v>
      </c>
      <c r="C1241" s="29" t="s">
        <v>7435</v>
      </c>
      <c r="D1241" s="30" t="s">
        <v>50</v>
      </c>
      <c r="E1241" s="31"/>
      <c r="F1241" s="32" t="n">
        <v>40</v>
      </c>
      <c r="G1241" s="31" t="s">
        <v>61</v>
      </c>
      <c r="H1241" s="31" t="n">
        <v>1</v>
      </c>
      <c r="I1241" s="31" t="s">
        <v>233</v>
      </c>
      <c r="J1241" s="29"/>
      <c r="K1241" s="29" t="s">
        <v>5947</v>
      </c>
      <c r="L1241" s="32" t="n">
        <v>237</v>
      </c>
      <c r="M1241" s="33" t="s">
        <v>2387</v>
      </c>
      <c r="N1241" s="34" t="n">
        <v>75015</v>
      </c>
      <c r="O1241" s="35" t="s">
        <v>55</v>
      </c>
      <c r="P1241" s="36" t="s">
        <v>5948</v>
      </c>
      <c r="Q1241" s="36" t="n">
        <v>4</v>
      </c>
      <c r="R1241" s="32" t="n">
        <v>173</v>
      </c>
      <c r="S1241" s="32" t="n">
        <v>1</v>
      </c>
      <c r="T1241" s="32"/>
      <c r="U1241" s="32"/>
      <c r="V1241" s="37"/>
      <c r="W1241" s="32"/>
      <c r="X1241" s="34"/>
      <c r="Y1241" s="34"/>
      <c r="Z1241" s="36"/>
      <c r="AA1241" s="32" t="s">
        <v>7436</v>
      </c>
      <c r="AB1241" s="32" t="s">
        <v>7437</v>
      </c>
      <c r="AC1241" s="38" t="str">
        <f aca="false">HYPERLINK("https://biocodex6--c.vf.force.com/0014L00000KG6w9QAD", "ZAGHDOUN DAVID")</f>
        <v>ZAGHDOUN DAVID</v>
      </c>
      <c r="AD1241" s="38" t="str">
        <f aca="false">HYPERLINK("https://annuairesante.ameli.fr/professionnels-de-sante/recherche/fiche-detaillee-B7c1kjE4ODO7.html", "ZAGHDOUN DAVID")</f>
        <v>ZAGHDOUN DAVID</v>
      </c>
      <c r="AE1241" s="39"/>
      <c r="AF1241" s="40"/>
      <c r="AG1241" s="41"/>
      <c r="AH1241" s="32" t="s">
        <v>179</v>
      </c>
      <c r="AI1241" s="32"/>
      <c r="AL1241" s="43" t="s">
        <v>657</v>
      </c>
      <c r="AM1241" s="43" t="s">
        <v>137</v>
      </c>
      <c r="AN1241" s="43" t="s">
        <v>657</v>
      </c>
      <c r="AO1241" s="43" t="s">
        <v>137</v>
      </c>
      <c r="AP1241" s="43" t="s">
        <v>657</v>
      </c>
      <c r="AQ1241" s="43" t="s">
        <v>137</v>
      </c>
      <c r="AR1241" s="43" t="s">
        <v>657</v>
      </c>
      <c r="AS1241" s="43" t="s">
        <v>137</v>
      </c>
      <c r="AT1241" s="43" t="s">
        <v>657</v>
      </c>
      <c r="AU1241" s="43" t="s">
        <v>137</v>
      </c>
      <c r="XEY1241" s="27"/>
      <c r="XEZ1241" s="27"/>
      <c r="XFA1241" s="27"/>
      <c r="XFB1241" s="27"/>
      <c r="XFC1241" s="27"/>
      <c r="XFD1241" s="27"/>
    </row>
    <row r="1242" s="42" customFormat="true" ht="14.15" hidden="false" customHeight="true" outlineLevel="0" collapsed="false">
      <c r="A1242" s="28" t="s">
        <v>7438</v>
      </c>
      <c r="B1242" s="29" t="s">
        <v>429</v>
      </c>
      <c r="C1242" s="29" t="s">
        <v>7439</v>
      </c>
      <c r="D1242" s="30" t="s">
        <v>75</v>
      </c>
      <c r="E1242" s="31"/>
      <c r="F1242" s="32" t="n">
        <v>39</v>
      </c>
      <c r="G1242" s="31"/>
      <c r="H1242" s="31" t="n">
        <v>2</v>
      </c>
      <c r="I1242" s="31" t="s">
        <v>99</v>
      </c>
      <c r="J1242" s="29" t="s">
        <v>595</v>
      </c>
      <c r="K1242" s="29" t="s">
        <v>596</v>
      </c>
      <c r="L1242" s="32" t="n">
        <v>20</v>
      </c>
      <c r="M1242" s="33" t="s">
        <v>597</v>
      </c>
      <c r="N1242" s="34" t="n">
        <v>75015</v>
      </c>
      <c r="O1242" s="35" t="s">
        <v>55</v>
      </c>
      <c r="P1242" s="36" t="s">
        <v>673</v>
      </c>
      <c r="Q1242" s="36" t="n">
        <v>90</v>
      </c>
      <c r="R1242" s="32" t="n">
        <v>172</v>
      </c>
      <c r="S1242" s="32" t="n">
        <v>1</v>
      </c>
      <c r="T1242" s="32"/>
      <c r="U1242" s="32"/>
      <c r="V1242" s="37"/>
      <c r="W1242" s="32"/>
      <c r="X1242" s="34"/>
      <c r="Y1242" s="34"/>
      <c r="Z1242" s="36"/>
      <c r="AA1242" s="32" t="s">
        <v>7440</v>
      </c>
      <c r="AB1242" s="32"/>
      <c r="AC1242" s="38" t="str">
        <f aca="false">HYPERLINK("https://biocodex6--c.vf.force.com/0014L00000KFNmuQAH", "PERROD GUILLAUME")</f>
        <v>PERROD GUILLAUME</v>
      </c>
      <c r="AD1242" s="38"/>
      <c r="AE1242" s="39"/>
      <c r="AF1242" s="40"/>
      <c r="AG1242" s="41"/>
      <c r="AH1242" s="32" t="s">
        <v>179</v>
      </c>
      <c r="AI1242" s="32"/>
      <c r="AL1242" s="32"/>
      <c r="AM1242" s="32"/>
      <c r="AN1242" s="32"/>
      <c r="AO1242" s="32"/>
      <c r="AP1242" s="32"/>
      <c r="AQ1242" s="32"/>
      <c r="AR1242" s="32"/>
      <c r="AS1242" s="32"/>
      <c r="AT1242" s="32"/>
      <c r="AU1242" s="32"/>
      <c r="XEY1242" s="27"/>
      <c r="XEZ1242" s="27"/>
      <c r="XFA1242" s="27"/>
      <c r="XFB1242" s="27"/>
      <c r="XFC1242" s="27"/>
      <c r="XFD1242" s="27"/>
    </row>
    <row r="1243" s="42" customFormat="true" ht="14.15" hidden="false" customHeight="true" outlineLevel="0" collapsed="false">
      <c r="A1243" s="28" t="s">
        <v>7441</v>
      </c>
      <c r="B1243" s="29" t="s">
        <v>1130</v>
      </c>
      <c r="C1243" s="29" t="s">
        <v>7442</v>
      </c>
      <c r="D1243" s="30" t="s">
        <v>244</v>
      </c>
      <c r="E1243" s="30" t="s">
        <v>76</v>
      </c>
      <c r="F1243" s="32" t="n">
        <v>69</v>
      </c>
      <c r="G1243" s="31"/>
      <c r="H1243" s="31" t="n">
        <v>3</v>
      </c>
      <c r="I1243" s="31" t="s">
        <v>435</v>
      </c>
      <c r="J1243" s="29"/>
      <c r="K1243" s="29" t="s">
        <v>3756</v>
      </c>
      <c r="L1243" s="32" t="n">
        <v>17</v>
      </c>
      <c r="M1243" s="33" t="s">
        <v>3757</v>
      </c>
      <c r="N1243" s="34" t="n">
        <v>75016</v>
      </c>
      <c r="O1243" s="35" t="s">
        <v>55</v>
      </c>
      <c r="P1243" s="36"/>
      <c r="Q1243" s="36" t="n">
        <v>2</v>
      </c>
      <c r="R1243" s="32" t="n">
        <v>170</v>
      </c>
      <c r="S1243" s="32" t="n">
        <v>1</v>
      </c>
      <c r="T1243" s="32"/>
      <c r="U1243" s="32"/>
      <c r="V1243" s="37"/>
      <c r="W1243" s="32"/>
      <c r="X1243" s="34"/>
      <c r="Y1243" s="34"/>
      <c r="Z1243" s="36"/>
      <c r="AA1243" s="32" t="s">
        <v>7443</v>
      </c>
      <c r="AB1243" s="32"/>
      <c r="AC1243" s="38" t="str">
        <f aca="false">HYPERLINK("https://biocodex6--c.vf.force.com/0014L00000KG67hQAD", "ZARCA DANIEL")</f>
        <v>ZARCA DANIEL</v>
      </c>
      <c r="AD1243" s="38"/>
      <c r="AE1243" s="39"/>
      <c r="AF1243" s="40"/>
      <c r="AG1243" s="41"/>
      <c r="AH1243" s="32" t="s">
        <v>179</v>
      </c>
      <c r="AI1243" s="32"/>
      <c r="AL1243" s="32"/>
      <c r="AM1243" s="32"/>
      <c r="AN1243" s="32"/>
      <c r="AO1243" s="32"/>
      <c r="AP1243" s="32"/>
      <c r="AQ1243" s="32"/>
      <c r="AR1243" s="32"/>
      <c r="AS1243" s="32"/>
      <c r="AT1243" s="32"/>
      <c r="AU1243" s="32"/>
      <c r="XEY1243" s="27"/>
      <c r="XEZ1243" s="27"/>
      <c r="XFA1243" s="27"/>
      <c r="XFB1243" s="27"/>
      <c r="XFC1243" s="27"/>
      <c r="XFD1243" s="27"/>
    </row>
    <row r="1244" s="42" customFormat="true" ht="14.15" hidden="false" customHeight="true" outlineLevel="0" collapsed="false">
      <c r="A1244" s="28" t="s">
        <v>7444</v>
      </c>
      <c r="B1244" s="29" t="s">
        <v>5545</v>
      </c>
      <c r="C1244" s="29" t="s">
        <v>7445</v>
      </c>
      <c r="D1244" s="30" t="s">
        <v>50</v>
      </c>
      <c r="E1244" s="30" t="s">
        <v>344</v>
      </c>
      <c r="F1244" s="32"/>
      <c r="G1244" s="31" t="s">
        <v>98</v>
      </c>
      <c r="H1244" s="31" t="n">
        <v>2</v>
      </c>
      <c r="I1244" s="31" t="s">
        <v>62</v>
      </c>
      <c r="J1244" s="29"/>
      <c r="K1244" s="29" t="s">
        <v>7446</v>
      </c>
      <c r="L1244" s="32" t="n">
        <v>8</v>
      </c>
      <c r="M1244" s="33" t="s">
        <v>4299</v>
      </c>
      <c r="N1244" s="34" t="n">
        <v>75017</v>
      </c>
      <c r="O1244" s="35" t="s">
        <v>55</v>
      </c>
      <c r="P1244" s="36" t="s">
        <v>7447</v>
      </c>
      <c r="Q1244" s="36" t="n">
        <v>1</v>
      </c>
      <c r="R1244" s="32" t="n">
        <v>170</v>
      </c>
      <c r="S1244" s="32" t="n">
        <v>1</v>
      </c>
      <c r="T1244" s="32"/>
      <c r="U1244" s="32"/>
      <c r="V1244" s="37"/>
      <c r="W1244" s="32"/>
      <c r="X1244" s="34"/>
      <c r="Y1244" s="34"/>
      <c r="Z1244" s="36"/>
      <c r="AA1244" s="32" t="s">
        <v>7448</v>
      </c>
      <c r="AB1244" s="32" t="s">
        <v>7449</v>
      </c>
      <c r="AC1244" s="38" t="str">
        <f aca="false">HYPERLINK("https://biocodex6--c.vf.force.com/0014L00000KGIsGQAX", "DONATI JEAN PHILIPPE")</f>
        <v>DONATI JEAN PHILIPPE</v>
      </c>
      <c r="AD1244" s="38" t="str">
        <f aca="false">HYPERLINK("https://annuairesante.ameli.fr/professionnels-de-sante/recherche/fiche-detaillee-B7c1kjczMzC3.html", "DONATI JEAN PHILIPPE")</f>
        <v>DONATI JEAN PHILIPPE</v>
      </c>
      <c r="AE1244" s="39"/>
      <c r="AF1244" s="40"/>
      <c r="AG1244" s="41"/>
      <c r="AH1244" s="32" t="s">
        <v>179</v>
      </c>
      <c r="AI1244" s="32"/>
      <c r="AL1244" s="32"/>
      <c r="AM1244" s="32"/>
      <c r="AN1244" s="32"/>
      <c r="AO1244" s="32"/>
      <c r="AP1244" s="32"/>
      <c r="AQ1244" s="32"/>
      <c r="AR1244" s="32"/>
      <c r="AS1244" s="32"/>
      <c r="AT1244" s="32"/>
      <c r="AU1244" s="32"/>
      <c r="XEY1244" s="27"/>
      <c r="XEZ1244" s="27"/>
      <c r="XFA1244" s="27"/>
      <c r="XFB1244" s="27"/>
      <c r="XFC1244" s="27"/>
      <c r="XFD1244" s="27"/>
    </row>
    <row r="1245" s="42" customFormat="true" ht="14.15" hidden="false" customHeight="true" outlineLevel="0" collapsed="false">
      <c r="A1245" s="28" t="s">
        <v>6520</v>
      </c>
      <c r="B1245" s="29" t="s">
        <v>560</v>
      </c>
      <c r="C1245" s="29" t="s">
        <v>7450</v>
      </c>
      <c r="D1245" s="30" t="s">
        <v>244</v>
      </c>
      <c r="E1245" s="31"/>
      <c r="F1245" s="32" t="n">
        <v>73</v>
      </c>
      <c r="G1245" s="31"/>
      <c r="H1245" s="31" t="n">
        <v>1</v>
      </c>
      <c r="I1245" s="31" t="s">
        <v>99</v>
      </c>
      <c r="J1245" s="29" t="s">
        <v>595</v>
      </c>
      <c r="K1245" s="29" t="s">
        <v>596</v>
      </c>
      <c r="L1245" s="32" t="n">
        <v>20</v>
      </c>
      <c r="M1245" s="33" t="s">
        <v>597</v>
      </c>
      <c r="N1245" s="34" t="n">
        <v>75015</v>
      </c>
      <c r="O1245" s="35" t="s">
        <v>55</v>
      </c>
      <c r="P1245" s="36" t="s">
        <v>7451</v>
      </c>
      <c r="Q1245" s="36" t="n">
        <v>90</v>
      </c>
      <c r="R1245" s="32" t="n">
        <v>168</v>
      </c>
      <c r="S1245" s="32" t="n">
        <v>1</v>
      </c>
      <c r="T1245" s="32"/>
      <c r="U1245" s="32"/>
      <c r="V1245" s="37"/>
      <c r="W1245" s="32"/>
      <c r="X1245" s="34"/>
      <c r="Y1245" s="34"/>
      <c r="Z1245" s="36" t="s">
        <v>7452</v>
      </c>
      <c r="AA1245" s="32" t="s">
        <v>7453</v>
      </c>
      <c r="AB1245" s="32"/>
      <c r="AC1245" s="38" t="str">
        <f aca="false">HYPERLINK("https://biocodex6--c.vf.force.com/0014L00000KFeI9QAL", "FOURRIER ELISABETH")</f>
        <v>FOURRIER ELISABETH</v>
      </c>
      <c r="AD1245" s="38"/>
      <c r="AE1245" s="39" t="n">
        <v>45337.5833333333</v>
      </c>
      <c r="AF1245" s="40"/>
      <c r="AG1245" s="41"/>
      <c r="AH1245" s="32" t="s">
        <v>179</v>
      </c>
      <c r="AI1245" s="32"/>
      <c r="AL1245" s="32"/>
      <c r="AM1245" s="32"/>
      <c r="AN1245" s="32"/>
      <c r="AO1245" s="32"/>
      <c r="AP1245" s="32"/>
      <c r="AQ1245" s="32"/>
      <c r="AR1245" s="32"/>
      <c r="AS1245" s="32"/>
      <c r="AT1245" s="32"/>
      <c r="AU1245" s="32"/>
      <c r="XEY1245" s="27"/>
      <c r="XEZ1245" s="27"/>
      <c r="XFA1245" s="27"/>
      <c r="XFB1245" s="27"/>
      <c r="XFC1245" s="27"/>
      <c r="XFD1245" s="27"/>
    </row>
    <row r="1246" s="42" customFormat="true" ht="14.15" hidden="false" customHeight="true" outlineLevel="0" collapsed="false">
      <c r="A1246" s="28" t="s">
        <v>7454</v>
      </c>
      <c r="B1246" s="29" t="s">
        <v>3745</v>
      </c>
      <c r="C1246" s="29" t="s">
        <v>7455</v>
      </c>
      <c r="D1246" s="30" t="s">
        <v>244</v>
      </c>
      <c r="E1246" s="30" t="s">
        <v>4674</v>
      </c>
      <c r="F1246" s="32" t="n">
        <v>34</v>
      </c>
      <c r="G1246" s="31" t="s">
        <v>215</v>
      </c>
      <c r="H1246" s="31" t="n">
        <v>1</v>
      </c>
      <c r="I1246" s="31" t="s">
        <v>119</v>
      </c>
      <c r="J1246" s="29"/>
      <c r="K1246" s="29" t="s">
        <v>7456</v>
      </c>
      <c r="L1246" s="32" t="n">
        <v>95</v>
      </c>
      <c r="M1246" s="33" t="s">
        <v>1716</v>
      </c>
      <c r="N1246" s="34" t="n">
        <v>75007</v>
      </c>
      <c r="O1246" s="35" t="s">
        <v>55</v>
      </c>
      <c r="P1246" s="36" t="s">
        <v>2108</v>
      </c>
      <c r="Q1246" s="36" t="n">
        <v>3</v>
      </c>
      <c r="R1246" s="32" t="n">
        <v>168</v>
      </c>
      <c r="S1246" s="32" t="n">
        <v>1</v>
      </c>
      <c r="T1246" s="32"/>
      <c r="U1246" s="32" t="n">
        <v>3</v>
      </c>
      <c r="V1246" s="37" t="n">
        <v>3</v>
      </c>
      <c r="W1246" s="32" t="n">
        <v>3</v>
      </c>
      <c r="X1246" s="34"/>
      <c r="Y1246" s="34" t="n">
        <v>1</v>
      </c>
      <c r="Z1246" s="32" t="s">
        <v>7457</v>
      </c>
      <c r="AA1246" s="32" t="s">
        <v>7458</v>
      </c>
      <c r="AB1246" s="32" t="s">
        <v>7459</v>
      </c>
      <c r="AC1246" s="38" t="str">
        <f aca="false">HYPERLINK("https://biocodex6--c.vf.force.com/0014L00000KGBJSQA5", "HENRY MANON")</f>
        <v>HENRY MANON</v>
      </c>
      <c r="AD1246" s="38" t="str">
        <f aca="false">HYPERLINK("https://annuairesante.ameli.fr/professionnels-de-sante/recherche/fiche-detaillee-B7c1kjs2NTG0.html", "HENRY MANON")</f>
        <v>HENRY MANON</v>
      </c>
      <c r="AE1246" s="39" t="n">
        <v>45429.4583333333</v>
      </c>
      <c r="AF1246" s="40" t="s">
        <v>7460</v>
      </c>
      <c r="AG1246" s="41"/>
      <c r="AH1246" s="32"/>
      <c r="AI1246" s="32"/>
      <c r="AL1246" s="43" t="s">
        <v>657</v>
      </c>
      <c r="AM1246" s="43" t="s">
        <v>137</v>
      </c>
      <c r="AN1246" s="43" t="s">
        <v>107</v>
      </c>
      <c r="AO1246" s="43" t="s">
        <v>137</v>
      </c>
      <c r="AP1246" s="43" t="s">
        <v>107</v>
      </c>
      <c r="AQ1246" s="43" t="s">
        <v>137</v>
      </c>
      <c r="AR1246" s="43" t="s">
        <v>5881</v>
      </c>
      <c r="AS1246" s="32"/>
      <c r="AT1246" s="32"/>
      <c r="AU1246" s="32"/>
      <c r="XEY1246" s="27"/>
      <c r="XEZ1246" s="27"/>
      <c r="XFA1246" s="27"/>
      <c r="XFB1246" s="27"/>
      <c r="XFC1246" s="27"/>
      <c r="XFD1246" s="27"/>
    </row>
    <row r="1247" s="42" customFormat="true" ht="14.15" hidden="false" customHeight="true" outlineLevel="0" collapsed="false">
      <c r="A1247" s="28" t="s">
        <v>7461</v>
      </c>
      <c r="B1247" s="29" t="s">
        <v>1460</v>
      </c>
      <c r="C1247" s="29" t="s">
        <v>7462</v>
      </c>
      <c r="D1247" s="30" t="s">
        <v>50</v>
      </c>
      <c r="E1247" s="31"/>
      <c r="F1247" s="32" t="n">
        <v>38</v>
      </c>
      <c r="G1247" s="31"/>
      <c r="H1247" s="31" t="n">
        <v>1</v>
      </c>
      <c r="I1247" s="31" t="s">
        <v>51</v>
      </c>
      <c r="J1247" s="29" t="s">
        <v>52</v>
      </c>
      <c r="K1247" s="29" t="s">
        <v>53</v>
      </c>
      <c r="L1247" s="32" t="n">
        <v>149</v>
      </c>
      <c r="M1247" s="33" t="s">
        <v>54</v>
      </c>
      <c r="N1247" s="34" t="n">
        <v>75015</v>
      </c>
      <c r="O1247" s="35" t="s">
        <v>55</v>
      </c>
      <c r="P1247" s="36" t="s">
        <v>1710</v>
      </c>
      <c r="Q1247" s="36" t="n">
        <v>236</v>
      </c>
      <c r="R1247" s="32" t="n">
        <v>168</v>
      </c>
      <c r="S1247" s="32" t="n">
        <v>1</v>
      </c>
      <c r="T1247" s="32"/>
      <c r="U1247" s="32"/>
      <c r="V1247" s="37"/>
      <c r="W1247" s="32"/>
      <c r="X1247" s="34"/>
      <c r="Y1247" s="34"/>
      <c r="Z1247" s="36"/>
      <c r="AA1247" s="32" t="s">
        <v>7463</v>
      </c>
      <c r="AB1247" s="32"/>
      <c r="AC1247" s="38" t="str">
        <f aca="false">HYPERLINK("https://biocodex6--c.vf.force.com/0014L00000KFLAXQA5", "HERBEPIN AUDREY")</f>
        <v>HERBEPIN AUDREY</v>
      </c>
      <c r="AD1247" s="38"/>
      <c r="AE1247" s="39"/>
      <c r="AF1247" s="40"/>
      <c r="AG1247" s="41"/>
      <c r="AH1247" s="32" t="s">
        <v>179</v>
      </c>
      <c r="AI1247" s="32"/>
      <c r="AL1247" s="32"/>
      <c r="AM1247" s="32"/>
      <c r="AN1247" s="32"/>
      <c r="AO1247" s="32"/>
      <c r="AP1247" s="32"/>
      <c r="AQ1247" s="32"/>
      <c r="AR1247" s="32"/>
      <c r="AS1247" s="32"/>
      <c r="AT1247" s="32"/>
      <c r="AU1247" s="32"/>
      <c r="XEY1247" s="27"/>
      <c r="XEZ1247" s="27"/>
      <c r="XFA1247" s="27"/>
      <c r="XFB1247" s="27"/>
      <c r="XFC1247" s="27"/>
      <c r="XFD1247" s="27"/>
    </row>
    <row r="1248" s="42" customFormat="true" ht="14.15" hidden="false" customHeight="true" outlineLevel="0" collapsed="false">
      <c r="A1248" s="28" t="s">
        <v>7464</v>
      </c>
      <c r="B1248" s="29" t="s">
        <v>727</v>
      </c>
      <c r="C1248" s="29" t="s">
        <v>7465</v>
      </c>
      <c r="D1248" s="30" t="s">
        <v>244</v>
      </c>
      <c r="E1248" s="30" t="s">
        <v>245</v>
      </c>
      <c r="F1248" s="32" t="n">
        <v>41</v>
      </c>
      <c r="G1248" s="31"/>
      <c r="H1248" s="31" t="n">
        <v>1</v>
      </c>
      <c r="I1248" s="31" t="s">
        <v>435</v>
      </c>
      <c r="J1248" s="29"/>
      <c r="K1248" s="29" t="s">
        <v>2099</v>
      </c>
      <c r="L1248" s="32" t="n">
        <v>80</v>
      </c>
      <c r="M1248" s="33" t="s">
        <v>2100</v>
      </c>
      <c r="N1248" s="34" t="n">
        <v>75016</v>
      </c>
      <c r="O1248" s="35" t="s">
        <v>55</v>
      </c>
      <c r="P1248" s="36" t="s">
        <v>6153</v>
      </c>
      <c r="Q1248" s="36" t="n">
        <v>4</v>
      </c>
      <c r="R1248" s="32" t="n">
        <v>168</v>
      </c>
      <c r="S1248" s="32" t="n">
        <v>1</v>
      </c>
      <c r="T1248" s="32"/>
      <c r="U1248" s="32"/>
      <c r="V1248" s="37"/>
      <c r="W1248" s="32"/>
      <c r="X1248" s="34"/>
      <c r="Y1248" s="34"/>
      <c r="Z1248" s="36"/>
      <c r="AA1248" s="32" t="s">
        <v>7466</v>
      </c>
      <c r="AB1248" s="32"/>
      <c r="AC1248" s="38" t="str">
        <f aca="false">HYPERLINK("https://biocodex6--c.vf.force.com/0014L00000KG1SeQAL", "SADIA FEDIDA DEBORAH")</f>
        <v>SADIA FEDIDA DEBORAH</v>
      </c>
      <c r="AD1248" s="38"/>
      <c r="AE1248" s="39"/>
      <c r="AF1248" s="40"/>
      <c r="AG1248" s="41"/>
      <c r="AH1248" s="32" t="s">
        <v>179</v>
      </c>
      <c r="AI1248" s="32"/>
      <c r="AL1248" s="32"/>
      <c r="AM1248" s="32"/>
      <c r="AN1248" s="32"/>
      <c r="AO1248" s="32"/>
      <c r="AP1248" s="32"/>
      <c r="AQ1248" s="32"/>
      <c r="AR1248" s="32"/>
      <c r="AS1248" s="32"/>
      <c r="AT1248" s="32"/>
      <c r="AU1248" s="32"/>
      <c r="XEY1248" s="27"/>
      <c r="XEZ1248" s="27"/>
      <c r="XFA1248" s="27"/>
      <c r="XFB1248" s="27"/>
      <c r="XFC1248" s="27"/>
      <c r="XFD1248" s="27"/>
    </row>
    <row r="1249" s="42" customFormat="true" ht="14.15" hidden="false" customHeight="true" outlineLevel="0" collapsed="false">
      <c r="A1249" s="28" t="s">
        <v>7467</v>
      </c>
      <c r="B1249" s="29" t="s">
        <v>7468</v>
      </c>
      <c r="C1249" s="29" t="s">
        <v>7469</v>
      </c>
      <c r="D1249" s="30" t="s">
        <v>75</v>
      </c>
      <c r="E1249" s="31"/>
      <c r="F1249" s="32" t="n">
        <v>36</v>
      </c>
      <c r="G1249" s="31"/>
      <c r="H1249" s="31" t="n">
        <v>1</v>
      </c>
      <c r="I1249" s="31" t="s">
        <v>99</v>
      </c>
      <c r="J1249" s="29" t="s">
        <v>595</v>
      </c>
      <c r="K1249" s="29" t="s">
        <v>596</v>
      </c>
      <c r="L1249" s="32" t="n">
        <v>20</v>
      </c>
      <c r="M1249" s="33" t="s">
        <v>597</v>
      </c>
      <c r="N1249" s="34" t="n">
        <v>75015</v>
      </c>
      <c r="O1249" s="35" t="s">
        <v>55</v>
      </c>
      <c r="P1249" s="36" t="s">
        <v>2251</v>
      </c>
      <c r="Q1249" s="36" t="n">
        <v>90</v>
      </c>
      <c r="R1249" s="32" t="n">
        <v>167</v>
      </c>
      <c r="S1249" s="32" t="n">
        <v>1</v>
      </c>
      <c r="T1249" s="32"/>
      <c r="U1249" s="32"/>
      <c r="V1249" s="37"/>
      <c r="W1249" s="32"/>
      <c r="X1249" s="34"/>
      <c r="Y1249" s="34"/>
      <c r="Z1249" s="32"/>
      <c r="AA1249" s="32" t="s">
        <v>7470</v>
      </c>
      <c r="AB1249" s="32"/>
      <c r="AC1249" s="38" t="str">
        <f aca="false">HYPERLINK("https://biocodex6--c.vf.force.com/0014L00000KGBPNQA5", "LAHLOU WIDAD")</f>
        <v>LAHLOU WIDAD</v>
      </c>
      <c r="AD1249" s="38"/>
      <c r="AE1249" s="39"/>
      <c r="AF1249" s="40"/>
      <c r="AG1249" s="41"/>
      <c r="AH1249" s="32"/>
      <c r="AI1249" s="32"/>
      <c r="AL1249" s="32"/>
      <c r="AM1249" s="32"/>
      <c r="AN1249" s="32"/>
      <c r="AO1249" s="32"/>
      <c r="AP1249" s="32"/>
      <c r="AQ1249" s="32"/>
      <c r="AR1249" s="32"/>
      <c r="AS1249" s="32"/>
      <c r="AT1249" s="32"/>
      <c r="AU1249" s="32"/>
      <c r="XEY1249" s="27"/>
      <c r="XEZ1249" s="27"/>
      <c r="XFA1249" s="27"/>
      <c r="XFB1249" s="27"/>
      <c r="XFC1249" s="27"/>
      <c r="XFD1249" s="27"/>
    </row>
    <row r="1250" s="42" customFormat="true" ht="14.15" hidden="false" customHeight="true" outlineLevel="0" collapsed="false">
      <c r="A1250" s="28" t="s">
        <v>7471</v>
      </c>
      <c r="B1250" s="29" t="s">
        <v>5792</v>
      </c>
      <c r="C1250" s="29" t="s">
        <v>7472</v>
      </c>
      <c r="D1250" s="30" t="s">
        <v>75</v>
      </c>
      <c r="E1250" s="30" t="s">
        <v>3289</v>
      </c>
      <c r="F1250" s="32" t="n">
        <v>63</v>
      </c>
      <c r="G1250" s="31" t="s">
        <v>215</v>
      </c>
      <c r="H1250" s="31" t="n">
        <v>1</v>
      </c>
      <c r="I1250" s="31" t="s">
        <v>173</v>
      </c>
      <c r="J1250" s="29"/>
      <c r="K1250" s="29" t="s">
        <v>4320</v>
      </c>
      <c r="L1250" s="32" t="n">
        <v>5</v>
      </c>
      <c r="M1250" s="33" t="s">
        <v>4321</v>
      </c>
      <c r="N1250" s="34" t="n">
        <v>75016</v>
      </c>
      <c r="O1250" s="35" t="s">
        <v>55</v>
      </c>
      <c r="P1250" s="36"/>
      <c r="Q1250" s="36" t="n">
        <v>3</v>
      </c>
      <c r="R1250" s="32" t="n">
        <v>167</v>
      </c>
      <c r="S1250" s="32" t="n">
        <v>1</v>
      </c>
      <c r="T1250" s="32"/>
      <c r="U1250" s="32"/>
      <c r="V1250" s="37"/>
      <c r="W1250" s="32"/>
      <c r="X1250" s="34"/>
      <c r="Y1250" s="34"/>
      <c r="Z1250" s="36"/>
      <c r="AA1250" s="32" t="s">
        <v>7473</v>
      </c>
      <c r="AB1250" s="32" t="s">
        <v>7474</v>
      </c>
      <c r="AC1250" s="38" t="str">
        <f aca="false">HYPERLINK("https://biocodex6--c.vf.force.com/0014L00000KFSY0QAP", "BENHAMOU YVES")</f>
        <v>BENHAMOU YVES</v>
      </c>
      <c r="AD1250" s="38" t="str">
        <f aca="false">HYPERLINK("https://annuairesante.ameli.fr/professionnels-de-sante/recherche/fiche-detaillee-B7c1lzE5Nzu2.html", "BENHAMOU YVES")</f>
        <v>BENHAMOU YVES</v>
      </c>
      <c r="AE1250" s="39"/>
      <c r="AF1250" s="40"/>
      <c r="AG1250" s="41"/>
      <c r="AH1250" s="32" t="s">
        <v>179</v>
      </c>
      <c r="AI1250" s="32"/>
      <c r="AL1250" s="32"/>
      <c r="AM1250" s="32"/>
      <c r="AN1250" s="32"/>
      <c r="AO1250" s="32"/>
      <c r="AP1250" s="32"/>
      <c r="AQ1250" s="32"/>
      <c r="AR1250" s="32"/>
      <c r="AS1250" s="32"/>
      <c r="AT1250" s="32"/>
      <c r="AU1250" s="32"/>
      <c r="XEY1250" s="27"/>
      <c r="XEZ1250" s="27"/>
      <c r="XFA1250" s="27"/>
      <c r="XFB1250" s="27"/>
      <c r="XFC1250" s="27"/>
      <c r="XFD1250" s="27"/>
    </row>
    <row r="1251" s="42" customFormat="true" ht="14.15" hidden="false" customHeight="true" outlineLevel="0" collapsed="false">
      <c r="A1251" s="28" t="s">
        <v>7475</v>
      </c>
      <c r="B1251" s="29" t="s">
        <v>7476</v>
      </c>
      <c r="C1251" s="29" t="s">
        <v>7477</v>
      </c>
      <c r="D1251" s="30" t="s">
        <v>50</v>
      </c>
      <c r="E1251" s="30" t="s">
        <v>2281</v>
      </c>
      <c r="F1251" s="32" t="n">
        <v>34</v>
      </c>
      <c r="G1251" s="31"/>
      <c r="H1251" s="31" t="n">
        <v>1</v>
      </c>
      <c r="I1251" s="31" t="s">
        <v>51</v>
      </c>
      <c r="J1251" s="29" t="s">
        <v>52</v>
      </c>
      <c r="K1251" s="29" t="s">
        <v>53</v>
      </c>
      <c r="L1251" s="32" t="n">
        <v>149</v>
      </c>
      <c r="M1251" s="33" t="s">
        <v>54</v>
      </c>
      <c r="N1251" s="34" t="n">
        <v>75015</v>
      </c>
      <c r="O1251" s="35" t="s">
        <v>55</v>
      </c>
      <c r="P1251" s="36" t="s">
        <v>2723</v>
      </c>
      <c r="Q1251" s="36" t="n">
        <v>236</v>
      </c>
      <c r="R1251" s="32" t="n">
        <v>165</v>
      </c>
      <c r="S1251" s="32" t="n">
        <v>1</v>
      </c>
      <c r="T1251" s="32"/>
      <c r="U1251" s="32"/>
      <c r="V1251" s="37"/>
      <c r="W1251" s="32"/>
      <c r="X1251" s="34"/>
      <c r="Y1251" s="34"/>
      <c r="Z1251" s="36"/>
      <c r="AA1251" s="32" t="s">
        <v>7478</v>
      </c>
      <c r="AB1251" s="32"/>
      <c r="AC1251" s="38" t="str">
        <f aca="false">HYPERLINK("https://biocodex6--c.vf.force.com/0014L00000KGDueQAH", "GAUDIN ANNE CLAIRE")</f>
        <v>GAUDIN ANNE CLAIRE</v>
      </c>
      <c r="AD1251" s="38"/>
      <c r="AE1251" s="39"/>
      <c r="AF1251" s="40"/>
      <c r="AG1251" s="41"/>
      <c r="AH1251" s="32" t="s">
        <v>179</v>
      </c>
      <c r="AI1251" s="32"/>
      <c r="AL1251" s="32"/>
      <c r="AM1251" s="32"/>
      <c r="AN1251" s="32"/>
      <c r="AO1251" s="32"/>
      <c r="AP1251" s="32"/>
      <c r="AQ1251" s="32"/>
      <c r="AR1251" s="32"/>
      <c r="AS1251" s="32"/>
      <c r="AT1251" s="32"/>
      <c r="AU1251" s="32"/>
      <c r="XEY1251" s="27"/>
      <c r="XEZ1251" s="27"/>
      <c r="XFA1251" s="27"/>
      <c r="XFB1251" s="27"/>
      <c r="XFC1251" s="27"/>
      <c r="XFD1251" s="27"/>
    </row>
    <row r="1252" s="42" customFormat="true" ht="14.15" hidden="false" customHeight="true" outlineLevel="0" collapsed="false">
      <c r="A1252" s="28" t="s">
        <v>7479</v>
      </c>
      <c r="B1252" s="29" t="s">
        <v>839</v>
      </c>
      <c r="C1252" s="29" t="s">
        <v>7480</v>
      </c>
      <c r="D1252" s="30" t="s">
        <v>75</v>
      </c>
      <c r="E1252" s="31"/>
      <c r="F1252" s="32" t="n">
        <v>65</v>
      </c>
      <c r="G1252" s="31" t="s">
        <v>215</v>
      </c>
      <c r="H1252" s="31" t="n">
        <v>1</v>
      </c>
      <c r="I1252" s="31" t="s">
        <v>197</v>
      </c>
      <c r="J1252" s="29"/>
      <c r="K1252" s="29" t="s">
        <v>3660</v>
      </c>
      <c r="L1252" s="32" t="n">
        <v>43</v>
      </c>
      <c r="M1252" s="33" t="s">
        <v>3661</v>
      </c>
      <c r="N1252" s="34" t="n">
        <v>75017</v>
      </c>
      <c r="O1252" s="35" t="s">
        <v>55</v>
      </c>
      <c r="P1252" s="36" t="s">
        <v>7481</v>
      </c>
      <c r="Q1252" s="36" t="n">
        <v>2</v>
      </c>
      <c r="R1252" s="32" t="n">
        <v>165</v>
      </c>
      <c r="S1252" s="32" t="n">
        <v>1</v>
      </c>
      <c r="T1252" s="32"/>
      <c r="U1252" s="32"/>
      <c r="V1252" s="37"/>
      <c r="W1252" s="32"/>
      <c r="X1252" s="34"/>
      <c r="Y1252" s="34"/>
      <c r="Z1252" s="36"/>
      <c r="AA1252" s="32" t="s">
        <v>7482</v>
      </c>
      <c r="AB1252" s="32" t="s">
        <v>7483</v>
      </c>
      <c r="AC1252" s="38" t="str">
        <f aca="false">HYPERLINK("https://biocodex6--c.vf.force.com/0014L00000KFzKjQAL", "ROSEAU GILLES")</f>
        <v>ROSEAU GILLES</v>
      </c>
      <c r="AD1252" s="38" t="str">
        <f aca="false">HYPERLINK("https://annuairesante.ameli.fr/professionnels-de-sante/recherche/fiche-detaillee-B7c1ljQ4Nzq2.html", "ROSEAU GILLES")</f>
        <v>ROSEAU GILLES</v>
      </c>
      <c r="AE1252" s="39"/>
      <c r="AF1252" s="40"/>
      <c r="AG1252" s="41"/>
      <c r="AH1252" s="32" t="s">
        <v>179</v>
      </c>
      <c r="AI1252" s="32"/>
      <c r="AL1252" s="32"/>
      <c r="AM1252" s="32"/>
      <c r="AN1252" s="32"/>
      <c r="AO1252" s="32"/>
      <c r="AP1252" s="32"/>
      <c r="AQ1252" s="32"/>
      <c r="AR1252" s="32"/>
      <c r="AS1252" s="32"/>
      <c r="AT1252" s="32"/>
      <c r="AU1252" s="32"/>
      <c r="XEY1252" s="27"/>
      <c r="XEZ1252" s="27"/>
      <c r="XFA1252" s="27"/>
      <c r="XFB1252" s="27"/>
      <c r="XFC1252" s="27"/>
      <c r="XFD1252" s="27"/>
    </row>
    <row r="1253" s="42" customFormat="true" ht="14.15" hidden="false" customHeight="true" outlineLevel="0" collapsed="false">
      <c r="A1253" s="28" t="s">
        <v>4981</v>
      </c>
      <c r="B1253" s="29" t="s">
        <v>7484</v>
      </c>
      <c r="C1253" s="29" t="s">
        <v>7485</v>
      </c>
      <c r="D1253" s="30" t="s">
        <v>50</v>
      </c>
      <c r="E1253" s="31"/>
      <c r="F1253" s="32" t="n">
        <v>33</v>
      </c>
      <c r="G1253" s="31" t="s">
        <v>98</v>
      </c>
      <c r="H1253" s="31" t="n">
        <v>1</v>
      </c>
      <c r="I1253" s="31" t="s">
        <v>572</v>
      </c>
      <c r="J1253" s="29"/>
      <c r="K1253" s="29" t="s">
        <v>7486</v>
      </c>
      <c r="L1253" s="32" t="n">
        <v>15</v>
      </c>
      <c r="M1253" s="33" t="s">
        <v>7487</v>
      </c>
      <c r="N1253" s="34" t="n">
        <v>75008</v>
      </c>
      <c r="O1253" s="35" t="s">
        <v>55</v>
      </c>
      <c r="P1253" s="36" t="s">
        <v>7488</v>
      </c>
      <c r="Q1253" s="36" t="n">
        <v>1</v>
      </c>
      <c r="R1253" s="32" t="n">
        <v>164</v>
      </c>
      <c r="S1253" s="32" t="n">
        <v>1</v>
      </c>
      <c r="T1253" s="32"/>
      <c r="U1253" s="32"/>
      <c r="V1253" s="37"/>
      <c r="W1253" s="32"/>
      <c r="X1253" s="34"/>
      <c r="Y1253" s="34"/>
      <c r="Z1253" s="36"/>
      <c r="AA1253" s="32" t="s">
        <v>7489</v>
      </c>
      <c r="AB1253" s="32" t="s">
        <v>7490</v>
      </c>
      <c r="AC1253" s="38" t="str">
        <f aca="false">HYPERLINK("https://biocodex6--c.vf.force.com/0014L00000KGESFQA5", "FOURNIER BAPTISTE")</f>
        <v>FOURNIER BAPTISTE</v>
      </c>
      <c r="AD1253" s="38" t="str">
        <f aca="false">HYPERLINK("https://annuairesante.ameli.fr/professionnels-de-sante/recherche/fiche-detaillee-B7c1kjoxNzSx.html", "FOURNIER BAPTISTE")</f>
        <v>FOURNIER BAPTISTE</v>
      </c>
      <c r="AE1253" s="39" t="n">
        <v>45254.5</v>
      </c>
      <c r="AF1253" s="40"/>
      <c r="AG1253" s="41"/>
      <c r="AH1253" s="32" t="s">
        <v>179</v>
      </c>
      <c r="AI1253" s="32"/>
      <c r="AL1253" s="43" t="s">
        <v>657</v>
      </c>
      <c r="AM1253" s="43" t="s">
        <v>534</v>
      </c>
      <c r="AN1253" s="43" t="s">
        <v>657</v>
      </c>
      <c r="AO1253" s="43" t="s">
        <v>534</v>
      </c>
      <c r="AP1253" s="43" t="s">
        <v>657</v>
      </c>
      <c r="AQ1253" s="43" t="s">
        <v>534</v>
      </c>
      <c r="AR1253" s="43" t="s">
        <v>657</v>
      </c>
      <c r="AS1253" s="43" t="s">
        <v>534</v>
      </c>
      <c r="AT1253" s="43" t="s">
        <v>657</v>
      </c>
      <c r="AU1253" s="43" t="s">
        <v>534</v>
      </c>
      <c r="XEY1253" s="27"/>
      <c r="XEZ1253" s="27"/>
      <c r="XFA1253" s="27"/>
      <c r="XFB1253" s="27"/>
      <c r="XFC1253" s="27"/>
      <c r="XFD1253" s="27"/>
    </row>
    <row r="1254" s="42" customFormat="true" ht="14.15" hidden="false" customHeight="true" outlineLevel="0" collapsed="false">
      <c r="A1254" s="28" t="s">
        <v>7491</v>
      </c>
      <c r="B1254" s="29" t="s">
        <v>7492</v>
      </c>
      <c r="C1254" s="29" t="s">
        <v>7493</v>
      </c>
      <c r="D1254" s="30" t="s">
        <v>112</v>
      </c>
      <c r="E1254" s="31"/>
      <c r="F1254" s="32" t="n">
        <v>63</v>
      </c>
      <c r="G1254" s="31" t="s">
        <v>215</v>
      </c>
      <c r="H1254" s="31" t="n">
        <v>1</v>
      </c>
      <c r="I1254" s="31" t="s">
        <v>173</v>
      </c>
      <c r="J1254" s="29"/>
      <c r="K1254" s="29" t="s">
        <v>7494</v>
      </c>
      <c r="L1254" s="32" t="n">
        <v>1</v>
      </c>
      <c r="M1254" s="33" t="s">
        <v>7495</v>
      </c>
      <c r="N1254" s="34" t="n">
        <v>75016</v>
      </c>
      <c r="O1254" s="35" t="s">
        <v>55</v>
      </c>
      <c r="P1254" s="36" t="s">
        <v>7496</v>
      </c>
      <c r="Q1254" s="36" t="n">
        <v>1</v>
      </c>
      <c r="R1254" s="32" t="n">
        <v>164</v>
      </c>
      <c r="S1254" s="32" t="n">
        <v>1</v>
      </c>
      <c r="T1254" s="32"/>
      <c r="U1254" s="32"/>
      <c r="V1254" s="37"/>
      <c r="W1254" s="32"/>
      <c r="X1254" s="34"/>
      <c r="Y1254" s="34"/>
      <c r="Z1254" s="36"/>
      <c r="AA1254" s="32" t="s">
        <v>7497</v>
      </c>
      <c r="AB1254" s="32" t="s">
        <v>7498</v>
      </c>
      <c r="AC1254" s="38" t="str">
        <f aca="false">HYPERLINK("https://biocodex6--c.vf.force.com/0014L00000KG65fQAD", "ZAKI RACHID")</f>
        <v>ZAKI RACHID</v>
      </c>
      <c r="AD1254" s="38" t="str">
        <f aca="false">HYPERLINK("https://annuairesante.ameli.fr/professionnels-de-sante/recherche/fiche-detaillee-B7c1lzQzNzG1.html", "ZAKI RACHID")</f>
        <v>ZAKI RACHID</v>
      </c>
      <c r="AE1254" s="39" t="n">
        <v>45210.5</v>
      </c>
      <c r="AF1254" s="40"/>
      <c r="AG1254" s="41"/>
      <c r="AH1254" s="32" t="s">
        <v>179</v>
      </c>
      <c r="AI1254" s="32"/>
      <c r="AL1254" s="32"/>
      <c r="AM1254" s="43" t="s">
        <v>328</v>
      </c>
      <c r="AN1254" s="32"/>
      <c r="AO1254" s="43" t="s">
        <v>328</v>
      </c>
      <c r="AP1254" s="32"/>
      <c r="AQ1254" s="32"/>
      <c r="AR1254" s="43" t="s">
        <v>442</v>
      </c>
      <c r="AS1254" s="32"/>
      <c r="AT1254" s="43" t="s">
        <v>657</v>
      </c>
      <c r="AU1254" s="43" t="s">
        <v>126</v>
      </c>
      <c r="XEY1254" s="27"/>
      <c r="XEZ1254" s="27"/>
      <c r="XFA1254" s="27"/>
      <c r="XFB1254" s="27"/>
      <c r="XFC1254" s="27"/>
      <c r="XFD1254" s="27"/>
    </row>
    <row r="1255" s="42" customFormat="true" ht="14.15" hidden="false" customHeight="true" outlineLevel="0" collapsed="false">
      <c r="A1255" s="28" t="s">
        <v>7499</v>
      </c>
      <c r="B1255" s="29" t="s">
        <v>1859</v>
      </c>
      <c r="C1255" s="29" t="s">
        <v>7500</v>
      </c>
      <c r="D1255" s="30" t="s">
        <v>112</v>
      </c>
      <c r="E1255" s="31"/>
      <c r="F1255" s="32" t="n">
        <v>35</v>
      </c>
      <c r="G1255" s="31"/>
      <c r="H1255" s="31" t="n">
        <v>1</v>
      </c>
      <c r="I1255" s="31" t="s">
        <v>51</v>
      </c>
      <c r="J1255" s="29" t="s">
        <v>52</v>
      </c>
      <c r="K1255" s="29" t="s">
        <v>53</v>
      </c>
      <c r="L1255" s="32" t="n">
        <v>149</v>
      </c>
      <c r="M1255" s="33" t="s">
        <v>54</v>
      </c>
      <c r="N1255" s="34" t="n">
        <v>75015</v>
      </c>
      <c r="O1255" s="35" t="s">
        <v>55</v>
      </c>
      <c r="P1255" s="36" t="s">
        <v>269</v>
      </c>
      <c r="Q1255" s="36" t="n">
        <v>236</v>
      </c>
      <c r="R1255" s="32" t="n">
        <v>164</v>
      </c>
      <c r="S1255" s="32" t="n">
        <v>1</v>
      </c>
      <c r="T1255" s="32"/>
      <c r="U1255" s="32"/>
      <c r="V1255" s="37"/>
      <c r="W1255" s="32"/>
      <c r="X1255" s="34"/>
      <c r="Y1255" s="34"/>
      <c r="Z1255" s="36"/>
      <c r="AA1255" s="32" t="s">
        <v>7501</v>
      </c>
      <c r="AB1255" s="32"/>
      <c r="AC1255" s="38" t="str">
        <f aca="false">HYPERLINK("https://biocodex6--c.vf.force.com/0014L00000KG9ZOQA1", "DURRLEMAN CHLOE")</f>
        <v>DURRLEMAN CHLOE</v>
      </c>
      <c r="AD1255" s="38"/>
      <c r="AE1255" s="39"/>
      <c r="AF1255" s="40"/>
      <c r="AG1255" s="41"/>
      <c r="AH1255" s="32" t="s">
        <v>179</v>
      </c>
      <c r="AI1255" s="32"/>
      <c r="AL1255" s="32"/>
      <c r="AM1255" s="32"/>
      <c r="AN1255" s="32"/>
      <c r="AO1255" s="32"/>
      <c r="AP1255" s="32"/>
      <c r="AQ1255" s="32"/>
      <c r="AR1255" s="32"/>
      <c r="AS1255" s="32"/>
      <c r="AT1255" s="32"/>
      <c r="AU1255" s="32"/>
      <c r="XEY1255" s="27"/>
      <c r="XEZ1255" s="27"/>
      <c r="XFA1255" s="27"/>
      <c r="XFB1255" s="27"/>
      <c r="XFC1255" s="27"/>
      <c r="XFD1255" s="27"/>
    </row>
    <row r="1256" s="42" customFormat="true" ht="14.15" hidden="false" customHeight="true" outlineLevel="0" collapsed="false">
      <c r="A1256" s="28" t="s">
        <v>7502</v>
      </c>
      <c r="B1256" s="29" t="s">
        <v>7503</v>
      </c>
      <c r="C1256" s="29" t="s">
        <v>7504</v>
      </c>
      <c r="D1256" s="30" t="s">
        <v>112</v>
      </c>
      <c r="E1256" s="31"/>
      <c r="F1256" s="32" t="n">
        <v>46</v>
      </c>
      <c r="G1256" s="31"/>
      <c r="H1256" s="31" t="n">
        <v>1</v>
      </c>
      <c r="I1256" s="31" t="s">
        <v>51</v>
      </c>
      <c r="J1256" s="29" t="s">
        <v>52</v>
      </c>
      <c r="K1256" s="29" t="s">
        <v>53</v>
      </c>
      <c r="L1256" s="32" t="n">
        <v>149</v>
      </c>
      <c r="M1256" s="33" t="s">
        <v>54</v>
      </c>
      <c r="N1256" s="34" t="n">
        <v>75015</v>
      </c>
      <c r="O1256" s="35" t="s">
        <v>55</v>
      </c>
      <c r="P1256" s="36" t="s">
        <v>269</v>
      </c>
      <c r="Q1256" s="36" t="n">
        <v>236</v>
      </c>
      <c r="R1256" s="32" t="n">
        <v>164</v>
      </c>
      <c r="S1256" s="32" t="n">
        <v>1</v>
      </c>
      <c r="T1256" s="32"/>
      <c r="U1256" s="32"/>
      <c r="V1256" s="37"/>
      <c r="W1256" s="32"/>
      <c r="X1256" s="34"/>
      <c r="Y1256" s="34"/>
      <c r="Z1256" s="32"/>
      <c r="AA1256" s="32" t="s">
        <v>7505</v>
      </c>
      <c r="AB1256" s="32"/>
      <c r="AC1256" s="38" t="str">
        <f aca="false">HYPERLINK("https://biocodex6--c.vf.force.com/0014L00000KFhFUQA1", "GITIAUX CYRIL")</f>
        <v>GITIAUX CYRIL</v>
      </c>
      <c r="AD1256" s="38"/>
      <c r="AE1256" s="39"/>
      <c r="AF1256" s="40"/>
      <c r="AG1256" s="41"/>
      <c r="AH1256" s="32"/>
      <c r="AI1256" s="32"/>
      <c r="AL1256" s="32"/>
      <c r="AM1256" s="32"/>
      <c r="AN1256" s="32"/>
      <c r="AO1256" s="32"/>
      <c r="AP1256" s="32"/>
      <c r="AQ1256" s="32"/>
      <c r="AR1256" s="32"/>
      <c r="AS1256" s="32"/>
      <c r="AT1256" s="32"/>
      <c r="AU1256" s="32"/>
      <c r="XEY1256" s="27"/>
      <c r="XEZ1256" s="27"/>
      <c r="XFA1256" s="27"/>
      <c r="XFB1256" s="27"/>
      <c r="XFC1256" s="27"/>
      <c r="XFD1256" s="27"/>
    </row>
    <row r="1257" s="42" customFormat="true" ht="14.15" hidden="false" customHeight="true" outlineLevel="0" collapsed="false">
      <c r="A1257" s="28" t="s">
        <v>7506</v>
      </c>
      <c r="B1257" s="29" t="s">
        <v>848</v>
      </c>
      <c r="C1257" s="29" t="s">
        <v>7507</v>
      </c>
      <c r="D1257" s="30" t="s">
        <v>50</v>
      </c>
      <c r="E1257" s="30" t="s">
        <v>386</v>
      </c>
      <c r="F1257" s="32" t="n">
        <v>62</v>
      </c>
      <c r="G1257" s="31" t="s">
        <v>345</v>
      </c>
      <c r="H1257" s="31" t="n">
        <v>1</v>
      </c>
      <c r="I1257" s="31" t="s">
        <v>173</v>
      </c>
      <c r="J1257" s="29"/>
      <c r="K1257" s="29" t="s">
        <v>7508</v>
      </c>
      <c r="L1257" s="32" t="n">
        <v>9</v>
      </c>
      <c r="M1257" s="33" t="s">
        <v>7509</v>
      </c>
      <c r="N1257" s="34" t="n">
        <v>75016</v>
      </c>
      <c r="O1257" s="35" t="s">
        <v>55</v>
      </c>
      <c r="P1257" s="36"/>
      <c r="Q1257" s="36" t="n">
        <v>1</v>
      </c>
      <c r="R1257" s="32" t="n">
        <v>163</v>
      </c>
      <c r="S1257" s="32" t="n">
        <v>1</v>
      </c>
      <c r="T1257" s="32"/>
      <c r="U1257" s="32"/>
      <c r="V1257" s="37"/>
      <c r="W1257" s="32"/>
      <c r="X1257" s="34"/>
      <c r="Y1257" s="34"/>
      <c r="Z1257" s="36"/>
      <c r="AA1257" s="32" t="s">
        <v>7510</v>
      </c>
      <c r="AB1257" s="32" t="s">
        <v>7511</v>
      </c>
      <c r="AC1257" s="38" t="str">
        <f aca="false">HYPERLINK("https://biocodex6--c.vf.force.com/0014L00000KG6TYQA1", "VOLF FERDMAN NADIA")</f>
        <v>VOLF FERDMAN NADIA</v>
      </c>
      <c r="AD1257" s="38" t="str">
        <f aca="false">HYPERLINK("https://annuairesante.ameli.fr/professionnels-de-sante/recherche/fiche-detaillee-B7c1lTA4OTO2.html", "VOLF FERDMAN NADIA")</f>
        <v>VOLF FERDMAN NADIA</v>
      </c>
      <c r="AE1257" s="39"/>
      <c r="AF1257" s="40"/>
      <c r="AG1257" s="41"/>
      <c r="AH1257" s="32" t="s">
        <v>179</v>
      </c>
      <c r="AI1257" s="32"/>
      <c r="AL1257" s="32"/>
      <c r="AM1257" s="32"/>
      <c r="AN1257" s="32"/>
      <c r="AO1257" s="32"/>
      <c r="AP1257" s="32"/>
      <c r="AQ1257" s="32"/>
      <c r="AR1257" s="32"/>
      <c r="AS1257" s="32"/>
      <c r="AT1257" s="32"/>
      <c r="AU1257" s="32"/>
      <c r="XEY1257" s="27"/>
      <c r="XEZ1257" s="27"/>
      <c r="XFA1257" s="27"/>
      <c r="XFB1257" s="27"/>
      <c r="XFC1257" s="27"/>
      <c r="XFD1257" s="27"/>
    </row>
    <row r="1258" s="42" customFormat="true" ht="14.15" hidden="false" customHeight="true" outlineLevel="0" collapsed="false">
      <c r="A1258" s="28" t="s">
        <v>7512</v>
      </c>
      <c r="B1258" s="29" t="s">
        <v>7513</v>
      </c>
      <c r="C1258" s="29" t="s">
        <v>7514</v>
      </c>
      <c r="D1258" s="30" t="s">
        <v>50</v>
      </c>
      <c r="E1258" s="31"/>
      <c r="F1258" s="32" t="n">
        <v>34</v>
      </c>
      <c r="G1258" s="31"/>
      <c r="H1258" s="31" t="n">
        <v>1</v>
      </c>
      <c r="I1258" s="31" t="s">
        <v>99</v>
      </c>
      <c r="J1258" s="29" t="s">
        <v>595</v>
      </c>
      <c r="K1258" s="29" t="s">
        <v>596</v>
      </c>
      <c r="L1258" s="32" t="n">
        <v>20</v>
      </c>
      <c r="M1258" s="33" t="s">
        <v>597</v>
      </c>
      <c r="N1258" s="34" t="n">
        <v>75015</v>
      </c>
      <c r="O1258" s="35" t="s">
        <v>55</v>
      </c>
      <c r="P1258" s="36" t="s">
        <v>4409</v>
      </c>
      <c r="Q1258" s="36" t="n">
        <v>90</v>
      </c>
      <c r="R1258" s="32" t="n">
        <v>162</v>
      </c>
      <c r="S1258" s="32" t="n">
        <v>1</v>
      </c>
      <c r="T1258" s="32"/>
      <c r="U1258" s="32"/>
      <c r="V1258" s="37"/>
      <c r="W1258" s="32"/>
      <c r="X1258" s="34"/>
      <c r="Y1258" s="34"/>
      <c r="Z1258" s="36"/>
      <c r="AA1258" s="32" t="s">
        <v>7515</v>
      </c>
      <c r="AB1258" s="32"/>
      <c r="AC1258" s="38" t="str">
        <f aca="false">HYPERLINK("https://biocodex6--c.vf.force.com/0014L00000KGDphQAH", "KANTE FATOUMATA")</f>
        <v>KANTE FATOUMATA</v>
      </c>
      <c r="AD1258" s="38"/>
      <c r="AE1258" s="39"/>
      <c r="AF1258" s="40"/>
      <c r="AG1258" s="41"/>
      <c r="AH1258" s="32" t="s">
        <v>179</v>
      </c>
      <c r="AI1258" s="32"/>
      <c r="AL1258" s="32"/>
      <c r="AM1258" s="32"/>
      <c r="AN1258" s="32"/>
      <c r="AO1258" s="32"/>
      <c r="AP1258" s="32"/>
      <c r="AQ1258" s="32"/>
      <c r="AR1258" s="32"/>
      <c r="AS1258" s="32"/>
      <c r="AT1258" s="32"/>
      <c r="AU1258" s="32"/>
      <c r="XEY1258" s="27"/>
      <c r="XEZ1258" s="27"/>
      <c r="XFA1258" s="27"/>
      <c r="XFB1258" s="27"/>
      <c r="XFC1258" s="27"/>
      <c r="XFD1258" s="27"/>
    </row>
    <row r="1259" s="42" customFormat="true" ht="14.15" hidden="false" customHeight="true" outlineLevel="0" collapsed="false">
      <c r="A1259" s="28" t="s">
        <v>7244</v>
      </c>
      <c r="B1259" s="29" t="s">
        <v>7516</v>
      </c>
      <c r="C1259" s="29" t="s">
        <v>7517</v>
      </c>
      <c r="D1259" s="30" t="s">
        <v>50</v>
      </c>
      <c r="E1259" s="31"/>
      <c r="F1259" s="32" t="n">
        <v>65</v>
      </c>
      <c r="G1259" s="31"/>
      <c r="H1259" s="31" t="n">
        <v>1</v>
      </c>
      <c r="I1259" s="31" t="s">
        <v>173</v>
      </c>
      <c r="J1259" s="29"/>
      <c r="K1259" s="29" t="s">
        <v>7010</v>
      </c>
      <c r="L1259" s="32" t="n">
        <v>6</v>
      </c>
      <c r="M1259" s="33" t="s">
        <v>7011</v>
      </c>
      <c r="N1259" s="34" t="n">
        <v>75016</v>
      </c>
      <c r="O1259" s="35" t="s">
        <v>55</v>
      </c>
      <c r="P1259" s="36" t="s">
        <v>7012</v>
      </c>
      <c r="Q1259" s="36" t="n">
        <v>3</v>
      </c>
      <c r="R1259" s="32" t="n">
        <v>162</v>
      </c>
      <c r="S1259" s="32" t="n">
        <v>1</v>
      </c>
      <c r="T1259" s="32"/>
      <c r="U1259" s="32"/>
      <c r="V1259" s="37"/>
      <c r="W1259" s="32"/>
      <c r="X1259" s="34"/>
      <c r="Y1259" s="34"/>
      <c r="Z1259" s="36"/>
      <c r="AA1259" s="32" t="s">
        <v>7518</v>
      </c>
      <c r="AB1259" s="32"/>
      <c r="AC1259" s="38" t="str">
        <f aca="false">HYPERLINK("https://biocodex6--c.vf.force.com/0014L00000KFkUEQA1", "KAHN ALEV")</f>
        <v>KAHN ALEV</v>
      </c>
      <c r="AD1259" s="38"/>
      <c r="AE1259" s="39"/>
      <c r="AF1259" s="40"/>
      <c r="AG1259" s="41"/>
      <c r="AH1259" s="32" t="s">
        <v>179</v>
      </c>
      <c r="AI1259" s="32"/>
      <c r="AL1259" s="32"/>
      <c r="AM1259" s="32"/>
      <c r="AN1259" s="32"/>
      <c r="AO1259" s="32"/>
      <c r="AP1259" s="32"/>
      <c r="AQ1259" s="32"/>
      <c r="AR1259" s="32"/>
      <c r="AS1259" s="32"/>
      <c r="AT1259" s="32"/>
      <c r="AU1259" s="32"/>
      <c r="XEY1259" s="27"/>
      <c r="XEZ1259" s="27"/>
      <c r="XFA1259" s="27"/>
      <c r="XFB1259" s="27"/>
      <c r="XFC1259" s="27"/>
      <c r="XFD1259" s="27"/>
    </row>
    <row r="1260" s="42" customFormat="true" ht="14.15" hidden="false" customHeight="true" outlineLevel="0" collapsed="false">
      <c r="A1260" s="28" t="s">
        <v>7519</v>
      </c>
      <c r="B1260" s="29" t="s">
        <v>7520</v>
      </c>
      <c r="C1260" s="29" t="s">
        <v>7521</v>
      </c>
      <c r="D1260" s="30" t="s">
        <v>50</v>
      </c>
      <c r="E1260" s="31"/>
      <c r="F1260" s="32" t="n">
        <v>37</v>
      </c>
      <c r="G1260" s="31"/>
      <c r="H1260" s="31" t="n">
        <v>1</v>
      </c>
      <c r="I1260" s="31" t="s">
        <v>233</v>
      </c>
      <c r="J1260" s="29"/>
      <c r="K1260" s="29" t="s">
        <v>5947</v>
      </c>
      <c r="L1260" s="32" t="n">
        <v>237</v>
      </c>
      <c r="M1260" s="33" t="s">
        <v>2387</v>
      </c>
      <c r="N1260" s="34" t="n">
        <v>75015</v>
      </c>
      <c r="O1260" s="35" t="s">
        <v>55</v>
      </c>
      <c r="P1260" s="36" t="s">
        <v>5948</v>
      </c>
      <c r="Q1260" s="36" t="n">
        <v>4</v>
      </c>
      <c r="R1260" s="32" t="n">
        <v>162</v>
      </c>
      <c r="S1260" s="32" t="n">
        <v>1</v>
      </c>
      <c r="T1260" s="32"/>
      <c r="U1260" s="32"/>
      <c r="V1260" s="37"/>
      <c r="W1260" s="32"/>
      <c r="X1260" s="34"/>
      <c r="Y1260" s="34"/>
      <c r="Z1260" s="36"/>
      <c r="AA1260" s="32" t="s">
        <v>7522</v>
      </c>
      <c r="AB1260" s="32"/>
      <c r="AC1260" s="38" t="str">
        <f aca="false">HYPERLINK("https://biocodex6--c.vf.force.com/0014L00000KG9FUQA1", "MAHE ANNABELLE")</f>
        <v>MAHE ANNABELLE</v>
      </c>
      <c r="AD1260" s="38"/>
      <c r="AE1260" s="39"/>
      <c r="AF1260" s="40"/>
      <c r="AG1260" s="41"/>
      <c r="AH1260" s="32" t="s">
        <v>179</v>
      </c>
      <c r="AI1260" s="32"/>
      <c r="AL1260" s="32"/>
      <c r="AM1260" s="32"/>
      <c r="AN1260" s="32"/>
      <c r="AO1260" s="32"/>
      <c r="AP1260" s="32"/>
      <c r="AQ1260" s="32"/>
      <c r="AR1260" s="32"/>
      <c r="AS1260" s="32"/>
      <c r="AT1260" s="32"/>
      <c r="AU1260" s="32"/>
      <c r="XEY1260" s="27"/>
      <c r="XEZ1260" s="27"/>
      <c r="XFA1260" s="27"/>
      <c r="XFB1260" s="27"/>
      <c r="XFC1260" s="27"/>
      <c r="XFD1260" s="27"/>
    </row>
    <row r="1261" s="42" customFormat="true" ht="14.15" hidden="false" customHeight="true" outlineLevel="0" collapsed="false">
      <c r="A1261" s="28" t="s">
        <v>7523</v>
      </c>
      <c r="B1261" s="29" t="s">
        <v>848</v>
      </c>
      <c r="C1261" s="29" t="s">
        <v>7524</v>
      </c>
      <c r="D1261" s="30" t="s">
        <v>50</v>
      </c>
      <c r="E1261" s="31"/>
      <c r="F1261" s="32"/>
      <c r="G1261" s="31"/>
      <c r="H1261" s="31" t="n">
        <v>2</v>
      </c>
      <c r="I1261" s="31" t="s">
        <v>197</v>
      </c>
      <c r="J1261" s="29" t="s">
        <v>1915</v>
      </c>
      <c r="K1261" s="29" t="s">
        <v>1916</v>
      </c>
      <c r="L1261" s="32" t="n">
        <v>17</v>
      </c>
      <c r="M1261" s="33" t="s">
        <v>1917</v>
      </c>
      <c r="N1261" s="34" t="n">
        <v>75017</v>
      </c>
      <c r="O1261" s="35" t="s">
        <v>55</v>
      </c>
      <c r="P1261" s="36" t="s">
        <v>7525</v>
      </c>
      <c r="Q1261" s="36" t="n">
        <v>12</v>
      </c>
      <c r="R1261" s="32" t="n">
        <v>161</v>
      </c>
      <c r="S1261" s="32" t="n">
        <v>1</v>
      </c>
      <c r="T1261" s="32"/>
      <c r="U1261" s="32"/>
      <c r="V1261" s="37"/>
      <c r="W1261" s="32"/>
      <c r="X1261" s="34"/>
      <c r="Y1261" s="34"/>
      <c r="Z1261" s="36"/>
      <c r="AA1261" s="32" t="s">
        <v>7526</v>
      </c>
      <c r="AB1261" s="32"/>
      <c r="AC1261" s="38" t="str">
        <f aca="false">HYPERLINK("https://biocodex6--c.vf.force.com/0014L00000KG6yBQAT", "ZAPISESCU NADIA")</f>
        <v>ZAPISESCU NADIA</v>
      </c>
      <c r="AD1261" s="38"/>
      <c r="AE1261" s="39"/>
      <c r="AF1261" s="40"/>
      <c r="AG1261" s="41"/>
      <c r="AH1261" s="32" t="s">
        <v>179</v>
      </c>
      <c r="AI1261" s="32"/>
      <c r="AL1261" s="32"/>
      <c r="AM1261" s="32"/>
      <c r="AN1261" s="32"/>
      <c r="AO1261" s="32"/>
      <c r="AP1261" s="32"/>
      <c r="AQ1261" s="32"/>
      <c r="AR1261" s="32"/>
      <c r="AS1261" s="32"/>
      <c r="AT1261" s="32"/>
      <c r="AU1261" s="32"/>
      <c r="XEY1261" s="27"/>
      <c r="XEZ1261" s="27"/>
      <c r="XFA1261" s="27"/>
      <c r="XFB1261" s="27"/>
      <c r="XFC1261" s="27"/>
      <c r="XFD1261" s="27"/>
    </row>
    <row r="1262" s="42" customFormat="true" ht="14.15" hidden="false" customHeight="true" outlineLevel="0" collapsed="false">
      <c r="A1262" s="28" t="s">
        <v>7527</v>
      </c>
      <c r="B1262" s="29" t="s">
        <v>2038</v>
      </c>
      <c r="C1262" s="29" t="s">
        <v>7528</v>
      </c>
      <c r="D1262" s="30" t="s">
        <v>50</v>
      </c>
      <c r="E1262" s="30" t="s">
        <v>831</v>
      </c>
      <c r="F1262" s="32" t="n">
        <v>68</v>
      </c>
      <c r="G1262" s="31" t="s">
        <v>215</v>
      </c>
      <c r="H1262" s="31" t="n">
        <v>1</v>
      </c>
      <c r="I1262" s="31" t="s">
        <v>173</v>
      </c>
      <c r="J1262" s="29"/>
      <c r="K1262" s="29" t="s">
        <v>7529</v>
      </c>
      <c r="L1262" s="32" t="n">
        <v>80</v>
      </c>
      <c r="M1262" s="33" t="s">
        <v>1637</v>
      </c>
      <c r="N1262" s="34" t="n">
        <v>75016</v>
      </c>
      <c r="O1262" s="35" t="s">
        <v>55</v>
      </c>
      <c r="P1262" s="36" t="s">
        <v>7530</v>
      </c>
      <c r="Q1262" s="36" t="n">
        <v>1</v>
      </c>
      <c r="R1262" s="32" t="n">
        <v>161</v>
      </c>
      <c r="S1262" s="32" t="n">
        <v>1</v>
      </c>
      <c r="T1262" s="32"/>
      <c r="U1262" s="32"/>
      <c r="V1262" s="37"/>
      <c r="W1262" s="32"/>
      <c r="X1262" s="34"/>
      <c r="Y1262" s="34"/>
      <c r="Z1262" s="36"/>
      <c r="AA1262" s="32" t="s">
        <v>7531</v>
      </c>
      <c r="AB1262" s="32" t="s">
        <v>7532</v>
      </c>
      <c r="AC1262" s="38" t="str">
        <f aca="false">HYPERLINK("https://biocodex6--c.vf.force.com/0014L00000KFXibQAH", "COUDERT ANNIE")</f>
        <v>COUDERT ANNIE</v>
      </c>
      <c r="AD1262" s="38" t="str">
        <f aca="false">HYPERLINK("https://annuairesante.ameli.fr/professionnels-de-sante/recherche/fiche-detaillee-B7c1ljYyMTq3.html", "COUDERT ANNIE")</f>
        <v>COUDERT ANNIE</v>
      </c>
      <c r="AE1262" s="39"/>
      <c r="AF1262" s="40"/>
      <c r="AG1262" s="41"/>
      <c r="AH1262" s="32" t="s">
        <v>179</v>
      </c>
      <c r="AI1262" s="32"/>
      <c r="AL1262" s="32"/>
      <c r="AM1262" s="32"/>
      <c r="AN1262" s="32"/>
      <c r="AO1262" s="32"/>
      <c r="AP1262" s="32"/>
      <c r="AQ1262" s="32"/>
      <c r="AR1262" s="32"/>
      <c r="AS1262" s="32"/>
      <c r="AT1262" s="32"/>
      <c r="AU1262" s="32"/>
      <c r="XEY1262" s="27"/>
      <c r="XEZ1262" s="27"/>
      <c r="XFA1262" s="27"/>
      <c r="XFB1262" s="27"/>
      <c r="XFC1262" s="27"/>
      <c r="XFD1262" s="27"/>
    </row>
    <row r="1263" s="42" customFormat="true" ht="14.15" hidden="false" customHeight="true" outlineLevel="0" collapsed="false">
      <c r="A1263" s="28" t="s">
        <v>7533</v>
      </c>
      <c r="B1263" s="29" t="s">
        <v>7534</v>
      </c>
      <c r="C1263" s="29" t="s">
        <v>7535</v>
      </c>
      <c r="D1263" s="30" t="s">
        <v>50</v>
      </c>
      <c r="E1263" s="30" t="s">
        <v>2281</v>
      </c>
      <c r="F1263" s="32" t="n">
        <v>35</v>
      </c>
      <c r="G1263" s="31"/>
      <c r="H1263" s="31" t="n">
        <v>1</v>
      </c>
      <c r="I1263" s="31" t="s">
        <v>99</v>
      </c>
      <c r="J1263" s="29" t="s">
        <v>595</v>
      </c>
      <c r="K1263" s="29" t="s">
        <v>596</v>
      </c>
      <c r="L1263" s="32" t="n">
        <v>20</v>
      </c>
      <c r="M1263" s="33" t="s">
        <v>597</v>
      </c>
      <c r="N1263" s="34" t="n">
        <v>75015</v>
      </c>
      <c r="O1263" s="35" t="s">
        <v>55</v>
      </c>
      <c r="P1263" s="36" t="s">
        <v>4409</v>
      </c>
      <c r="Q1263" s="36" t="n">
        <v>90</v>
      </c>
      <c r="R1263" s="32" t="n">
        <v>160</v>
      </c>
      <c r="S1263" s="32" t="n">
        <v>1</v>
      </c>
      <c r="T1263" s="32"/>
      <c r="U1263" s="32"/>
      <c r="V1263" s="37"/>
      <c r="W1263" s="32"/>
      <c r="X1263" s="34"/>
      <c r="Y1263" s="34"/>
      <c r="Z1263" s="36"/>
      <c r="AA1263" s="32" t="s">
        <v>7536</v>
      </c>
      <c r="AB1263" s="32"/>
      <c r="AC1263" s="38" t="str">
        <f aca="false">HYPERLINK("https://biocodex6--c.vf.force.com/0014L00000KGBwmQAH", "MALET VALENTINE")</f>
        <v>MALET VALENTINE</v>
      </c>
      <c r="AD1263" s="38"/>
      <c r="AE1263" s="39" t="n">
        <v>45337.4583333333</v>
      </c>
      <c r="AF1263" s="40"/>
      <c r="AG1263" s="41"/>
      <c r="AH1263" s="32" t="s">
        <v>179</v>
      </c>
      <c r="AI1263" s="32"/>
      <c r="AL1263" s="32"/>
      <c r="AM1263" s="32"/>
      <c r="AN1263" s="32"/>
      <c r="AO1263" s="32"/>
      <c r="AP1263" s="32"/>
      <c r="AQ1263" s="32"/>
      <c r="AR1263" s="32"/>
      <c r="AS1263" s="32"/>
      <c r="AT1263" s="32"/>
      <c r="AU1263" s="32"/>
      <c r="XEY1263" s="27"/>
      <c r="XEZ1263" s="27"/>
      <c r="XFA1263" s="27"/>
      <c r="XFB1263" s="27"/>
      <c r="XFC1263" s="27"/>
      <c r="XFD1263" s="27"/>
    </row>
    <row r="1264" s="42" customFormat="true" ht="14.15" hidden="false" customHeight="true" outlineLevel="0" collapsed="false">
      <c r="A1264" s="28" t="s">
        <v>7537</v>
      </c>
      <c r="B1264" s="29" t="s">
        <v>7538</v>
      </c>
      <c r="C1264" s="29" t="s">
        <v>7539</v>
      </c>
      <c r="D1264" s="30" t="s">
        <v>50</v>
      </c>
      <c r="E1264" s="30" t="s">
        <v>344</v>
      </c>
      <c r="F1264" s="32" t="n">
        <v>0</v>
      </c>
      <c r="G1264" s="31"/>
      <c r="H1264" s="31" t="n">
        <v>1</v>
      </c>
      <c r="I1264" s="31" t="s">
        <v>99</v>
      </c>
      <c r="J1264" s="29" t="s">
        <v>595</v>
      </c>
      <c r="K1264" s="29" t="s">
        <v>596</v>
      </c>
      <c r="L1264" s="32" t="n">
        <v>20</v>
      </c>
      <c r="M1264" s="33" t="s">
        <v>597</v>
      </c>
      <c r="N1264" s="34" t="n">
        <v>75015</v>
      </c>
      <c r="O1264" s="35" t="s">
        <v>55</v>
      </c>
      <c r="P1264" s="36" t="s">
        <v>4409</v>
      </c>
      <c r="Q1264" s="36" t="n">
        <v>90</v>
      </c>
      <c r="R1264" s="32" t="n">
        <v>160</v>
      </c>
      <c r="S1264" s="32" t="n">
        <v>1</v>
      </c>
      <c r="T1264" s="32"/>
      <c r="U1264" s="32"/>
      <c r="V1264" s="37"/>
      <c r="W1264" s="32"/>
      <c r="X1264" s="34"/>
      <c r="Y1264" s="34"/>
      <c r="Z1264" s="36"/>
      <c r="AA1264" s="32"/>
      <c r="AB1264" s="32"/>
      <c r="AC1264" s="38"/>
      <c r="AD1264" s="38"/>
      <c r="AE1264" s="39"/>
      <c r="AF1264" s="40"/>
      <c r="AG1264" s="45"/>
      <c r="AH1264" s="32" t="s">
        <v>179</v>
      </c>
      <c r="AI1264" s="32"/>
      <c r="AL1264" s="32"/>
      <c r="AM1264" s="32"/>
      <c r="AN1264" s="32"/>
      <c r="AO1264" s="32"/>
      <c r="AP1264" s="32"/>
      <c r="AQ1264" s="32"/>
      <c r="AR1264" s="32"/>
      <c r="AS1264" s="32"/>
      <c r="AT1264" s="32"/>
      <c r="AU1264" s="32"/>
      <c r="XEY1264" s="27"/>
      <c r="XEZ1264" s="27"/>
      <c r="XFA1264" s="27"/>
      <c r="XFB1264" s="27"/>
      <c r="XFC1264" s="27"/>
      <c r="XFD1264" s="27"/>
    </row>
    <row r="1265" s="42" customFormat="true" ht="14.15" hidden="false" customHeight="true" outlineLevel="0" collapsed="false">
      <c r="A1265" s="28" t="s">
        <v>4647</v>
      </c>
      <c r="B1265" s="29" t="s">
        <v>7540</v>
      </c>
      <c r="C1265" s="29" t="s">
        <v>7541</v>
      </c>
      <c r="D1265" s="30" t="s">
        <v>50</v>
      </c>
      <c r="E1265" s="31"/>
      <c r="F1265" s="32" t="n">
        <v>35</v>
      </c>
      <c r="G1265" s="31"/>
      <c r="H1265" s="31" t="n">
        <v>2</v>
      </c>
      <c r="I1265" s="31" t="s">
        <v>572</v>
      </c>
      <c r="J1265" s="29" t="s">
        <v>678</v>
      </c>
      <c r="K1265" s="29" t="s">
        <v>679</v>
      </c>
      <c r="L1265" s="32" t="n">
        <v>6</v>
      </c>
      <c r="M1265" s="33" t="s">
        <v>680</v>
      </c>
      <c r="N1265" s="34" t="n">
        <v>75008</v>
      </c>
      <c r="O1265" s="35" t="s">
        <v>55</v>
      </c>
      <c r="P1265" s="36" t="s">
        <v>870</v>
      </c>
      <c r="Q1265" s="36" t="n">
        <v>43</v>
      </c>
      <c r="R1265" s="32" t="n">
        <v>160</v>
      </c>
      <c r="S1265" s="32" t="n">
        <v>1</v>
      </c>
      <c r="T1265" s="32"/>
      <c r="U1265" s="32"/>
      <c r="V1265" s="37"/>
      <c r="W1265" s="32"/>
      <c r="X1265" s="34"/>
      <c r="Y1265" s="34"/>
      <c r="Z1265" s="36"/>
      <c r="AA1265" s="32" t="s">
        <v>7542</v>
      </c>
      <c r="AB1265" s="32"/>
      <c r="AC1265" s="38" t="str">
        <f aca="false">HYPERLINK("https://biocodex6--c.vf.force.com/0014L00000KGBJ4QAP", "GUEDJ SAMUEL")</f>
        <v>GUEDJ SAMUEL</v>
      </c>
      <c r="AD1265" s="38"/>
      <c r="AE1265" s="39"/>
      <c r="AF1265" s="40"/>
      <c r="AG1265" s="41"/>
      <c r="AH1265" s="32" t="s">
        <v>179</v>
      </c>
      <c r="AI1265" s="32"/>
      <c r="AL1265" s="32"/>
      <c r="AM1265" s="32"/>
      <c r="AN1265" s="32"/>
      <c r="AO1265" s="32"/>
      <c r="AP1265" s="32"/>
      <c r="AQ1265" s="32"/>
      <c r="AR1265" s="32"/>
      <c r="AS1265" s="32"/>
      <c r="AT1265" s="32"/>
      <c r="AU1265" s="32"/>
      <c r="XEY1265" s="27"/>
      <c r="XEZ1265" s="27"/>
      <c r="XFA1265" s="27"/>
      <c r="XFB1265" s="27"/>
      <c r="XFC1265" s="27"/>
      <c r="XFD1265" s="27"/>
    </row>
    <row r="1266" s="42" customFormat="true" ht="14.15" hidden="false" customHeight="true" outlineLevel="0" collapsed="false">
      <c r="A1266" s="28" t="s">
        <v>7543</v>
      </c>
      <c r="B1266" s="29" t="s">
        <v>1304</v>
      </c>
      <c r="C1266" s="29" t="s">
        <v>7544</v>
      </c>
      <c r="D1266" s="30" t="s">
        <v>50</v>
      </c>
      <c r="E1266" s="30" t="s">
        <v>2281</v>
      </c>
      <c r="F1266" s="32" t="n">
        <v>41</v>
      </c>
      <c r="G1266" s="31"/>
      <c r="H1266" s="31" t="n">
        <v>2</v>
      </c>
      <c r="I1266" s="31" t="s">
        <v>99</v>
      </c>
      <c r="J1266" s="29" t="s">
        <v>595</v>
      </c>
      <c r="K1266" s="29" t="s">
        <v>596</v>
      </c>
      <c r="L1266" s="32" t="n">
        <v>20</v>
      </c>
      <c r="M1266" s="33" t="s">
        <v>597</v>
      </c>
      <c r="N1266" s="34" t="n">
        <v>75015</v>
      </c>
      <c r="O1266" s="35" t="s">
        <v>55</v>
      </c>
      <c r="P1266" s="36" t="s">
        <v>4409</v>
      </c>
      <c r="Q1266" s="36" t="n">
        <v>90</v>
      </c>
      <c r="R1266" s="32" t="n">
        <v>160</v>
      </c>
      <c r="S1266" s="32" t="n">
        <v>1</v>
      </c>
      <c r="T1266" s="32"/>
      <c r="U1266" s="32"/>
      <c r="V1266" s="37"/>
      <c r="W1266" s="32"/>
      <c r="X1266" s="34"/>
      <c r="Y1266" s="34"/>
      <c r="Z1266" s="36"/>
      <c r="AA1266" s="32" t="s">
        <v>7545</v>
      </c>
      <c r="AB1266" s="32"/>
      <c r="AC1266" s="38" t="str">
        <f aca="false">HYPERLINK("https://biocodex6--c.vf.force.com/0014L00000KFQ8bQAH", "MOREAU AELION PAULINE")</f>
        <v>MOREAU AELION PAULINE</v>
      </c>
      <c r="AD1266" s="38"/>
      <c r="AE1266" s="39"/>
      <c r="AF1266" s="40"/>
      <c r="AG1266" s="41"/>
      <c r="AH1266" s="32" t="s">
        <v>179</v>
      </c>
      <c r="AI1266" s="32"/>
      <c r="AL1266" s="32"/>
      <c r="AM1266" s="32"/>
      <c r="AN1266" s="32"/>
      <c r="AO1266" s="32"/>
      <c r="AP1266" s="32"/>
      <c r="AQ1266" s="32"/>
      <c r="AR1266" s="32"/>
      <c r="AS1266" s="32"/>
      <c r="AT1266" s="32"/>
      <c r="AU1266" s="32"/>
      <c r="XEY1266" s="27"/>
      <c r="XEZ1266" s="27"/>
      <c r="XFA1266" s="27"/>
      <c r="XFB1266" s="27"/>
      <c r="XFC1266" s="27"/>
      <c r="XFD1266" s="27"/>
    </row>
    <row r="1267" s="42" customFormat="true" ht="14.15" hidden="false" customHeight="true" outlineLevel="0" collapsed="false">
      <c r="A1267" s="28" t="s">
        <v>7546</v>
      </c>
      <c r="B1267" s="29" t="s">
        <v>3874</v>
      </c>
      <c r="C1267" s="29" t="s">
        <v>7547</v>
      </c>
      <c r="D1267" s="30" t="s">
        <v>244</v>
      </c>
      <c r="E1267" s="30" t="s">
        <v>245</v>
      </c>
      <c r="F1267" s="32" t="n">
        <v>54</v>
      </c>
      <c r="G1267" s="31" t="s">
        <v>215</v>
      </c>
      <c r="H1267" s="31" t="n">
        <v>3</v>
      </c>
      <c r="I1267" s="31" t="s">
        <v>197</v>
      </c>
      <c r="J1267" s="29"/>
      <c r="K1267" s="29" t="s">
        <v>7548</v>
      </c>
      <c r="L1267" s="32" t="n">
        <v>45</v>
      </c>
      <c r="M1267" s="33" t="s">
        <v>646</v>
      </c>
      <c r="N1267" s="34" t="n">
        <v>75017</v>
      </c>
      <c r="O1267" s="35" t="s">
        <v>55</v>
      </c>
      <c r="P1267" s="36" t="s">
        <v>7549</v>
      </c>
      <c r="Q1267" s="36" t="n">
        <v>2</v>
      </c>
      <c r="R1267" s="32" t="n">
        <v>160</v>
      </c>
      <c r="S1267" s="32" t="n">
        <v>1</v>
      </c>
      <c r="T1267" s="32"/>
      <c r="U1267" s="32"/>
      <c r="V1267" s="37"/>
      <c r="W1267" s="32"/>
      <c r="X1267" s="34"/>
      <c r="Y1267" s="34"/>
      <c r="Z1267" s="36" t="s">
        <v>7550</v>
      </c>
      <c r="AA1267" s="32" t="s">
        <v>7551</v>
      </c>
      <c r="AB1267" s="32" t="s">
        <v>7552</v>
      </c>
      <c r="AC1267" s="38" t="str">
        <f aca="false">HYPERLINK("https://biocodex6--c.vf.force.com/0014L00000KFaUDQA1", "FEYEREISEN ESTELLE")</f>
        <v>FEYEREISEN ESTELLE</v>
      </c>
      <c r="AD1267" s="38" t="str">
        <f aca="false">HYPERLINK("https://annuairesante.ameli.fr/professionnels-de-sante/recherche/fiche-detaillee-B7c1mzsxMzG2.html", "FEYEREISEN ESTELLE")</f>
        <v>FEYEREISEN ESTELLE</v>
      </c>
      <c r="AE1267" s="39"/>
      <c r="AF1267" s="40"/>
      <c r="AG1267" s="41"/>
      <c r="AH1267" s="32" t="s">
        <v>179</v>
      </c>
      <c r="AI1267" s="32"/>
      <c r="AL1267" s="32"/>
      <c r="AM1267" s="32"/>
      <c r="AN1267" s="32"/>
      <c r="AO1267" s="32"/>
      <c r="AP1267" s="32"/>
      <c r="AQ1267" s="32"/>
      <c r="AR1267" s="32"/>
      <c r="AS1267" s="32"/>
      <c r="AT1267" s="32"/>
      <c r="AU1267" s="32"/>
      <c r="XEY1267" s="27"/>
      <c r="XEZ1267" s="27"/>
      <c r="XFA1267" s="27"/>
      <c r="XFB1267" s="27"/>
      <c r="XFC1267" s="27"/>
      <c r="XFD1267" s="27"/>
    </row>
    <row r="1268" s="42" customFormat="true" ht="14.15" hidden="false" customHeight="true" outlineLevel="0" collapsed="false">
      <c r="A1268" s="28" t="s">
        <v>7553</v>
      </c>
      <c r="B1268" s="29" t="s">
        <v>7554</v>
      </c>
      <c r="C1268" s="29" t="s">
        <v>7555</v>
      </c>
      <c r="D1268" s="30" t="s">
        <v>75</v>
      </c>
      <c r="E1268" s="31"/>
      <c r="F1268" s="32" t="n">
        <v>43</v>
      </c>
      <c r="G1268" s="31" t="s">
        <v>215</v>
      </c>
      <c r="H1268" s="31" t="n">
        <v>2</v>
      </c>
      <c r="I1268" s="31" t="s">
        <v>295</v>
      </c>
      <c r="J1268" s="29"/>
      <c r="K1268" s="29" t="s">
        <v>7556</v>
      </c>
      <c r="L1268" s="32" t="n">
        <v>55</v>
      </c>
      <c r="M1268" s="33" t="s">
        <v>7557</v>
      </c>
      <c r="N1268" s="34" t="n">
        <v>92300</v>
      </c>
      <c r="O1268" s="35" t="s">
        <v>298</v>
      </c>
      <c r="P1268" s="36" t="s">
        <v>7558</v>
      </c>
      <c r="Q1268" s="36" t="n">
        <v>1</v>
      </c>
      <c r="R1268" s="32" t="n">
        <v>159</v>
      </c>
      <c r="S1268" s="32" t="n">
        <v>1</v>
      </c>
      <c r="T1268" s="32"/>
      <c r="U1268" s="32" t="n">
        <v>3</v>
      </c>
      <c r="V1268" s="37"/>
      <c r="W1268" s="32" t="n">
        <v>3</v>
      </c>
      <c r="X1268" s="34"/>
      <c r="Y1268" s="34" t="n">
        <v>1</v>
      </c>
      <c r="Z1268" s="36"/>
      <c r="AA1268" s="32" t="s">
        <v>7559</v>
      </c>
      <c r="AB1268" s="44" t="s">
        <v>7560</v>
      </c>
      <c r="AC1268" s="38" t="str">
        <f aca="false">HYPERLINK("https://biocodex6--c.vf.force.com/0014L00000KFVU2QAP", "BUZAGLO BRAUN GAELLE")</f>
        <v>BUZAGLO BRAUN GAELLE</v>
      </c>
      <c r="AD1268" s="38" t="str">
        <f aca="false">HYPERLINK("https://annuairesante.ameli.fr/professionnels-de-sante/recherche/fiche-detaillee-CbA1kDI5ODGz.html", "BUZAGLO BRAUN GAELLE")</f>
        <v>BUZAGLO BRAUN GAELLE</v>
      </c>
      <c r="AE1268" s="39" t="n">
        <v>45327.5208333333</v>
      </c>
      <c r="AF1268" s="40"/>
      <c r="AG1268" s="41"/>
      <c r="AH1268" s="32" t="s">
        <v>179</v>
      </c>
      <c r="AI1268" s="32"/>
      <c r="AL1268" s="32"/>
      <c r="AM1268" s="32"/>
      <c r="AN1268" s="32"/>
      <c r="AO1268" s="32"/>
      <c r="AP1268" s="32"/>
      <c r="AQ1268" s="32"/>
      <c r="AR1268" s="32"/>
      <c r="AS1268" s="32"/>
      <c r="AT1268" s="32"/>
      <c r="AU1268" s="32"/>
      <c r="XEY1268" s="27"/>
      <c r="XEZ1268" s="27"/>
      <c r="XFA1268" s="27"/>
      <c r="XFB1268" s="27"/>
      <c r="XFC1268" s="27"/>
      <c r="XFD1268" s="27"/>
    </row>
    <row r="1269" s="42" customFormat="true" ht="14.15" hidden="false" customHeight="true" outlineLevel="0" collapsed="false">
      <c r="A1269" s="28" t="s">
        <v>7014</v>
      </c>
      <c r="B1269" s="29" t="s">
        <v>4325</v>
      </c>
      <c r="C1269" s="29" t="s">
        <v>7561</v>
      </c>
      <c r="D1269" s="30" t="s">
        <v>50</v>
      </c>
      <c r="E1269" s="31"/>
      <c r="F1269" s="32" t="n">
        <v>36</v>
      </c>
      <c r="G1269" s="31"/>
      <c r="H1269" s="31" t="n">
        <v>2</v>
      </c>
      <c r="I1269" s="31" t="s">
        <v>387</v>
      </c>
      <c r="J1269" s="29" t="s">
        <v>3242</v>
      </c>
      <c r="K1269" s="29" t="s">
        <v>3243</v>
      </c>
      <c r="L1269" s="32" t="n">
        <v>11</v>
      </c>
      <c r="M1269" s="33" t="s">
        <v>3244</v>
      </c>
      <c r="N1269" s="34" t="n">
        <v>75016</v>
      </c>
      <c r="O1269" s="35" t="s">
        <v>55</v>
      </c>
      <c r="P1269" s="36" t="s">
        <v>7562</v>
      </c>
      <c r="Q1269" s="36" t="n">
        <v>15</v>
      </c>
      <c r="R1269" s="32" t="n">
        <v>159</v>
      </c>
      <c r="S1269" s="32" t="n">
        <v>1</v>
      </c>
      <c r="T1269" s="32"/>
      <c r="U1269" s="32"/>
      <c r="V1269" s="37"/>
      <c r="W1269" s="32"/>
      <c r="X1269" s="34" t="n">
        <v>1</v>
      </c>
      <c r="Y1269" s="34"/>
      <c r="Z1269" s="32"/>
      <c r="AA1269" s="32" t="s">
        <v>7563</v>
      </c>
      <c r="AB1269" s="32"/>
      <c r="AC1269" s="38" t="str">
        <f aca="false">HYPERLINK("https://biocodex6--c.vf.force.com/0014L00000KFPBjQAP", "DE WITASSE THEZY ALBANE")</f>
        <v>DE WITASSE THEZY ALBANE</v>
      </c>
      <c r="AD1269" s="38"/>
      <c r="AE1269" s="39" t="n">
        <v>45282.4791666667</v>
      </c>
      <c r="AF1269" s="40" t="s">
        <v>7564</v>
      </c>
      <c r="AG1269" s="41"/>
      <c r="AH1269" s="32"/>
      <c r="AI1269" s="32"/>
      <c r="AL1269" s="32"/>
      <c r="AM1269" s="32"/>
      <c r="AN1269" s="32"/>
      <c r="AO1269" s="32"/>
      <c r="AP1269" s="32"/>
      <c r="AQ1269" s="32"/>
      <c r="AR1269" s="32"/>
      <c r="AS1269" s="32"/>
      <c r="AT1269" s="32"/>
      <c r="AU1269" s="32"/>
      <c r="XEY1269" s="27"/>
      <c r="XEZ1269" s="27"/>
      <c r="XFA1269" s="27"/>
      <c r="XFB1269" s="27"/>
      <c r="XFC1269" s="27"/>
      <c r="XFD1269" s="27"/>
    </row>
    <row r="1270" s="42" customFormat="true" ht="14.15" hidden="false" customHeight="true" outlineLevel="0" collapsed="false">
      <c r="A1270" s="28" t="s">
        <v>7565</v>
      </c>
      <c r="B1270" s="29" t="s">
        <v>3420</v>
      </c>
      <c r="C1270" s="29" t="s">
        <v>7566</v>
      </c>
      <c r="D1270" s="30" t="s">
        <v>50</v>
      </c>
      <c r="E1270" s="30" t="s">
        <v>7354</v>
      </c>
      <c r="F1270" s="32" t="n">
        <v>65</v>
      </c>
      <c r="G1270" s="31"/>
      <c r="H1270" s="31" t="n">
        <v>1</v>
      </c>
      <c r="I1270" s="31" t="s">
        <v>99</v>
      </c>
      <c r="J1270" s="29" t="s">
        <v>595</v>
      </c>
      <c r="K1270" s="29" t="s">
        <v>596</v>
      </c>
      <c r="L1270" s="32" t="n">
        <v>20</v>
      </c>
      <c r="M1270" s="33" t="s">
        <v>597</v>
      </c>
      <c r="N1270" s="34" t="n">
        <v>75015</v>
      </c>
      <c r="O1270" s="35" t="s">
        <v>55</v>
      </c>
      <c r="P1270" s="36" t="s">
        <v>7567</v>
      </c>
      <c r="Q1270" s="36" t="n">
        <v>90</v>
      </c>
      <c r="R1270" s="32" t="n">
        <v>159</v>
      </c>
      <c r="S1270" s="32" t="n">
        <v>1</v>
      </c>
      <c r="T1270" s="32"/>
      <c r="U1270" s="32"/>
      <c r="V1270" s="37"/>
      <c r="W1270" s="32"/>
      <c r="X1270" s="34"/>
      <c r="Y1270" s="34"/>
      <c r="Z1270" s="36"/>
      <c r="AA1270" s="32" t="s">
        <v>7568</v>
      </c>
      <c r="AB1270" s="32"/>
      <c r="AC1270" s="38" t="str">
        <f aca="false">HYPERLINK("https://biocodex6--c.vf.force.com/0014L00000KFRwMQAX", "BATTAGLIA CHRISTIANE")</f>
        <v>BATTAGLIA CHRISTIANE</v>
      </c>
      <c r="AD1270" s="38"/>
      <c r="AE1270" s="39"/>
      <c r="AF1270" s="40"/>
      <c r="AG1270" s="41"/>
      <c r="AH1270" s="32" t="s">
        <v>179</v>
      </c>
      <c r="AI1270" s="32"/>
      <c r="AL1270" s="32"/>
      <c r="AM1270" s="32"/>
      <c r="AN1270" s="32"/>
      <c r="AO1270" s="32"/>
      <c r="AP1270" s="32"/>
      <c r="AQ1270" s="32"/>
      <c r="AR1270" s="32"/>
      <c r="AS1270" s="32"/>
      <c r="AT1270" s="32"/>
      <c r="AU1270" s="32"/>
      <c r="XEY1270" s="27"/>
      <c r="XEZ1270" s="27"/>
      <c r="XFA1270" s="27"/>
      <c r="XFB1270" s="27"/>
      <c r="XFC1270" s="27"/>
      <c r="XFD1270" s="27"/>
    </row>
    <row r="1271" s="42" customFormat="true" ht="14.15" hidden="false" customHeight="true" outlineLevel="0" collapsed="false">
      <c r="A1271" s="28" t="s">
        <v>7569</v>
      </c>
      <c r="B1271" s="29" t="s">
        <v>429</v>
      </c>
      <c r="C1271" s="29" t="s">
        <v>7570</v>
      </c>
      <c r="D1271" s="30" t="s">
        <v>50</v>
      </c>
      <c r="E1271" s="31"/>
      <c r="F1271" s="32" t="n">
        <v>37</v>
      </c>
      <c r="G1271" s="31"/>
      <c r="H1271" s="31" t="n">
        <v>1</v>
      </c>
      <c r="I1271" s="31" t="s">
        <v>99</v>
      </c>
      <c r="J1271" s="29" t="s">
        <v>595</v>
      </c>
      <c r="K1271" s="29" t="s">
        <v>596</v>
      </c>
      <c r="L1271" s="32" t="n">
        <v>20</v>
      </c>
      <c r="M1271" s="33" t="s">
        <v>597</v>
      </c>
      <c r="N1271" s="34" t="n">
        <v>75015</v>
      </c>
      <c r="O1271" s="35" t="s">
        <v>55</v>
      </c>
      <c r="P1271" s="36" t="s">
        <v>4409</v>
      </c>
      <c r="Q1271" s="36" t="n">
        <v>90</v>
      </c>
      <c r="R1271" s="32" t="n">
        <v>159</v>
      </c>
      <c r="S1271" s="32" t="n">
        <v>1</v>
      </c>
      <c r="T1271" s="32"/>
      <c r="U1271" s="32"/>
      <c r="V1271" s="37"/>
      <c r="W1271" s="32"/>
      <c r="X1271" s="34"/>
      <c r="Y1271" s="34"/>
      <c r="Z1271" s="36"/>
      <c r="AA1271" s="32" t="s">
        <v>7571</v>
      </c>
      <c r="AB1271" s="32"/>
      <c r="AC1271" s="38" t="str">
        <f aca="false">HYPERLINK("https://biocodex6--c.vf.force.com/0014L00000KG9OJQA1", "FONS GUILLAUME")</f>
        <v>FONS GUILLAUME</v>
      </c>
      <c r="AD1271" s="38"/>
      <c r="AE1271" s="39"/>
      <c r="AF1271" s="40"/>
      <c r="AG1271" s="41"/>
      <c r="AH1271" s="32" t="s">
        <v>179</v>
      </c>
      <c r="AI1271" s="32"/>
      <c r="AL1271" s="32"/>
      <c r="AM1271" s="32"/>
      <c r="AN1271" s="32"/>
      <c r="AO1271" s="32"/>
      <c r="AP1271" s="32"/>
      <c r="AQ1271" s="32"/>
      <c r="AR1271" s="32"/>
      <c r="AS1271" s="32"/>
      <c r="AT1271" s="32"/>
      <c r="AU1271" s="32"/>
      <c r="XEY1271" s="27"/>
      <c r="XEZ1271" s="27"/>
      <c r="XFA1271" s="27"/>
      <c r="XFB1271" s="27"/>
      <c r="XFC1271" s="27"/>
      <c r="XFD1271" s="27"/>
    </row>
    <row r="1272" s="42" customFormat="true" ht="14.15" hidden="false" customHeight="true" outlineLevel="0" collapsed="false">
      <c r="A1272" s="28" t="s">
        <v>7572</v>
      </c>
      <c r="B1272" s="29" t="s">
        <v>3346</v>
      </c>
      <c r="C1272" s="29" t="s">
        <v>7573</v>
      </c>
      <c r="D1272" s="30" t="s">
        <v>50</v>
      </c>
      <c r="E1272" s="30" t="s">
        <v>245</v>
      </c>
      <c r="F1272" s="32" t="n">
        <v>42</v>
      </c>
      <c r="G1272" s="31"/>
      <c r="H1272" s="31" t="n">
        <v>1</v>
      </c>
      <c r="I1272" s="31" t="s">
        <v>99</v>
      </c>
      <c r="J1272" s="29" t="s">
        <v>595</v>
      </c>
      <c r="K1272" s="29" t="s">
        <v>596</v>
      </c>
      <c r="L1272" s="32" t="n">
        <v>20</v>
      </c>
      <c r="M1272" s="33" t="s">
        <v>597</v>
      </c>
      <c r="N1272" s="34" t="n">
        <v>75015</v>
      </c>
      <c r="O1272" s="35" t="s">
        <v>55</v>
      </c>
      <c r="P1272" s="36" t="s">
        <v>7574</v>
      </c>
      <c r="Q1272" s="36" t="n">
        <v>90</v>
      </c>
      <c r="R1272" s="32" t="n">
        <v>159</v>
      </c>
      <c r="S1272" s="32" t="n">
        <v>1</v>
      </c>
      <c r="T1272" s="32"/>
      <c r="U1272" s="32"/>
      <c r="V1272" s="37"/>
      <c r="W1272" s="32"/>
      <c r="X1272" s="34"/>
      <c r="Y1272" s="34"/>
      <c r="Z1272" s="36"/>
      <c r="AA1272" s="32" t="s">
        <v>7575</v>
      </c>
      <c r="AB1272" s="32"/>
      <c r="AC1272" s="38" t="str">
        <f aca="false">HYPERLINK("https://biocodex6--c.vf.force.com/0014L00000KFmCMQA1", "LE GUEN JULIEN")</f>
        <v>LE GUEN JULIEN</v>
      </c>
      <c r="AD1272" s="38"/>
      <c r="AE1272" s="39"/>
      <c r="AF1272" s="40"/>
      <c r="AG1272" s="41"/>
      <c r="AH1272" s="32" t="s">
        <v>179</v>
      </c>
      <c r="AI1272" s="32"/>
      <c r="AL1272" s="32"/>
      <c r="AM1272" s="32"/>
      <c r="AN1272" s="32"/>
      <c r="AO1272" s="32"/>
      <c r="AP1272" s="32"/>
      <c r="AQ1272" s="32"/>
      <c r="AR1272" s="32"/>
      <c r="AS1272" s="32"/>
      <c r="AT1272" s="32"/>
      <c r="AU1272" s="32"/>
      <c r="XEY1272" s="27"/>
      <c r="XEZ1272" s="27"/>
      <c r="XFA1272" s="27"/>
      <c r="XFB1272" s="27"/>
      <c r="XFC1272" s="27"/>
      <c r="XFD1272" s="27"/>
    </row>
    <row r="1273" s="42" customFormat="true" ht="14.15" hidden="false" customHeight="true" outlineLevel="0" collapsed="false">
      <c r="A1273" s="28" t="s">
        <v>7576</v>
      </c>
      <c r="B1273" s="29" t="s">
        <v>7577</v>
      </c>
      <c r="C1273" s="29" t="s">
        <v>7578</v>
      </c>
      <c r="D1273" s="30" t="s">
        <v>50</v>
      </c>
      <c r="E1273" s="30" t="s">
        <v>2281</v>
      </c>
      <c r="F1273" s="32" t="n">
        <v>60</v>
      </c>
      <c r="G1273" s="31"/>
      <c r="H1273" s="31" t="n">
        <v>1</v>
      </c>
      <c r="I1273" s="31" t="s">
        <v>99</v>
      </c>
      <c r="J1273" s="29" t="s">
        <v>595</v>
      </c>
      <c r="K1273" s="29" t="s">
        <v>596</v>
      </c>
      <c r="L1273" s="32" t="n">
        <v>20</v>
      </c>
      <c r="M1273" s="33" t="s">
        <v>597</v>
      </c>
      <c r="N1273" s="34" t="n">
        <v>75015</v>
      </c>
      <c r="O1273" s="35" t="s">
        <v>55</v>
      </c>
      <c r="P1273" s="36" t="s">
        <v>4409</v>
      </c>
      <c r="Q1273" s="36" t="n">
        <v>90</v>
      </c>
      <c r="R1273" s="32" t="n">
        <v>159</v>
      </c>
      <c r="S1273" s="32" t="n">
        <v>1</v>
      </c>
      <c r="T1273" s="32"/>
      <c r="U1273" s="32"/>
      <c r="V1273" s="37"/>
      <c r="W1273" s="32"/>
      <c r="X1273" s="34"/>
      <c r="Y1273" s="34"/>
      <c r="Z1273" s="36"/>
      <c r="AA1273" s="32" t="s">
        <v>7579</v>
      </c>
      <c r="AB1273" s="32"/>
      <c r="AC1273" s="38" t="str">
        <f aca="false">HYPERLINK("https://biocodex6--c.vf.force.com/0014L00000KFreUQAT", "MASMOUDI RAFIK")</f>
        <v>MASMOUDI RAFIK</v>
      </c>
      <c r="AD1273" s="38"/>
      <c r="AE1273" s="39"/>
      <c r="AF1273" s="40"/>
      <c r="AG1273" s="41"/>
      <c r="AH1273" s="32" t="s">
        <v>179</v>
      </c>
      <c r="AI1273" s="32"/>
      <c r="AL1273" s="32"/>
      <c r="AM1273" s="32"/>
      <c r="AN1273" s="32"/>
      <c r="AO1273" s="32"/>
      <c r="AP1273" s="32"/>
      <c r="AQ1273" s="32"/>
      <c r="AR1273" s="32"/>
      <c r="AS1273" s="32"/>
      <c r="AT1273" s="32"/>
      <c r="AU1273" s="32"/>
      <c r="XEY1273" s="27"/>
      <c r="XEZ1273" s="27"/>
      <c r="XFA1273" s="27"/>
      <c r="XFB1273" s="27"/>
      <c r="XFC1273" s="27"/>
      <c r="XFD1273" s="27"/>
    </row>
    <row r="1274" s="42" customFormat="true" ht="14.15" hidden="false" customHeight="true" outlineLevel="0" collapsed="false">
      <c r="A1274" s="28" t="s">
        <v>7580</v>
      </c>
      <c r="B1274" s="29" t="s">
        <v>4463</v>
      </c>
      <c r="C1274" s="29" t="s">
        <v>7581</v>
      </c>
      <c r="D1274" s="30" t="s">
        <v>50</v>
      </c>
      <c r="E1274" s="31"/>
      <c r="F1274" s="32" t="n">
        <v>66</v>
      </c>
      <c r="G1274" s="31"/>
      <c r="H1274" s="31" t="n">
        <v>2</v>
      </c>
      <c r="I1274" s="31" t="s">
        <v>99</v>
      </c>
      <c r="J1274" s="29" t="s">
        <v>595</v>
      </c>
      <c r="K1274" s="29" t="s">
        <v>596</v>
      </c>
      <c r="L1274" s="32" t="n">
        <v>20</v>
      </c>
      <c r="M1274" s="33" t="s">
        <v>597</v>
      </c>
      <c r="N1274" s="34" t="n">
        <v>75015</v>
      </c>
      <c r="O1274" s="35" t="s">
        <v>55</v>
      </c>
      <c r="P1274" s="36" t="s">
        <v>7567</v>
      </c>
      <c r="Q1274" s="36" t="n">
        <v>90</v>
      </c>
      <c r="R1274" s="32" t="n">
        <v>159</v>
      </c>
      <c r="S1274" s="32" t="n">
        <v>1</v>
      </c>
      <c r="T1274" s="32"/>
      <c r="U1274" s="32"/>
      <c r="V1274" s="37"/>
      <c r="W1274" s="32"/>
      <c r="X1274" s="34"/>
      <c r="Y1274" s="34"/>
      <c r="Z1274" s="36"/>
      <c r="AA1274" s="32" t="s">
        <v>7582</v>
      </c>
      <c r="AB1274" s="32"/>
      <c r="AC1274" s="38" t="str">
        <f aca="false">HYPERLINK("https://biocodex6--c.vf.force.com/0014L00000KFwhnQAD", "POSTEL VINAY NICOLAS")</f>
        <v>POSTEL VINAY NICOLAS</v>
      </c>
      <c r="AD1274" s="38"/>
      <c r="AE1274" s="39"/>
      <c r="AF1274" s="40"/>
      <c r="AG1274" s="41"/>
      <c r="AH1274" s="32" t="s">
        <v>179</v>
      </c>
      <c r="AI1274" s="32"/>
      <c r="AL1274" s="32"/>
      <c r="AM1274" s="32"/>
      <c r="AN1274" s="32"/>
      <c r="AO1274" s="32"/>
      <c r="AP1274" s="32"/>
      <c r="AQ1274" s="32"/>
      <c r="AR1274" s="32"/>
      <c r="AS1274" s="32"/>
      <c r="AT1274" s="32"/>
      <c r="AU1274" s="32"/>
      <c r="XEY1274" s="27"/>
      <c r="XEZ1274" s="27"/>
      <c r="XFA1274" s="27"/>
      <c r="XFB1274" s="27"/>
      <c r="XFC1274" s="27"/>
      <c r="XFD1274" s="27"/>
    </row>
    <row r="1275" s="42" customFormat="true" ht="14.15" hidden="false" customHeight="true" outlineLevel="0" collapsed="false">
      <c r="A1275" s="28" t="s">
        <v>7583</v>
      </c>
      <c r="B1275" s="29" t="s">
        <v>1837</v>
      </c>
      <c r="C1275" s="29" t="s">
        <v>7584</v>
      </c>
      <c r="D1275" s="30" t="s">
        <v>50</v>
      </c>
      <c r="E1275" s="31"/>
      <c r="F1275" s="32" t="n">
        <v>38</v>
      </c>
      <c r="G1275" s="31"/>
      <c r="H1275" s="31" t="n">
        <v>2</v>
      </c>
      <c r="I1275" s="31" t="s">
        <v>99</v>
      </c>
      <c r="J1275" s="29" t="s">
        <v>595</v>
      </c>
      <c r="K1275" s="29" t="s">
        <v>596</v>
      </c>
      <c r="L1275" s="32" t="n">
        <v>20</v>
      </c>
      <c r="M1275" s="33" t="s">
        <v>597</v>
      </c>
      <c r="N1275" s="34" t="n">
        <v>75015</v>
      </c>
      <c r="O1275" s="35" t="s">
        <v>55</v>
      </c>
      <c r="P1275" s="36" t="s">
        <v>4409</v>
      </c>
      <c r="Q1275" s="36" t="n">
        <v>90</v>
      </c>
      <c r="R1275" s="32" t="n">
        <v>158</v>
      </c>
      <c r="S1275" s="32" t="n">
        <v>1</v>
      </c>
      <c r="T1275" s="32"/>
      <c r="U1275" s="32"/>
      <c r="V1275" s="37"/>
      <c r="W1275" s="32"/>
      <c r="X1275" s="34"/>
      <c r="Y1275" s="34"/>
      <c r="Z1275" s="36"/>
      <c r="AA1275" s="32" t="s">
        <v>7585</v>
      </c>
      <c r="AB1275" s="32"/>
      <c r="AC1275" s="38" t="str">
        <f aca="false">HYPERLINK("https://biocodex6--c.vf.force.com/0014L00000KFLIZQA5", "ROUX MARIE")</f>
        <v>ROUX MARIE</v>
      </c>
      <c r="AD1275" s="38"/>
      <c r="AE1275" s="39"/>
      <c r="AF1275" s="40"/>
      <c r="AG1275" s="41"/>
      <c r="AH1275" s="32" t="s">
        <v>179</v>
      </c>
      <c r="AI1275" s="32"/>
      <c r="AL1275" s="32"/>
      <c r="AM1275" s="32"/>
      <c r="AN1275" s="32"/>
      <c r="AO1275" s="32"/>
      <c r="AP1275" s="32"/>
      <c r="AQ1275" s="32"/>
      <c r="AR1275" s="32"/>
      <c r="AS1275" s="32"/>
      <c r="AT1275" s="32"/>
      <c r="AU1275" s="32"/>
      <c r="XEY1275" s="27"/>
      <c r="XEZ1275" s="27"/>
      <c r="XFA1275" s="27"/>
      <c r="XFB1275" s="27"/>
      <c r="XFC1275" s="27"/>
      <c r="XFD1275" s="27"/>
    </row>
    <row r="1276" s="42" customFormat="true" ht="14.15" hidden="false" customHeight="true" outlineLevel="0" collapsed="false">
      <c r="A1276" s="28" t="s">
        <v>7586</v>
      </c>
      <c r="B1276" s="29" t="s">
        <v>142</v>
      </c>
      <c r="C1276" s="29" t="s">
        <v>7587</v>
      </c>
      <c r="D1276" s="30" t="s">
        <v>244</v>
      </c>
      <c r="E1276" s="30" t="s">
        <v>245</v>
      </c>
      <c r="F1276" s="32" t="n">
        <v>66</v>
      </c>
      <c r="G1276" s="31"/>
      <c r="H1276" s="31" t="n">
        <v>2</v>
      </c>
      <c r="I1276" s="31" t="s">
        <v>51</v>
      </c>
      <c r="J1276" s="29" t="s">
        <v>2010</v>
      </c>
      <c r="K1276" s="29" t="s">
        <v>2011</v>
      </c>
      <c r="L1276" s="32" t="n">
        <v>37</v>
      </c>
      <c r="M1276" s="33" t="s">
        <v>2012</v>
      </c>
      <c r="N1276" s="34" t="n">
        <v>75015</v>
      </c>
      <c r="O1276" s="35" t="s">
        <v>55</v>
      </c>
      <c r="P1276" s="36" t="s">
        <v>2013</v>
      </c>
      <c r="Q1276" s="36" t="n">
        <v>19</v>
      </c>
      <c r="R1276" s="32" t="n">
        <v>157</v>
      </c>
      <c r="S1276" s="32" t="n">
        <v>1</v>
      </c>
      <c r="T1276" s="32"/>
      <c r="U1276" s="32"/>
      <c r="V1276" s="37"/>
      <c r="W1276" s="32"/>
      <c r="X1276" s="34" t="n">
        <v>1</v>
      </c>
      <c r="Y1276" s="34" t="n">
        <v>1</v>
      </c>
      <c r="Z1276" s="36"/>
      <c r="AA1276" s="32" t="s">
        <v>7588</v>
      </c>
      <c r="AB1276" s="44"/>
      <c r="AC1276" s="38" t="str">
        <f aca="false">HYPERLINK("https://biocodex6--c.vf.force.com/0014L00000KFSLGQA5", "BELIVIER MICHEL")</f>
        <v>BELIVIER MICHEL</v>
      </c>
      <c r="AD1276" s="38"/>
      <c r="AE1276" s="39"/>
      <c r="AF1276" s="40"/>
      <c r="AG1276" s="41"/>
      <c r="AH1276" s="32" t="s">
        <v>179</v>
      </c>
      <c r="AI1276" s="32"/>
      <c r="AL1276" s="32"/>
      <c r="AM1276" s="32"/>
      <c r="AN1276" s="32"/>
      <c r="AO1276" s="32"/>
      <c r="AP1276" s="32"/>
      <c r="AQ1276" s="32"/>
      <c r="AR1276" s="32"/>
      <c r="AS1276" s="32"/>
      <c r="AT1276" s="32"/>
      <c r="AU1276" s="32"/>
      <c r="XEY1276" s="27"/>
      <c r="XEZ1276" s="27"/>
      <c r="XFA1276" s="27"/>
      <c r="XFB1276" s="27"/>
      <c r="XFC1276" s="27"/>
      <c r="XFD1276" s="27"/>
    </row>
    <row r="1277" s="42" customFormat="true" ht="14.15" hidden="false" customHeight="true" outlineLevel="0" collapsed="false">
      <c r="A1277" s="28" t="s">
        <v>5106</v>
      </c>
      <c r="B1277" s="29" t="s">
        <v>1275</v>
      </c>
      <c r="C1277" s="29" t="s">
        <v>7589</v>
      </c>
      <c r="D1277" s="30" t="s">
        <v>50</v>
      </c>
      <c r="E1277" s="31"/>
      <c r="F1277" s="32" t="n">
        <v>0</v>
      </c>
      <c r="G1277" s="31"/>
      <c r="H1277" s="31" t="n">
        <v>1</v>
      </c>
      <c r="I1277" s="31" t="s">
        <v>119</v>
      </c>
      <c r="J1277" s="29"/>
      <c r="K1277" s="29" t="s">
        <v>3805</v>
      </c>
      <c r="L1277" s="32" t="n">
        <v>14</v>
      </c>
      <c r="M1277" s="33" t="s">
        <v>3806</v>
      </c>
      <c r="N1277" s="34" t="n">
        <v>75007</v>
      </c>
      <c r="O1277" s="35" t="s">
        <v>55</v>
      </c>
      <c r="P1277" s="36" t="s">
        <v>3807</v>
      </c>
      <c r="Q1277" s="36" t="n">
        <v>7</v>
      </c>
      <c r="R1277" s="32" t="n">
        <v>156</v>
      </c>
      <c r="S1277" s="32" t="n">
        <v>1</v>
      </c>
      <c r="T1277" s="32"/>
      <c r="U1277" s="32"/>
      <c r="V1277" s="37"/>
      <c r="W1277" s="32"/>
      <c r="X1277" s="34"/>
      <c r="Y1277" s="34"/>
      <c r="Z1277" s="36"/>
      <c r="AA1277" s="32" t="s">
        <v>7590</v>
      </c>
      <c r="AB1277" s="32"/>
      <c r="AC1277" s="38" t="str">
        <f aca="false">HYPERLINK("https://biocodex6--c.vf.force.com/0014L00000KG4M5QAL", "TRAVERS STEPHANE")</f>
        <v>TRAVERS STEPHANE</v>
      </c>
      <c r="AD1277" s="38"/>
      <c r="AE1277" s="39"/>
      <c r="AF1277" s="40"/>
      <c r="AG1277" s="41"/>
      <c r="AH1277" s="32" t="s">
        <v>179</v>
      </c>
      <c r="AI1277" s="32"/>
      <c r="AL1277" s="32"/>
      <c r="AM1277" s="32"/>
      <c r="AN1277" s="32"/>
      <c r="AO1277" s="32"/>
      <c r="AP1277" s="32"/>
      <c r="AQ1277" s="32"/>
      <c r="AR1277" s="32"/>
      <c r="AS1277" s="32"/>
      <c r="AT1277" s="32"/>
      <c r="AU1277" s="32"/>
      <c r="XEY1277" s="27"/>
      <c r="XEZ1277" s="27"/>
      <c r="XFA1277" s="27"/>
      <c r="XFB1277" s="27"/>
      <c r="XFC1277" s="27"/>
      <c r="XFD1277" s="27"/>
    </row>
    <row r="1278" s="42" customFormat="true" ht="14.15" hidden="false" customHeight="true" outlineLevel="0" collapsed="false">
      <c r="A1278" s="28" t="s">
        <v>7591</v>
      </c>
      <c r="B1278" s="29" t="s">
        <v>3388</v>
      </c>
      <c r="C1278" s="29" t="s">
        <v>7592</v>
      </c>
      <c r="D1278" s="30" t="s">
        <v>50</v>
      </c>
      <c r="E1278" s="31"/>
      <c r="F1278" s="32" t="n">
        <v>50</v>
      </c>
      <c r="G1278" s="31"/>
      <c r="H1278" s="31" t="n">
        <v>1</v>
      </c>
      <c r="I1278" s="31" t="s">
        <v>173</v>
      </c>
      <c r="J1278" s="29"/>
      <c r="K1278" s="29" t="s">
        <v>7010</v>
      </c>
      <c r="L1278" s="32" t="n">
        <v>6</v>
      </c>
      <c r="M1278" s="33" t="s">
        <v>7011</v>
      </c>
      <c r="N1278" s="34" t="n">
        <v>75016</v>
      </c>
      <c r="O1278" s="35" t="s">
        <v>55</v>
      </c>
      <c r="P1278" s="36" t="s">
        <v>7012</v>
      </c>
      <c r="Q1278" s="36" t="n">
        <v>3</v>
      </c>
      <c r="R1278" s="32" t="n">
        <v>156</v>
      </c>
      <c r="S1278" s="32" t="n">
        <v>1</v>
      </c>
      <c r="T1278" s="32"/>
      <c r="U1278" s="32"/>
      <c r="V1278" s="37"/>
      <c r="W1278" s="32"/>
      <c r="X1278" s="34"/>
      <c r="Y1278" s="34"/>
      <c r="Z1278" s="36"/>
      <c r="AA1278" s="32" t="s">
        <v>7593</v>
      </c>
      <c r="AB1278" s="32"/>
      <c r="AC1278" s="38" t="str">
        <f aca="false">HYPERLINK("https://biocodex6--c.vf.force.com/0014L00000KFtQTQA1", "MONTEL AGNES")</f>
        <v>MONTEL AGNES</v>
      </c>
      <c r="AD1278" s="38"/>
      <c r="AE1278" s="39"/>
      <c r="AF1278" s="40"/>
      <c r="AG1278" s="41"/>
      <c r="AH1278" s="32" t="s">
        <v>179</v>
      </c>
      <c r="AI1278" s="32"/>
      <c r="AL1278" s="32"/>
      <c r="AM1278" s="32"/>
      <c r="AN1278" s="32"/>
      <c r="AO1278" s="32"/>
      <c r="AP1278" s="32"/>
      <c r="AQ1278" s="32"/>
      <c r="AR1278" s="32"/>
      <c r="AS1278" s="32"/>
      <c r="AT1278" s="32"/>
      <c r="AU1278" s="32"/>
      <c r="XEY1278" s="27"/>
      <c r="XEZ1278" s="27"/>
      <c r="XFA1278" s="27"/>
      <c r="XFB1278" s="27"/>
      <c r="XFC1278" s="27"/>
      <c r="XFD1278" s="27"/>
    </row>
    <row r="1279" s="42" customFormat="true" ht="14.15" hidden="false" customHeight="true" outlineLevel="0" collapsed="false">
      <c r="A1279" s="28" t="s">
        <v>7594</v>
      </c>
      <c r="B1279" s="29" t="s">
        <v>1074</v>
      </c>
      <c r="C1279" s="29" t="s">
        <v>7595</v>
      </c>
      <c r="D1279" s="30" t="s">
        <v>206</v>
      </c>
      <c r="E1279" s="31"/>
      <c r="F1279" s="32" t="n">
        <v>38</v>
      </c>
      <c r="G1279" s="31"/>
      <c r="H1279" s="31" t="n">
        <v>2</v>
      </c>
      <c r="I1279" s="31" t="s">
        <v>295</v>
      </c>
      <c r="J1279" s="29"/>
      <c r="K1279" s="29" t="s">
        <v>1596</v>
      </c>
      <c r="L1279" s="32" t="n">
        <v>12</v>
      </c>
      <c r="M1279" s="33" t="s">
        <v>491</v>
      </c>
      <c r="N1279" s="34" t="n">
        <v>92300</v>
      </c>
      <c r="O1279" s="35" t="s">
        <v>298</v>
      </c>
      <c r="P1279" s="36" t="s">
        <v>1597</v>
      </c>
      <c r="Q1279" s="36" t="n">
        <v>2</v>
      </c>
      <c r="R1279" s="32" t="n">
        <v>156</v>
      </c>
      <c r="S1279" s="32" t="n">
        <v>1</v>
      </c>
      <c r="T1279" s="32"/>
      <c r="U1279" s="32" t="n">
        <v>3</v>
      </c>
      <c r="V1279" s="37"/>
      <c r="W1279" s="32" t="n">
        <v>3</v>
      </c>
      <c r="X1279" s="34"/>
      <c r="Y1279" s="34" t="n">
        <v>2</v>
      </c>
      <c r="Z1279" s="36"/>
      <c r="AA1279" s="32" t="s">
        <v>7596</v>
      </c>
      <c r="AB1279" s="44"/>
      <c r="AC1279" s="38" t="str">
        <f aca="false">HYPERLINK("https://biocodex6--c.vf.force.com/0014L00000KFOJ3QAP", "FRETIN LAURE")</f>
        <v>FRETIN LAURE</v>
      </c>
      <c r="AD1279" s="38"/>
      <c r="AE1279" s="39"/>
      <c r="AF1279" s="40"/>
      <c r="AG1279" s="41"/>
      <c r="AH1279" s="32" t="s">
        <v>3469</v>
      </c>
      <c r="AI1279" s="32"/>
      <c r="AL1279" s="32"/>
      <c r="AM1279" s="32"/>
      <c r="AN1279" s="32"/>
      <c r="AO1279" s="32"/>
      <c r="AP1279" s="32"/>
      <c r="AQ1279" s="32"/>
      <c r="AR1279" s="32"/>
      <c r="AS1279" s="32"/>
      <c r="AT1279" s="32"/>
      <c r="AU1279" s="32"/>
      <c r="XEY1279" s="27"/>
      <c r="XEZ1279" s="27"/>
      <c r="XFA1279" s="27"/>
      <c r="XFB1279" s="27"/>
      <c r="XFC1279" s="27"/>
      <c r="XFD1279" s="27"/>
    </row>
    <row r="1280" s="42" customFormat="true" ht="14.15" hidden="false" customHeight="true" outlineLevel="0" collapsed="false">
      <c r="A1280" s="28" t="s">
        <v>7597</v>
      </c>
      <c r="B1280" s="29" t="s">
        <v>7598</v>
      </c>
      <c r="C1280" s="29" t="s">
        <v>7599</v>
      </c>
      <c r="D1280" s="30" t="s">
        <v>50</v>
      </c>
      <c r="E1280" s="30" t="s">
        <v>3278</v>
      </c>
      <c r="F1280" s="32"/>
      <c r="G1280" s="31"/>
      <c r="H1280" s="31" t="n">
        <v>1</v>
      </c>
      <c r="I1280" s="31" t="s">
        <v>295</v>
      </c>
      <c r="J1280" s="29" t="s">
        <v>489</v>
      </c>
      <c r="K1280" s="29" t="s">
        <v>1183</v>
      </c>
      <c r="L1280" s="32" t="n">
        <v>4</v>
      </c>
      <c r="M1280" s="33" t="s">
        <v>297</v>
      </c>
      <c r="N1280" s="34" t="n">
        <v>92300</v>
      </c>
      <c r="O1280" s="35" t="s">
        <v>298</v>
      </c>
      <c r="P1280" s="36" t="s">
        <v>7600</v>
      </c>
      <c r="Q1280" s="36" t="n">
        <v>27</v>
      </c>
      <c r="R1280" s="32" t="n">
        <v>156</v>
      </c>
      <c r="S1280" s="32" t="n">
        <v>1</v>
      </c>
      <c r="T1280" s="32"/>
      <c r="U1280" s="32"/>
      <c r="V1280" s="37"/>
      <c r="W1280" s="32"/>
      <c r="X1280" s="34"/>
      <c r="Y1280" s="34"/>
      <c r="Z1280" s="36"/>
      <c r="AA1280" s="32" t="s">
        <v>7601</v>
      </c>
      <c r="AB1280" s="32"/>
      <c r="AC1280" s="38" t="str">
        <f aca="false">HYPERLINK("https://biocodex6--c.vf.force.com/0014L00000KGKhCQAX", "BANCIU MARIUS")</f>
        <v>BANCIU MARIUS</v>
      </c>
      <c r="AD1280" s="38"/>
      <c r="AE1280" s="39"/>
      <c r="AF1280" s="40"/>
      <c r="AG1280" s="41"/>
      <c r="AH1280" s="32" t="s">
        <v>179</v>
      </c>
      <c r="AI1280" s="32"/>
      <c r="AL1280" s="32"/>
      <c r="AM1280" s="32"/>
      <c r="AN1280" s="32"/>
      <c r="AO1280" s="32"/>
      <c r="AP1280" s="32"/>
      <c r="AQ1280" s="32"/>
      <c r="AR1280" s="32"/>
      <c r="AS1280" s="32"/>
      <c r="AT1280" s="32"/>
      <c r="AU1280" s="32"/>
      <c r="XEY1280" s="27"/>
      <c r="XEZ1280" s="27"/>
      <c r="XFA1280" s="27"/>
      <c r="XFB1280" s="27"/>
      <c r="XFC1280" s="27"/>
      <c r="XFD1280" s="27"/>
    </row>
    <row r="1281" s="42" customFormat="true" ht="14.15" hidden="false" customHeight="true" outlineLevel="0" collapsed="false">
      <c r="A1281" s="28" t="s">
        <v>7602</v>
      </c>
      <c r="B1281" s="29" t="s">
        <v>7603</v>
      </c>
      <c r="C1281" s="29" t="s">
        <v>7604</v>
      </c>
      <c r="D1281" s="30" t="s">
        <v>50</v>
      </c>
      <c r="E1281" s="30" t="s">
        <v>255</v>
      </c>
      <c r="F1281" s="32" t="n">
        <v>41</v>
      </c>
      <c r="G1281" s="31"/>
      <c r="H1281" s="31" t="n">
        <v>1</v>
      </c>
      <c r="I1281" s="31" t="s">
        <v>295</v>
      </c>
      <c r="J1281" s="29" t="s">
        <v>489</v>
      </c>
      <c r="K1281" s="29" t="s">
        <v>1183</v>
      </c>
      <c r="L1281" s="32" t="n">
        <v>4</v>
      </c>
      <c r="M1281" s="33" t="s">
        <v>297</v>
      </c>
      <c r="N1281" s="34" t="n">
        <v>92300</v>
      </c>
      <c r="O1281" s="35" t="s">
        <v>298</v>
      </c>
      <c r="P1281" s="36" t="s">
        <v>7605</v>
      </c>
      <c r="Q1281" s="36" t="n">
        <v>27</v>
      </c>
      <c r="R1281" s="32" t="n">
        <v>156</v>
      </c>
      <c r="S1281" s="32" t="n">
        <v>1</v>
      </c>
      <c r="T1281" s="32"/>
      <c r="U1281" s="32"/>
      <c r="V1281" s="37"/>
      <c r="W1281" s="32"/>
      <c r="X1281" s="34"/>
      <c r="Y1281" s="34"/>
      <c r="Z1281" s="36"/>
      <c r="AA1281" s="32" t="s">
        <v>7606</v>
      </c>
      <c r="AB1281" s="32"/>
      <c r="AC1281" s="38" t="str">
        <f aca="false">HYPERLINK("https://biocodex6--c.vf.force.com/0014L00000KFbv1QAD", "FOUCART CARON SASKIA")</f>
        <v>FOUCART CARON SASKIA</v>
      </c>
      <c r="AD1281" s="38"/>
      <c r="AE1281" s="39"/>
      <c r="AF1281" s="40"/>
      <c r="AG1281" s="41"/>
      <c r="AH1281" s="32" t="s">
        <v>179</v>
      </c>
      <c r="AI1281" s="32"/>
      <c r="AL1281" s="32"/>
      <c r="AM1281" s="32"/>
      <c r="AN1281" s="32"/>
      <c r="AO1281" s="32"/>
      <c r="AP1281" s="32"/>
      <c r="AQ1281" s="32"/>
      <c r="AR1281" s="32"/>
      <c r="AS1281" s="32"/>
      <c r="AT1281" s="32"/>
      <c r="AU1281" s="32"/>
      <c r="XEY1281" s="27"/>
      <c r="XEZ1281" s="27"/>
      <c r="XFA1281" s="27"/>
      <c r="XFB1281" s="27"/>
      <c r="XFC1281" s="27"/>
      <c r="XFD1281" s="27"/>
    </row>
    <row r="1282" s="42" customFormat="true" ht="14.15" hidden="false" customHeight="true" outlineLevel="0" collapsed="false">
      <c r="A1282" s="28" t="s">
        <v>7607</v>
      </c>
      <c r="B1282" s="29" t="s">
        <v>543</v>
      </c>
      <c r="C1282" s="29" t="s">
        <v>7608</v>
      </c>
      <c r="D1282" s="30" t="s">
        <v>50</v>
      </c>
      <c r="E1282" s="30" t="s">
        <v>890</v>
      </c>
      <c r="F1282" s="32" t="n">
        <v>64</v>
      </c>
      <c r="G1282" s="31"/>
      <c r="H1282" s="31" t="n">
        <v>1</v>
      </c>
      <c r="I1282" s="31" t="s">
        <v>295</v>
      </c>
      <c r="J1282" s="29" t="s">
        <v>489</v>
      </c>
      <c r="K1282" s="29" t="s">
        <v>1183</v>
      </c>
      <c r="L1282" s="32" t="n">
        <v>4</v>
      </c>
      <c r="M1282" s="33" t="s">
        <v>297</v>
      </c>
      <c r="N1282" s="34" t="n">
        <v>92300</v>
      </c>
      <c r="O1282" s="35" t="s">
        <v>298</v>
      </c>
      <c r="P1282" s="36" t="s">
        <v>2623</v>
      </c>
      <c r="Q1282" s="36" t="n">
        <v>27</v>
      </c>
      <c r="R1282" s="32" t="n">
        <v>156</v>
      </c>
      <c r="S1282" s="32" t="n">
        <v>1</v>
      </c>
      <c r="T1282" s="32"/>
      <c r="U1282" s="32"/>
      <c r="V1282" s="37"/>
      <c r="W1282" s="32"/>
      <c r="X1282" s="34"/>
      <c r="Y1282" s="34"/>
      <c r="Z1282" s="36"/>
      <c r="AA1282" s="32" t="s">
        <v>7609</v>
      </c>
      <c r="AB1282" s="32"/>
      <c r="AC1282" s="38" t="str">
        <f aca="false">HYPERLINK("https://biocodex6--c.vf.force.com/0014L00000KFjzxQAD", "JOCKEY CHRISTINE")</f>
        <v>JOCKEY CHRISTINE</v>
      </c>
      <c r="AD1282" s="38"/>
      <c r="AE1282" s="39"/>
      <c r="AF1282" s="40"/>
      <c r="AG1282" s="41"/>
      <c r="AH1282" s="32" t="s">
        <v>179</v>
      </c>
      <c r="AI1282" s="32"/>
      <c r="AL1282" s="32"/>
      <c r="AM1282" s="32"/>
      <c r="AN1282" s="32"/>
      <c r="AO1282" s="32"/>
      <c r="AP1282" s="32"/>
      <c r="AQ1282" s="32"/>
      <c r="AR1282" s="32"/>
      <c r="AS1282" s="32"/>
      <c r="AT1282" s="32"/>
      <c r="AU1282" s="32"/>
      <c r="XEY1282" s="27"/>
      <c r="XEZ1282" s="27"/>
      <c r="XFA1282" s="27"/>
      <c r="XFB1282" s="27"/>
      <c r="XFC1282" s="27"/>
      <c r="XFD1282" s="27"/>
    </row>
    <row r="1283" s="42" customFormat="true" ht="14.15" hidden="false" customHeight="true" outlineLevel="0" collapsed="false">
      <c r="A1283" s="28" t="s">
        <v>7610</v>
      </c>
      <c r="B1283" s="29" t="s">
        <v>612</v>
      </c>
      <c r="C1283" s="29" t="s">
        <v>7611</v>
      </c>
      <c r="D1283" s="30" t="s">
        <v>50</v>
      </c>
      <c r="E1283" s="30" t="s">
        <v>386</v>
      </c>
      <c r="F1283" s="32" t="n">
        <v>56</v>
      </c>
      <c r="G1283" s="31" t="s">
        <v>345</v>
      </c>
      <c r="H1283" s="31" t="n">
        <v>4</v>
      </c>
      <c r="I1283" s="31" t="s">
        <v>295</v>
      </c>
      <c r="J1283" s="29" t="s">
        <v>489</v>
      </c>
      <c r="K1283" s="29" t="s">
        <v>1183</v>
      </c>
      <c r="L1283" s="32" t="n">
        <v>4</v>
      </c>
      <c r="M1283" s="33" t="s">
        <v>297</v>
      </c>
      <c r="N1283" s="34" t="n">
        <v>92300</v>
      </c>
      <c r="O1283" s="35" t="s">
        <v>298</v>
      </c>
      <c r="P1283" s="36"/>
      <c r="Q1283" s="36" t="n">
        <v>27</v>
      </c>
      <c r="R1283" s="32" t="n">
        <v>156</v>
      </c>
      <c r="S1283" s="32" t="n">
        <v>1</v>
      </c>
      <c r="T1283" s="32"/>
      <c r="U1283" s="32"/>
      <c r="V1283" s="37"/>
      <c r="W1283" s="32"/>
      <c r="X1283" s="34"/>
      <c r="Y1283" s="34"/>
      <c r="Z1283" s="36"/>
      <c r="AA1283" s="32" t="s">
        <v>7612</v>
      </c>
      <c r="AB1283" s="32" t="s">
        <v>7613</v>
      </c>
      <c r="AC1283" s="38" t="str">
        <f aca="false">HYPERLINK("https://biocodex6--c.vf.force.com/0014L00000KFnLYQA1", "LEDER CORINNE")</f>
        <v>LEDER CORINNE</v>
      </c>
      <c r="AD1283" s="38" t="str">
        <f aca="false">HYPERLINK("https://annuairesante.ameli.fr/professionnels-de-sante/recherche/fiche-detaillee-CbA1kjEzNzq3.html", "LEDER CORINNE")</f>
        <v>LEDER CORINNE</v>
      </c>
      <c r="AE1283" s="39"/>
      <c r="AF1283" s="40"/>
      <c r="AG1283" s="41"/>
      <c r="AH1283" s="32" t="s">
        <v>179</v>
      </c>
      <c r="AI1283" s="32"/>
      <c r="AL1283" s="32"/>
      <c r="AM1283" s="32"/>
      <c r="AN1283" s="32"/>
      <c r="AO1283" s="32"/>
      <c r="AP1283" s="32"/>
      <c r="AQ1283" s="32"/>
      <c r="AR1283" s="32"/>
      <c r="AS1283" s="32"/>
      <c r="AT1283" s="32"/>
      <c r="AU1283" s="32"/>
      <c r="XEY1283" s="27"/>
      <c r="XEZ1283" s="27"/>
      <c r="XFA1283" s="27"/>
      <c r="XFB1283" s="27"/>
      <c r="XFC1283" s="27"/>
      <c r="XFD1283" s="27"/>
    </row>
    <row r="1284" s="42" customFormat="true" ht="14.15" hidden="false" customHeight="true" outlineLevel="0" collapsed="false">
      <c r="A1284" s="28" t="s">
        <v>7614</v>
      </c>
      <c r="B1284" s="29" t="s">
        <v>1600</v>
      </c>
      <c r="C1284" s="29" t="s">
        <v>7615</v>
      </c>
      <c r="D1284" s="30" t="s">
        <v>50</v>
      </c>
      <c r="E1284" s="31"/>
      <c r="F1284" s="32"/>
      <c r="G1284" s="31"/>
      <c r="H1284" s="31" t="n">
        <v>1</v>
      </c>
      <c r="I1284" s="31" t="s">
        <v>295</v>
      </c>
      <c r="J1284" s="29" t="s">
        <v>489</v>
      </c>
      <c r="K1284" s="29" t="s">
        <v>1183</v>
      </c>
      <c r="L1284" s="32" t="n">
        <v>4</v>
      </c>
      <c r="M1284" s="33" t="s">
        <v>297</v>
      </c>
      <c r="N1284" s="34" t="n">
        <v>92300</v>
      </c>
      <c r="O1284" s="35" t="s">
        <v>298</v>
      </c>
      <c r="P1284" s="36" t="s">
        <v>7616</v>
      </c>
      <c r="Q1284" s="36" t="n">
        <v>27</v>
      </c>
      <c r="R1284" s="32" t="n">
        <v>156</v>
      </c>
      <c r="S1284" s="32" t="n">
        <v>1</v>
      </c>
      <c r="T1284" s="32"/>
      <c r="U1284" s="32"/>
      <c r="V1284" s="37"/>
      <c r="W1284" s="32"/>
      <c r="X1284" s="34"/>
      <c r="Y1284" s="34"/>
      <c r="Z1284" s="36"/>
      <c r="AA1284" s="32" t="s">
        <v>7617</v>
      </c>
      <c r="AB1284" s="32"/>
      <c r="AC1284" s="38" t="str">
        <f aca="false">HYPERLINK("https://biocodex6--c.vf.force.com/0014L00000KFvioQAD", "PERREAU CAROLINE")</f>
        <v>PERREAU CAROLINE</v>
      </c>
      <c r="AD1284" s="38"/>
      <c r="AE1284" s="39"/>
      <c r="AF1284" s="40"/>
      <c r="AG1284" s="41"/>
      <c r="AH1284" s="32" t="s">
        <v>179</v>
      </c>
      <c r="AI1284" s="32"/>
      <c r="AL1284" s="32"/>
      <c r="AM1284" s="32"/>
      <c r="AN1284" s="32"/>
      <c r="AO1284" s="32"/>
      <c r="AP1284" s="32"/>
      <c r="AQ1284" s="32"/>
      <c r="AR1284" s="32"/>
      <c r="AS1284" s="32"/>
      <c r="AT1284" s="32"/>
      <c r="AU1284" s="32"/>
      <c r="XEY1284" s="27"/>
      <c r="XEZ1284" s="27"/>
      <c r="XFA1284" s="27"/>
      <c r="XFB1284" s="27"/>
      <c r="XFC1284" s="27"/>
      <c r="XFD1284" s="27"/>
    </row>
    <row r="1285" s="42" customFormat="true" ht="14.15" hidden="false" customHeight="true" outlineLevel="0" collapsed="false">
      <c r="A1285" s="28" t="s">
        <v>7618</v>
      </c>
      <c r="B1285" s="29" t="s">
        <v>7619</v>
      </c>
      <c r="C1285" s="29" t="s">
        <v>7620</v>
      </c>
      <c r="D1285" s="30" t="s">
        <v>50</v>
      </c>
      <c r="E1285" s="30" t="s">
        <v>255</v>
      </c>
      <c r="F1285" s="32" t="n">
        <v>44</v>
      </c>
      <c r="G1285" s="31"/>
      <c r="H1285" s="31" t="n">
        <v>2</v>
      </c>
      <c r="I1285" s="31" t="s">
        <v>295</v>
      </c>
      <c r="J1285" s="29" t="s">
        <v>489</v>
      </c>
      <c r="K1285" s="29" t="s">
        <v>1183</v>
      </c>
      <c r="L1285" s="32" t="n">
        <v>4</v>
      </c>
      <c r="M1285" s="33" t="s">
        <v>297</v>
      </c>
      <c r="N1285" s="34" t="n">
        <v>92300</v>
      </c>
      <c r="O1285" s="35" t="s">
        <v>298</v>
      </c>
      <c r="P1285" s="36" t="s">
        <v>7605</v>
      </c>
      <c r="Q1285" s="36" t="n">
        <v>27</v>
      </c>
      <c r="R1285" s="32" t="n">
        <v>156</v>
      </c>
      <c r="S1285" s="32" t="n">
        <v>1</v>
      </c>
      <c r="T1285" s="32"/>
      <c r="U1285" s="32"/>
      <c r="V1285" s="37"/>
      <c r="W1285" s="32"/>
      <c r="X1285" s="34"/>
      <c r="Y1285" s="34"/>
      <c r="Z1285" s="36"/>
      <c r="AA1285" s="32" t="s">
        <v>7621</v>
      </c>
      <c r="AB1285" s="32"/>
      <c r="AC1285" s="38" t="str">
        <f aca="false">HYPERLINK("https://biocodex6--c.vf.force.com/0014L00000KG4eFQAT", "TOUAM MAYA")</f>
        <v>TOUAM MAYA</v>
      </c>
      <c r="AD1285" s="38"/>
      <c r="AE1285" s="39"/>
      <c r="AF1285" s="40"/>
      <c r="AG1285" s="41"/>
      <c r="AH1285" s="32" t="s">
        <v>179</v>
      </c>
      <c r="AI1285" s="32"/>
      <c r="AL1285" s="32"/>
      <c r="AM1285" s="32"/>
      <c r="AN1285" s="32"/>
      <c r="AO1285" s="32"/>
      <c r="AP1285" s="32"/>
      <c r="AQ1285" s="32"/>
      <c r="AR1285" s="32"/>
      <c r="AS1285" s="32"/>
      <c r="AT1285" s="32"/>
      <c r="AU1285" s="32"/>
      <c r="XEY1285" s="27"/>
      <c r="XEZ1285" s="27"/>
      <c r="XFA1285" s="27"/>
      <c r="XFB1285" s="27"/>
      <c r="XFC1285" s="27"/>
      <c r="XFD1285" s="27"/>
    </row>
    <row r="1286" s="42" customFormat="true" ht="14.15" hidden="false" customHeight="true" outlineLevel="0" collapsed="false">
      <c r="A1286" s="28" t="s">
        <v>7622</v>
      </c>
      <c r="B1286" s="29" t="s">
        <v>958</v>
      </c>
      <c r="C1286" s="29" t="s">
        <v>7623</v>
      </c>
      <c r="D1286" s="30" t="s">
        <v>244</v>
      </c>
      <c r="E1286" s="30" t="s">
        <v>245</v>
      </c>
      <c r="F1286" s="32" t="n">
        <v>77</v>
      </c>
      <c r="G1286" s="31" t="s">
        <v>215</v>
      </c>
      <c r="H1286" s="31" t="n">
        <v>2</v>
      </c>
      <c r="I1286" s="31" t="s">
        <v>119</v>
      </c>
      <c r="J1286" s="29"/>
      <c r="K1286" s="29" t="s">
        <v>7624</v>
      </c>
      <c r="L1286" s="32" t="n">
        <v>5</v>
      </c>
      <c r="M1286" s="33" t="s">
        <v>7625</v>
      </c>
      <c r="N1286" s="34" t="n">
        <v>75007</v>
      </c>
      <c r="O1286" s="35" t="s">
        <v>55</v>
      </c>
      <c r="P1286" s="36" t="s">
        <v>7626</v>
      </c>
      <c r="Q1286" s="36" t="n">
        <v>3</v>
      </c>
      <c r="R1286" s="32" t="n">
        <v>155</v>
      </c>
      <c r="S1286" s="32" t="n">
        <v>1</v>
      </c>
      <c r="T1286" s="32"/>
      <c r="U1286" s="32"/>
      <c r="V1286" s="37"/>
      <c r="W1286" s="32"/>
      <c r="X1286" s="34"/>
      <c r="Y1286" s="34"/>
      <c r="Z1286" s="36"/>
      <c r="AA1286" s="32" t="s">
        <v>7627</v>
      </c>
      <c r="AB1286" s="32" t="s">
        <v>7628</v>
      </c>
      <c r="AC1286" s="38" t="str">
        <f aca="false">HYPERLINK("https://biocodex6--c.vf.force.com/0014L00000KFpBDQA1", "MADELENAT PATRICK")</f>
        <v>MADELENAT PATRICK</v>
      </c>
      <c r="AD1286" s="38" t="str">
        <f aca="false">HYPERLINK("https://annuairesante.ameli.fr/professionnels-de-sante/recherche/fiche-detaillee-B7c1kTM5NDC7.html", "MADELENAT PATRICK")</f>
        <v>MADELENAT PATRICK</v>
      </c>
      <c r="AE1286" s="39"/>
      <c r="AF1286" s="40"/>
      <c r="AG1286" s="41"/>
      <c r="AH1286" s="32" t="s">
        <v>179</v>
      </c>
      <c r="AI1286" s="32"/>
      <c r="AL1286" s="32"/>
      <c r="AM1286" s="32"/>
      <c r="AN1286" s="32"/>
      <c r="AO1286" s="32"/>
      <c r="AP1286" s="32"/>
      <c r="AQ1286" s="32"/>
      <c r="AR1286" s="32"/>
      <c r="AS1286" s="32"/>
      <c r="AT1286" s="32"/>
      <c r="AU1286" s="32"/>
      <c r="XEY1286" s="27"/>
      <c r="XEZ1286" s="27"/>
      <c r="XFA1286" s="27"/>
      <c r="XFB1286" s="27"/>
      <c r="XFC1286" s="27"/>
      <c r="XFD1286" s="27"/>
    </row>
    <row r="1287" s="42" customFormat="true" ht="14.15" hidden="false" customHeight="true" outlineLevel="0" collapsed="false">
      <c r="A1287" s="28" t="s">
        <v>7629</v>
      </c>
      <c r="B1287" s="29" t="s">
        <v>7630</v>
      </c>
      <c r="C1287" s="29" t="s">
        <v>7631</v>
      </c>
      <c r="D1287" s="30" t="s">
        <v>50</v>
      </c>
      <c r="E1287" s="31"/>
      <c r="F1287" s="32" t="n">
        <v>39</v>
      </c>
      <c r="G1287" s="31" t="s">
        <v>61</v>
      </c>
      <c r="H1287" s="31" t="n">
        <v>1</v>
      </c>
      <c r="I1287" s="31" t="s">
        <v>77</v>
      </c>
      <c r="J1287" s="29" t="s">
        <v>78</v>
      </c>
      <c r="K1287" s="29" t="s">
        <v>79</v>
      </c>
      <c r="L1287" s="32" t="n">
        <v>26</v>
      </c>
      <c r="M1287" s="33" t="s">
        <v>80</v>
      </c>
      <c r="N1287" s="34" t="n">
        <v>92200</v>
      </c>
      <c r="O1287" s="35" t="s">
        <v>81</v>
      </c>
      <c r="P1287" s="36"/>
      <c r="Q1287" s="36" t="n">
        <v>10</v>
      </c>
      <c r="R1287" s="32" t="n">
        <v>155</v>
      </c>
      <c r="S1287" s="32" t="n">
        <v>1</v>
      </c>
      <c r="T1287" s="32"/>
      <c r="U1287" s="32"/>
      <c r="V1287" s="37"/>
      <c r="W1287" s="32"/>
      <c r="X1287" s="34"/>
      <c r="Y1287" s="34"/>
      <c r="Z1287" s="36"/>
      <c r="AA1287" s="32" t="s">
        <v>7632</v>
      </c>
      <c r="AB1287" s="32" t="s">
        <v>7633</v>
      </c>
      <c r="AC1287" s="38" t="str">
        <f aca="false">HYPERLINK("https://biocodex6--c.vf.force.com/0014L00000KFLwYQAX", "FLORET JUSTINE")</f>
        <v>FLORET JUSTINE</v>
      </c>
      <c r="AD1287" s="38" t="str">
        <f aca="false">HYPERLINK("https://annuairesante.ameli.fr/professionnels-de-sante/recherche/fiche-detaillee-CbA1lTM1OTq0.html", "FLORET JUSTINE")</f>
        <v>FLORET JUSTINE</v>
      </c>
      <c r="AE1287" s="39"/>
      <c r="AF1287" s="40"/>
      <c r="AG1287" s="41"/>
      <c r="AH1287" s="32" t="s">
        <v>179</v>
      </c>
      <c r="AI1287" s="32"/>
      <c r="AL1287" s="32"/>
      <c r="AM1287" s="32"/>
      <c r="AN1287" s="32"/>
      <c r="AO1287" s="32"/>
      <c r="AP1287" s="32"/>
      <c r="AQ1287" s="32"/>
      <c r="AR1287" s="32"/>
      <c r="AS1287" s="32"/>
      <c r="AT1287" s="32"/>
      <c r="AU1287" s="32"/>
      <c r="XEY1287" s="27"/>
      <c r="XEZ1287" s="27"/>
      <c r="XFA1287" s="27"/>
      <c r="XFB1287" s="27"/>
      <c r="XFC1287" s="27"/>
      <c r="XFD1287" s="27"/>
    </row>
    <row r="1288" s="42" customFormat="true" ht="14.15" hidden="false" customHeight="true" outlineLevel="0" collapsed="false">
      <c r="A1288" s="28" t="s">
        <v>7634</v>
      </c>
      <c r="B1288" s="29" t="s">
        <v>1015</v>
      </c>
      <c r="C1288" s="29" t="s">
        <v>7635</v>
      </c>
      <c r="D1288" s="30" t="s">
        <v>50</v>
      </c>
      <c r="E1288" s="30" t="s">
        <v>7636</v>
      </c>
      <c r="F1288" s="32"/>
      <c r="G1288" s="31" t="s">
        <v>98</v>
      </c>
      <c r="H1288" s="31" t="n">
        <v>1</v>
      </c>
      <c r="I1288" s="31" t="s">
        <v>173</v>
      </c>
      <c r="J1288" s="29"/>
      <c r="K1288" s="29" t="s">
        <v>7637</v>
      </c>
      <c r="L1288" s="32" t="n">
        <v>56</v>
      </c>
      <c r="M1288" s="33" t="s">
        <v>175</v>
      </c>
      <c r="N1288" s="34" t="n">
        <v>75016</v>
      </c>
      <c r="O1288" s="35" t="s">
        <v>55</v>
      </c>
      <c r="P1288" s="36" t="s">
        <v>7638</v>
      </c>
      <c r="Q1288" s="36" t="n">
        <v>1</v>
      </c>
      <c r="R1288" s="32" t="n">
        <v>154</v>
      </c>
      <c r="S1288" s="32" t="n">
        <v>1</v>
      </c>
      <c r="T1288" s="32"/>
      <c r="U1288" s="32"/>
      <c r="V1288" s="37"/>
      <c r="W1288" s="32"/>
      <c r="X1288" s="34"/>
      <c r="Y1288" s="34"/>
      <c r="Z1288" s="36"/>
      <c r="AA1288" s="32" t="s">
        <v>7639</v>
      </c>
      <c r="AB1288" s="32" t="s">
        <v>7640</v>
      </c>
      <c r="AC1288" s="38" t="str">
        <f aca="false">HYPERLINK("https://biocodex6--c.vf.force.com/0014L00000KGLxDQAX", "ACHA LAILA")</f>
        <v>ACHA LAILA</v>
      </c>
      <c r="AD1288" s="38" t="str">
        <f aca="false">HYPERLINK("https://annuairesante.ameli.fr/professionnels-de-sante/recherche/fiche-detaillee-B7c1kjcwODCw.html", "ACHA LAILA")</f>
        <v>ACHA LAILA</v>
      </c>
      <c r="AE1288" s="39"/>
      <c r="AF1288" s="40"/>
      <c r="AG1288" s="41"/>
      <c r="AH1288" s="32" t="s">
        <v>179</v>
      </c>
      <c r="AI1288" s="32"/>
      <c r="AL1288" s="32"/>
      <c r="AM1288" s="32"/>
      <c r="AN1288" s="32"/>
      <c r="AO1288" s="32"/>
      <c r="AP1288" s="32"/>
      <c r="AQ1288" s="32"/>
      <c r="AR1288" s="32"/>
      <c r="AS1288" s="32"/>
      <c r="AT1288" s="32"/>
      <c r="AU1288" s="32"/>
      <c r="XEY1288" s="27"/>
      <c r="XEZ1288" s="27"/>
      <c r="XFA1288" s="27"/>
      <c r="XFB1288" s="27"/>
      <c r="XFC1288" s="27"/>
      <c r="XFD1288" s="27"/>
    </row>
    <row r="1289" s="42" customFormat="true" ht="14.15" hidden="false" customHeight="true" outlineLevel="0" collapsed="false">
      <c r="A1289" s="28" t="s">
        <v>7641</v>
      </c>
      <c r="B1289" s="29" t="s">
        <v>7642</v>
      </c>
      <c r="C1289" s="29" t="s">
        <v>7643</v>
      </c>
      <c r="D1289" s="30" t="s">
        <v>244</v>
      </c>
      <c r="E1289" s="30" t="s">
        <v>245</v>
      </c>
      <c r="F1289" s="32" t="n">
        <v>49</v>
      </c>
      <c r="G1289" s="31"/>
      <c r="H1289" s="31" t="n">
        <v>2</v>
      </c>
      <c r="I1289" s="31" t="s">
        <v>77</v>
      </c>
      <c r="J1289" s="29" t="s">
        <v>580</v>
      </c>
      <c r="K1289" s="29" t="s">
        <v>581</v>
      </c>
      <c r="L1289" s="32" t="n">
        <v>63</v>
      </c>
      <c r="M1289" s="33" t="s">
        <v>80</v>
      </c>
      <c r="N1289" s="34" t="n">
        <v>92200</v>
      </c>
      <c r="O1289" s="35" t="s">
        <v>81</v>
      </c>
      <c r="P1289" s="36" t="s">
        <v>1189</v>
      </c>
      <c r="Q1289" s="36" t="n">
        <v>39</v>
      </c>
      <c r="R1289" s="32" t="n">
        <v>154</v>
      </c>
      <c r="S1289" s="32" t="n">
        <v>1</v>
      </c>
      <c r="T1289" s="32"/>
      <c r="U1289" s="32"/>
      <c r="V1289" s="37"/>
      <c r="W1289" s="32"/>
      <c r="X1289" s="34"/>
      <c r="Y1289" s="34" t="n">
        <v>1</v>
      </c>
      <c r="Z1289" s="36"/>
      <c r="AA1289" s="32" t="s">
        <v>7644</v>
      </c>
      <c r="AB1289" s="44"/>
      <c r="AC1289" s="38" t="str">
        <f aca="false">HYPERLINK("https://biocodex6--c.vf.force.com/0014L00000KFpqoQAD", "MELLOUL GOLANE CHARLES")</f>
        <v>MELLOUL GOLANE CHARLES</v>
      </c>
      <c r="AD1289" s="38"/>
      <c r="AE1289" s="39"/>
      <c r="AF1289" s="40"/>
      <c r="AG1289" s="41"/>
      <c r="AH1289" s="32" t="s">
        <v>179</v>
      </c>
      <c r="AI1289" s="32"/>
      <c r="AL1289" s="32"/>
      <c r="AM1289" s="32"/>
      <c r="AN1289" s="32"/>
      <c r="AO1289" s="32"/>
      <c r="AP1289" s="32"/>
      <c r="AQ1289" s="32"/>
      <c r="AR1289" s="32"/>
      <c r="AS1289" s="32"/>
      <c r="AT1289" s="32"/>
      <c r="AU1289" s="32"/>
      <c r="XEY1289" s="27"/>
      <c r="XEZ1289" s="27"/>
      <c r="XFA1289" s="27"/>
      <c r="XFB1289" s="27"/>
      <c r="XFC1289" s="27"/>
      <c r="XFD1289" s="27"/>
    </row>
    <row r="1290" s="42" customFormat="true" ht="14.15" hidden="false" customHeight="true" outlineLevel="0" collapsed="false">
      <c r="A1290" s="28" t="s">
        <v>7645</v>
      </c>
      <c r="B1290" s="29" t="s">
        <v>7646</v>
      </c>
      <c r="C1290" s="29" t="s">
        <v>7647</v>
      </c>
      <c r="D1290" s="30" t="s">
        <v>50</v>
      </c>
      <c r="E1290" s="30" t="s">
        <v>916</v>
      </c>
      <c r="F1290" s="32" t="n">
        <v>64</v>
      </c>
      <c r="G1290" s="31"/>
      <c r="H1290" s="31" t="n">
        <v>1</v>
      </c>
      <c r="I1290" s="31" t="s">
        <v>173</v>
      </c>
      <c r="J1290" s="29"/>
      <c r="K1290" s="29" t="s">
        <v>7648</v>
      </c>
      <c r="L1290" s="32" t="n">
        <v>18</v>
      </c>
      <c r="M1290" s="33" t="s">
        <v>4165</v>
      </c>
      <c r="N1290" s="34" t="n">
        <v>75016</v>
      </c>
      <c r="O1290" s="35" t="s">
        <v>55</v>
      </c>
      <c r="P1290" s="36"/>
      <c r="Q1290" s="36" t="n">
        <v>1</v>
      </c>
      <c r="R1290" s="32" t="n">
        <v>153</v>
      </c>
      <c r="S1290" s="32" t="n">
        <v>1</v>
      </c>
      <c r="T1290" s="32"/>
      <c r="U1290" s="32"/>
      <c r="V1290" s="37"/>
      <c r="W1290" s="32"/>
      <c r="X1290" s="34"/>
      <c r="Y1290" s="34"/>
      <c r="Z1290" s="36"/>
      <c r="AA1290" s="32" t="s">
        <v>7649</v>
      </c>
      <c r="AB1290" s="32"/>
      <c r="AC1290" s="38" t="str">
        <f aca="false">HYPERLINK("https://biocodex6--c.vf.force.com/0014L00000KG17lQAD", "SEJEAN ORTOLE MARIE ANTOINETTE")</f>
        <v>SEJEAN ORTOLE MARIE ANTOINETTE</v>
      </c>
      <c r="AD1290" s="38"/>
      <c r="AE1290" s="39"/>
      <c r="AF1290" s="40"/>
      <c r="AG1290" s="41"/>
      <c r="AH1290" s="32" t="s">
        <v>179</v>
      </c>
      <c r="AI1290" s="32"/>
      <c r="AL1290" s="32"/>
      <c r="AM1290" s="32"/>
      <c r="AN1290" s="32"/>
      <c r="AO1290" s="32"/>
      <c r="AP1290" s="32"/>
      <c r="AQ1290" s="32"/>
      <c r="AR1290" s="32"/>
      <c r="AS1290" s="32"/>
      <c r="AT1290" s="32"/>
      <c r="AU1290" s="32"/>
      <c r="XEY1290" s="27"/>
      <c r="XEZ1290" s="27"/>
      <c r="XFA1290" s="27"/>
      <c r="XFB1290" s="27"/>
      <c r="XFC1290" s="27"/>
      <c r="XFD1290" s="27"/>
    </row>
    <row r="1291" s="42" customFormat="true" ht="14.15" hidden="false" customHeight="true" outlineLevel="0" collapsed="false">
      <c r="A1291" s="28" t="s">
        <v>7650</v>
      </c>
      <c r="B1291" s="29" t="s">
        <v>2987</v>
      </c>
      <c r="C1291" s="29" t="s">
        <v>7651</v>
      </c>
      <c r="D1291" s="30" t="s">
        <v>244</v>
      </c>
      <c r="E1291" s="30" t="s">
        <v>245</v>
      </c>
      <c r="F1291" s="32" t="n">
        <v>76</v>
      </c>
      <c r="G1291" s="31" t="s">
        <v>215</v>
      </c>
      <c r="H1291" s="31" t="n">
        <v>1</v>
      </c>
      <c r="I1291" s="31" t="s">
        <v>119</v>
      </c>
      <c r="J1291" s="29"/>
      <c r="K1291" s="29" t="s">
        <v>7652</v>
      </c>
      <c r="L1291" s="32" t="n">
        <v>53</v>
      </c>
      <c r="M1291" s="33" t="s">
        <v>6202</v>
      </c>
      <c r="N1291" s="34" t="n">
        <v>75007</v>
      </c>
      <c r="O1291" s="35" t="s">
        <v>55</v>
      </c>
      <c r="P1291" s="36" t="s">
        <v>7653</v>
      </c>
      <c r="Q1291" s="36" t="n">
        <v>1</v>
      </c>
      <c r="R1291" s="32" t="n">
        <v>152</v>
      </c>
      <c r="S1291" s="32" t="n">
        <v>1</v>
      </c>
      <c r="T1291" s="32"/>
      <c r="U1291" s="32" t="n">
        <v>3</v>
      </c>
      <c r="V1291" s="37"/>
      <c r="W1291" s="32" t="n">
        <v>3</v>
      </c>
      <c r="X1291" s="34"/>
      <c r="Y1291" s="34" t="n">
        <v>1</v>
      </c>
      <c r="Z1291" s="32" t="s">
        <v>7654</v>
      </c>
      <c r="AA1291" s="32" t="s">
        <v>7655</v>
      </c>
      <c r="AB1291" s="44" t="s">
        <v>7656</v>
      </c>
      <c r="AC1291" s="38" t="str">
        <f aca="false">HYPERLINK("https://biocodex6--c.vf.force.com/0014L00000KG2pNQAT", "TERRADOT THIERRY")</f>
        <v>TERRADOT THIERRY</v>
      </c>
      <c r="AD1291" s="38" t="str">
        <f aca="false">HYPERLINK("https://annuairesante.ameli.fr/professionnels-de-sante/recherche/fiche-detaillee-B7c1kTUxOTO1.html", "TERRADOT THIERRY")</f>
        <v>TERRADOT THIERRY</v>
      </c>
      <c r="AE1291" s="39" t="n">
        <v>45442.5208333333</v>
      </c>
      <c r="AF1291" s="40" t="s">
        <v>7657</v>
      </c>
      <c r="AG1291" s="41" t="s">
        <v>69</v>
      </c>
      <c r="AH1291" s="32" t="s">
        <v>70</v>
      </c>
      <c r="AI1291" s="32"/>
      <c r="AL1291" s="43" t="s">
        <v>263</v>
      </c>
      <c r="AM1291" s="43" t="s">
        <v>518</v>
      </c>
      <c r="AN1291" s="43" t="s">
        <v>1896</v>
      </c>
      <c r="AO1291" s="32"/>
      <c r="AP1291" s="32"/>
      <c r="AQ1291" s="43" t="s">
        <v>137</v>
      </c>
      <c r="AR1291" s="43" t="s">
        <v>966</v>
      </c>
      <c r="AS1291" s="32"/>
      <c r="AT1291" s="32"/>
      <c r="AU1291" s="32"/>
      <c r="XEY1291" s="27"/>
      <c r="XEZ1291" s="27"/>
      <c r="XFA1291" s="27"/>
      <c r="XFB1291" s="27"/>
      <c r="XFC1291" s="27"/>
      <c r="XFD1291" s="27"/>
    </row>
    <row r="1292" s="42" customFormat="true" ht="14.15" hidden="false" customHeight="true" outlineLevel="0" collapsed="false">
      <c r="A1292" s="28" t="s">
        <v>7658</v>
      </c>
      <c r="B1292" s="29" t="s">
        <v>183</v>
      </c>
      <c r="C1292" s="29" t="s">
        <v>7659</v>
      </c>
      <c r="D1292" s="30" t="s">
        <v>244</v>
      </c>
      <c r="E1292" s="30" t="s">
        <v>113</v>
      </c>
      <c r="F1292" s="32" t="n">
        <v>75</v>
      </c>
      <c r="G1292" s="31"/>
      <c r="H1292" s="31" t="n">
        <v>1</v>
      </c>
      <c r="I1292" s="31" t="s">
        <v>572</v>
      </c>
      <c r="J1292" s="29"/>
      <c r="K1292" s="29" t="s">
        <v>7660</v>
      </c>
      <c r="L1292" s="32" t="n">
        <v>169</v>
      </c>
      <c r="M1292" s="33" t="s">
        <v>3334</v>
      </c>
      <c r="N1292" s="34" t="n">
        <v>75008</v>
      </c>
      <c r="O1292" s="35" t="s">
        <v>55</v>
      </c>
      <c r="P1292" s="36" t="s">
        <v>7661</v>
      </c>
      <c r="Q1292" s="36" t="n">
        <v>1</v>
      </c>
      <c r="R1292" s="32" t="n">
        <v>151</v>
      </c>
      <c r="S1292" s="32" t="n">
        <v>1</v>
      </c>
      <c r="T1292" s="32"/>
      <c r="U1292" s="32" t="n">
        <v>3</v>
      </c>
      <c r="V1292" s="37"/>
      <c r="W1292" s="32" t="n">
        <v>3</v>
      </c>
      <c r="X1292" s="34"/>
      <c r="Y1292" s="34" t="n">
        <v>2</v>
      </c>
      <c r="Z1292" s="32"/>
      <c r="AA1292" s="32" t="s">
        <v>7662</v>
      </c>
      <c r="AB1292" s="32"/>
      <c r="AC1292" s="38" t="str">
        <f aca="false">HYPERLINK("https://biocodex6--c.vf.force.com/0014L00000KFjhiQAD", "JAMIN CHRISTIAN")</f>
        <v>JAMIN CHRISTIAN</v>
      </c>
      <c r="AD1292" s="38"/>
      <c r="AE1292" s="39" t="n">
        <v>45370.5208333333</v>
      </c>
      <c r="AF1292" s="40" t="s">
        <v>7663</v>
      </c>
      <c r="AG1292" s="41"/>
      <c r="AH1292" s="32"/>
      <c r="AI1292" s="32"/>
      <c r="AL1292" s="32"/>
      <c r="AM1292" s="32"/>
      <c r="AN1292" s="32"/>
      <c r="AO1292" s="32"/>
      <c r="AP1292" s="32"/>
      <c r="AQ1292" s="32"/>
      <c r="AR1292" s="32"/>
      <c r="AS1292" s="32"/>
      <c r="AT1292" s="32"/>
      <c r="AU1292" s="32"/>
      <c r="XEY1292" s="27"/>
      <c r="XEZ1292" s="27"/>
      <c r="XFA1292" s="27"/>
      <c r="XFB1292" s="27"/>
      <c r="XFC1292" s="27"/>
      <c r="XFD1292" s="27"/>
    </row>
    <row r="1293" s="42" customFormat="true" ht="14.15" hidden="false" customHeight="true" outlineLevel="0" collapsed="false">
      <c r="A1293" s="28" t="s">
        <v>7664</v>
      </c>
      <c r="B1293" s="29" t="s">
        <v>429</v>
      </c>
      <c r="C1293" s="29" t="s">
        <v>7665</v>
      </c>
      <c r="D1293" s="30" t="s">
        <v>112</v>
      </c>
      <c r="E1293" s="30" t="s">
        <v>7666</v>
      </c>
      <c r="F1293" s="32" t="n">
        <v>38</v>
      </c>
      <c r="G1293" s="31"/>
      <c r="H1293" s="31" t="n">
        <v>1</v>
      </c>
      <c r="I1293" s="31" t="s">
        <v>51</v>
      </c>
      <c r="J1293" s="29" t="s">
        <v>52</v>
      </c>
      <c r="K1293" s="29" t="s">
        <v>53</v>
      </c>
      <c r="L1293" s="32" t="n">
        <v>149</v>
      </c>
      <c r="M1293" s="33" t="s">
        <v>54</v>
      </c>
      <c r="N1293" s="34" t="n">
        <v>75015</v>
      </c>
      <c r="O1293" s="35" t="s">
        <v>55</v>
      </c>
      <c r="P1293" s="36" t="s">
        <v>933</v>
      </c>
      <c r="Q1293" s="36" t="n">
        <v>236</v>
      </c>
      <c r="R1293" s="32" t="n">
        <v>151</v>
      </c>
      <c r="S1293" s="32" t="n">
        <v>1</v>
      </c>
      <c r="T1293" s="32"/>
      <c r="U1293" s="32"/>
      <c r="V1293" s="37"/>
      <c r="W1293" s="32"/>
      <c r="X1293" s="34"/>
      <c r="Y1293" s="34"/>
      <c r="Z1293" s="36"/>
      <c r="AA1293" s="32" t="s">
        <v>7667</v>
      </c>
      <c r="AB1293" s="32"/>
      <c r="AC1293" s="38" t="str">
        <f aca="false">HYPERLINK("https://biocodex6--c.vf.force.com/0014L00000KFNwNQAX", "DORVAL GUILLAUME")</f>
        <v>DORVAL GUILLAUME</v>
      </c>
      <c r="AD1293" s="38"/>
      <c r="AE1293" s="39"/>
      <c r="AF1293" s="40"/>
      <c r="AG1293" s="41"/>
      <c r="AH1293" s="32" t="s">
        <v>179</v>
      </c>
      <c r="AI1293" s="32"/>
      <c r="AL1293" s="32"/>
      <c r="AM1293" s="32"/>
      <c r="AN1293" s="32"/>
      <c r="AO1293" s="32"/>
      <c r="AP1293" s="32"/>
      <c r="AQ1293" s="32"/>
      <c r="AR1293" s="32"/>
      <c r="AS1293" s="32"/>
      <c r="AT1293" s="32"/>
      <c r="AU1293" s="32"/>
      <c r="XEY1293" s="27"/>
      <c r="XEZ1293" s="27"/>
      <c r="XFA1293" s="27"/>
      <c r="XFB1293" s="27"/>
      <c r="XFC1293" s="27"/>
      <c r="XFD1293" s="27"/>
    </row>
    <row r="1294" s="42" customFormat="true" ht="14.15" hidden="false" customHeight="true" outlineLevel="0" collapsed="false">
      <c r="A1294" s="28" t="s">
        <v>7668</v>
      </c>
      <c r="B1294" s="29" t="s">
        <v>160</v>
      </c>
      <c r="C1294" s="29" t="s">
        <v>7669</v>
      </c>
      <c r="D1294" s="30" t="s">
        <v>112</v>
      </c>
      <c r="E1294" s="31"/>
      <c r="F1294" s="32" t="n">
        <v>36</v>
      </c>
      <c r="G1294" s="31"/>
      <c r="H1294" s="31" t="n">
        <v>1</v>
      </c>
      <c r="I1294" s="31" t="s">
        <v>51</v>
      </c>
      <c r="J1294" s="29" t="s">
        <v>52</v>
      </c>
      <c r="K1294" s="29" t="s">
        <v>53</v>
      </c>
      <c r="L1294" s="32" t="n">
        <v>149</v>
      </c>
      <c r="M1294" s="33" t="s">
        <v>54</v>
      </c>
      <c r="N1294" s="34" t="n">
        <v>75015</v>
      </c>
      <c r="O1294" s="35" t="s">
        <v>55</v>
      </c>
      <c r="P1294" s="36" t="s">
        <v>1710</v>
      </c>
      <c r="Q1294" s="36" t="n">
        <v>236</v>
      </c>
      <c r="R1294" s="32" t="n">
        <v>151</v>
      </c>
      <c r="S1294" s="32" t="n">
        <v>1</v>
      </c>
      <c r="T1294" s="32"/>
      <c r="U1294" s="32"/>
      <c r="V1294" s="37"/>
      <c r="W1294" s="32"/>
      <c r="X1294" s="34"/>
      <c r="Y1294" s="34"/>
      <c r="Z1294" s="36"/>
      <c r="AA1294" s="32" t="s">
        <v>7670</v>
      </c>
      <c r="AB1294" s="32"/>
      <c r="AC1294" s="38" t="str">
        <f aca="false">HYPERLINK("https://biocodex6--c.vf.force.com/0014L00000KG9o1QAD", "JOLY CAMILLE")</f>
        <v>JOLY CAMILLE</v>
      </c>
      <c r="AD1294" s="38"/>
      <c r="AE1294" s="39"/>
      <c r="AF1294" s="40"/>
      <c r="AG1294" s="41"/>
      <c r="AH1294" s="32" t="s">
        <v>179</v>
      </c>
      <c r="AI1294" s="32"/>
      <c r="AL1294" s="32"/>
      <c r="AM1294" s="32"/>
      <c r="AN1294" s="32"/>
      <c r="AO1294" s="32"/>
      <c r="AP1294" s="32"/>
      <c r="AQ1294" s="32"/>
      <c r="AR1294" s="32"/>
      <c r="AS1294" s="32"/>
      <c r="AT1294" s="32"/>
      <c r="AU1294" s="32"/>
      <c r="XEY1294" s="27"/>
      <c r="XEZ1294" s="27"/>
      <c r="XFA1294" s="27"/>
      <c r="XFB1294" s="27"/>
      <c r="XFC1294" s="27"/>
      <c r="XFD1294" s="27"/>
    </row>
    <row r="1295" s="42" customFormat="true" ht="14.15" hidden="false" customHeight="true" outlineLevel="0" collapsed="false">
      <c r="A1295" s="28" t="s">
        <v>7671</v>
      </c>
      <c r="B1295" s="29" t="s">
        <v>4265</v>
      </c>
      <c r="C1295" s="29" t="s">
        <v>7672</v>
      </c>
      <c r="D1295" s="30" t="s">
        <v>50</v>
      </c>
      <c r="E1295" s="31"/>
      <c r="F1295" s="32"/>
      <c r="G1295" s="31"/>
      <c r="H1295" s="31" t="n">
        <v>1</v>
      </c>
      <c r="I1295" s="31" t="s">
        <v>233</v>
      </c>
      <c r="J1295" s="29" t="s">
        <v>4482</v>
      </c>
      <c r="K1295" s="29" t="s">
        <v>4483</v>
      </c>
      <c r="L1295" s="32" t="n">
        <v>10</v>
      </c>
      <c r="M1295" s="33" t="s">
        <v>4484</v>
      </c>
      <c r="N1295" s="34" t="n">
        <v>75015</v>
      </c>
      <c r="O1295" s="35" t="s">
        <v>55</v>
      </c>
      <c r="P1295" s="36" t="s">
        <v>7673</v>
      </c>
      <c r="Q1295" s="36" t="n">
        <v>7</v>
      </c>
      <c r="R1295" s="32" t="n">
        <v>151</v>
      </c>
      <c r="S1295" s="32" t="n">
        <v>1</v>
      </c>
      <c r="T1295" s="32"/>
      <c r="U1295" s="32"/>
      <c r="V1295" s="37"/>
      <c r="W1295" s="32"/>
      <c r="X1295" s="34"/>
      <c r="Y1295" s="34"/>
      <c r="Z1295" s="36"/>
      <c r="AA1295" s="32" t="s">
        <v>7674</v>
      </c>
      <c r="AB1295" s="32"/>
      <c r="AC1295" s="38" t="str">
        <f aca="false">HYPERLINK("https://biocodex6--c.vf.force.com/0014L00000KGDLzQAP", "FOUDJET CARINE")</f>
        <v>FOUDJET CARINE</v>
      </c>
      <c r="AD1295" s="38"/>
      <c r="AE1295" s="39"/>
      <c r="AF1295" s="40"/>
      <c r="AG1295" s="41"/>
      <c r="AH1295" s="32" t="s">
        <v>179</v>
      </c>
      <c r="AI1295" s="32"/>
      <c r="AL1295" s="32"/>
      <c r="AM1295" s="32"/>
      <c r="AN1295" s="32"/>
      <c r="AO1295" s="32"/>
      <c r="AP1295" s="32"/>
      <c r="AQ1295" s="32"/>
      <c r="AR1295" s="32"/>
      <c r="AS1295" s="32"/>
      <c r="AT1295" s="32"/>
      <c r="AU1295" s="32"/>
      <c r="XEY1295" s="27"/>
      <c r="XEZ1295" s="27"/>
      <c r="XFA1295" s="27"/>
      <c r="XFB1295" s="27"/>
      <c r="XFC1295" s="27"/>
      <c r="XFD1295" s="27"/>
    </row>
    <row r="1296" s="42" customFormat="true" ht="14.15" hidden="false" customHeight="true" outlineLevel="0" collapsed="false">
      <c r="A1296" s="28" t="s">
        <v>7675</v>
      </c>
      <c r="B1296" s="29" t="s">
        <v>3524</v>
      </c>
      <c r="C1296" s="29" t="s">
        <v>7676</v>
      </c>
      <c r="D1296" s="30" t="s">
        <v>50</v>
      </c>
      <c r="E1296" s="31"/>
      <c r="F1296" s="32" t="n">
        <v>0</v>
      </c>
      <c r="G1296" s="31"/>
      <c r="H1296" s="31" t="n">
        <v>1</v>
      </c>
      <c r="I1296" s="31" t="s">
        <v>572</v>
      </c>
      <c r="J1296" s="29" t="s">
        <v>678</v>
      </c>
      <c r="K1296" s="29" t="s">
        <v>679</v>
      </c>
      <c r="L1296" s="32" t="n">
        <v>6</v>
      </c>
      <c r="M1296" s="33" t="s">
        <v>680</v>
      </c>
      <c r="N1296" s="34" t="n">
        <v>75008</v>
      </c>
      <c r="O1296" s="35" t="s">
        <v>55</v>
      </c>
      <c r="P1296" s="36" t="s">
        <v>870</v>
      </c>
      <c r="Q1296" s="36" t="n">
        <v>43</v>
      </c>
      <c r="R1296" s="32" t="n">
        <v>150</v>
      </c>
      <c r="S1296" s="32" t="n">
        <v>1</v>
      </c>
      <c r="T1296" s="32"/>
      <c r="U1296" s="32"/>
      <c r="V1296" s="37"/>
      <c r="W1296" s="32"/>
      <c r="X1296" s="34"/>
      <c r="Y1296" s="34"/>
      <c r="Z1296" s="36"/>
      <c r="AA1296" s="32" t="s">
        <v>7677</v>
      </c>
      <c r="AB1296" s="32"/>
      <c r="AC1296" s="38" t="str">
        <f aca="false">HYPERLINK("https://biocodex6--c.vf.force.com/0014L00000KFk4yQAD", "COLLIN JEAN NOEL")</f>
        <v>COLLIN JEAN NOEL</v>
      </c>
      <c r="AD1296" s="38"/>
      <c r="AE1296" s="39" t="n">
        <v>45461.5416666667</v>
      </c>
      <c r="AF1296" s="40" t="s">
        <v>7678</v>
      </c>
      <c r="AG1296" s="41"/>
      <c r="AH1296" s="32" t="s">
        <v>179</v>
      </c>
      <c r="AI1296" s="32"/>
      <c r="AL1296" s="32"/>
      <c r="AM1296" s="32"/>
      <c r="AN1296" s="32"/>
      <c r="AO1296" s="32"/>
      <c r="AP1296" s="32"/>
      <c r="AQ1296" s="32"/>
      <c r="AR1296" s="32"/>
      <c r="AS1296" s="32"/>
      <c r="AT1296" s="32"/>
      <c r="AU1296" s="32"/>
      <c r="XEY1296" s="27"/>
      <c r="XEZ1296" s="27"/>
      <c r="XFA1296" s="27"/>
      <c r="XFB1296" s="27"/>
      <c r="XFC1296" s="27"/>
      <c r="XFD1296" s="27"/>
    </row>
    <row r="1297" s="42" customFormat="true" ht="14.15" hidden="false" customHeight="true" outlineLevel="0" collapsed="false">
      <c r="A1297" s="28" t="s">
        <v>7679</v>
      </c>
      <c r="B1297" s="29" t="s">
        <v>7680</v>
      </c>
      <c r="C1297" s="29" t="s">
        <v>7681</v>
      </c>
      <c r="D1297" s="30" t="s">
        <v>50</v>
      </c>
      <c r="E1297" s="31"/>
      <c r="F1297" s="32" t="n">
        <v>0</v>
      </c>
      <c r="G1297" s="31"/>
      <c r="H1297" s="31" t="n">
        <v>1</v>
      </c>
      <c r="I1297" s="31" t="s">
        <v>572</v>
      </c>
      <c r="J1297" s="29" t="s">
        <v>678</v>
      </c>
      <c r="K1297" s="29" t="s">
        <v>679</v>
      </c>
      <c r="L1297" s="32" t="n">
        <v>6</v>
      </c>
      <c r="M1297" s="33" t="s">
        <v>680</v>
      </c>
      <c r="N1297" s="34" t="n">
        <v>75008</v>
      </c>
      <c r="O1297" s="35" t="s">
        <v>55</v>
      </c>
      <c r="P1297" s="36" t="s">
        <v>870</v>
      </c>
      <c r="Q1297" s="36" t="n">
        <v>43</v>
      </c>
      <c r="R1297" s="32" t="n">
        <v>150</v>
      </c>
      <c r="S1297" s="32" t="n">
        <v>1</v>
      </c>
      <c r="T1297" s="32"/>
      <c r="U1297" s="32"/>
      <c r="V1297" s="37"/>
      <c r="W1297" s="32"/>
      <c r="X1297" s="34"/>
      <c r="Y1297" s="34"/>
      <c r="Z1297" s="36"/>
      <c r="AA1297" s="32" t="s">
        <v>7682</v>
      </c>
      <c r="AB1297" s="32"/>
      <c r="AC1297" s="38" t="str">
        <f aca="false">HYPERLINK("https://biocodex6--c.vf.force.com/0014L00000KFUrtQAH", "BORUCHOT BARBARA")</f>
        <v>BORUCHOT BARBARA</v>
      </c>
      <c r="AD1297" s="38"/>
      <c r="AE1297" s="39" t="n">
        <v>45461.625</v>
      </c>
      <c r="AF1297" s="40" t="s">
        <v>7683</v>
      </c>
      <c r="AG1297" s="41"/>
      <c r="AH1297" s="32" t="s">
        <v>179</v>
      </c>
      <c r="AI1297" s="32"/>
      <c r="AL1297" s="32"/>
      <c r="AM1297" s="32"/>
      <c r="AN1297" s="32"/>
      <c r="AO1297" s="32"/>
      <c r="AP1297" s="32"/>
      <c r="AQ1297" s="32"/>
      <c r="AR1297" s="32"/>
      <c r="AS1297" s="32"/>
      <c r="AT1297" s="32"/>
      <c r="AU1297" s="32"/>
      <c r="XEY1297" s="27"/>
      <c r="XEZ1297" s="27"/>
      <c r="XFA1297" s="27"/>
      <c r="XFB1297" s="27"/>
      <c r="XFC1297" s="27"/>
      <c r="XFD1297" s="27"/>
    </row>
    <row r="1298" s="42" customFormat="true" ht="14.15" hidden="false" customHeight="true" outlineLevel="0" collapsed="false">
      <c r="A1298" s="28" t="s">
        <v>7684</v>
      </c>
      <c r="B1298" s="29" t="s">
        <v>7685</v>
      </c>
      <c r="C1298" s="29" t="s">
        <v>7686</v>
      </c>
      <c r="D1298" s="30" t="s">
        <v>50</v>
      </c>
      <c r="E1298" s="30" t="s">
        <v>421</v>
      </c>
      <c r="F1298" s="32" t="n">
        <v>67</v>
      </c>
      <c r="G1298" s="31"/>
      <c r="H1298" s="31" t="n">
        <v>2</v>
      </c>
      <c r="I1298" s="31" t="s">
        <v>51</v>
      </c>
      <c r="J1298" s="29" t="s">
        <v>2010</v>
      </c>
      <c r="K1298" s="29" t="s">
        <v>2011</v>
      </c>
      <c r="L1298" s="32" t="n">
        <v>37</v>
      </c>
      <c r="M1298" s="33" t="s">
        <v>2012</v>
      </c>
      <c r="N1298" s="34" t="n">
        <v>75015</v>
      </c>
      <c r="O1298" s="35" t="s">
        <v>55</v>
      </c>
      <c r="P1298" s="36" t="s">
        <v>2013</v>
      </c>
      <c r="Q1298" s="36" t="n">
        <v>19</v>
      </c>
      <c r="R1298" s="32" t="n">
        <v>150</v>
      </c>
      <c r="S1298" s="32" t="n">
        <v>1</v>
      </c>
      <c r="T1298" s="32"/>
      <c r="U1298" s="32"/>
      <c r="V1298" s="37"/>
      <c r="W1298" s="32"/>
      <c r="X1298" s="34"/>
      <c r="Y1298" s="34"/>
      <c r="Z1298" s="32"/>
      <c r="AA1298" s="32" t="s">
        <v>7687</v>
      </c>
      <c r="AB1298" s="32"/>
      <c r="AC1298" s="38" t="str">
        <f aca="false">HYPERLINK("https://biocodex6--c.vf.force.com/0014L00000KG3qDQAT", "NGUYEN TRONG HIEU")</f>
        <v>NGUYEN TRONG HIEU</v>
      </c>
      <c r="AD1298" s="38"/>
      <c r="AE1298" s="39" t="n">
        <v>45267.4583333333</v>
      </c>
      <c r="AF1298" s="40" t="s">
        <v>7688</v>
      </c>
      <c r="AG1298" s="41"/>
      <c r="AH1298" s="32"/>
      <c r="AI1298" s="32"/>
      <c r="AL1298" s="32"/>
      <c r="AM1298" s="32"/>
      <c r="AN1298" s="32"/>
      <c r="AO1298" s="32"/>
      <c r="AP1298" s="32"/>
      <c r="AQ1298" s="32"/>
      <c r="AR1298" s="32"/>
      <c r="AS1298" s="32"/>
      <c r="AT1298" s="32"/>
      <c r="AU1298" s="32"/>
      <c r="XEY1298" s="27"/>
      <c r="XEZ1298" s="27"/>
      <c r="XFA1298" s="27"/>
      <c r="XFB1298" s="27"/>
      <c r="XFC1298" s="27"/>
      <c r="XFD1298" s="27"/>
    </row>
    <row r="1299" s="42" customFormat="true" ht="14.15" hidden="false" customHeight="true" outlineLevel="0" collapsed="false">
      <c r="A1299" s="28" t="s">
        <v>7689</v>
      </c>
      <c r="B1299" s="29" t="s">
        <v>399</v>
      </c>
      <c r="C1299" s="29" t="s">
        <v>7690</v>
      </c>
      <c r="D1299" s="30" t="s">
        <v>50</v>
      </c>
      <c r="E1299" s="31"/>
      <c r="F1299" s="32" t="n">
        <v>72</v>
      </c>
      <c r="G1299" s="31"/>
      <c r="H1299" s="31" t="n">
        <v>1</v>
      </c>
      <c r="I1299" s="31" t="s">
        <v>572</v>
      </c>
      <c r="J1299" s="29" t="s">
        <v>678</v>
      </c>
      <c r="K1299" s="29" t="s">
        <v>679</v>
      </c>
      <c r="L1299" s="32" t="n">
        <v>6</v>
      </c>
      <c r="M1299" s="33" t="s">
        <v>680</v>
      </c>
      <c r="N1299" s="34" t="n">
        <v>75008</v>
      </c>
      <c r="O1299" s="35" t="s">
        <v>55</v>
      </c>
      <c r="P1299" s="36" t="s">
        <v>870</v>
      </c>
      <c r="Q1299" s="36" t="n">
        <v>43</v>
      </c>
      <c r="R1299" s="32" t="n">
        <v>150</v>
      </c>
      <c r="S1299" s="32" t="n">
        <v>1</v>
      </c>
      <c r="T1299" s="32"/>
      <c r="U1299" s="32"/>
      <c r="V1299" s="37"/>
      <c r="W1299" s="32"/>
      <c r="X1299" s="34" t="n">
        <v>1</v>
      </c>
      <c r="Y1299" s="34"/>
      <c r="Z1299" s="32"/>
      <c r="AA1299" s="32" t="s">
        <v>7691</v>
      </c>
      <c r="AB1299" s="32"/>
      <c r="AC1299" s="38" t="str">
        <f aca="false">HYPERLINK("https://biocodex6--c.vf.force.com/0014L00000KFWnMQAX", "CIRILLI OLIVIER")</f>
        <v>CIRILLI OLIVIER</v>
      </c>
      <c r="AD1299" s="38"/>
      <c r="AE1299" s="39" t="n">
        <v>45191.4791666667</v>
      </c>
      <c r="AF1299" s="40"/>
      <c r="AG1299" s="41"/>
      <c r="AH1299" s="32"/>
      <c r="AI1299" s="32"/>
      <c r="AL1299" s="32"/>
      <c r="AM1299" s="32"/>
      <c r="AN1299" s="32"/>
      <c r="AO1299" s="32"/>
      <c r="AP1299" s="32"/>
      <c r="AQ1299" s="32"/>
      <c r="AR1299" s="32"/>
      <c r="AS1299" s="32"/>
      <c r="AT1299" s="32"/>
      <c r="AU1299" s="32"/>
      <c r="XEY1299" s="27"/>
      <c r="XEZ1299" s="27"/>
      <c r="XFA1299" s="27"/>
      <c r="XFB1299" s="27"/>
      <c r="XFC1299" s="27"/>
      <c r="XFD1299" s="27"/>
    </row>
    <row r="1300" s="42" customFormat="true" ht="14.15" hidden="false" customHeight="true" outlineLevel="0" collapsed="false">
      <c r="A1300" s="28" t="s">
        <v>6697</v>
      </c>
      <c r="B1300" s="29" t="s">
        <v>6347</v>
      </c>
      <c r="C1300" s="29" t="s">
        <v>7692</v>
      </c>
      <c r="D1300" s="30" t="s">
        <v>206</v>
      </c>
      <c r="E1300" s="31"/>
      <c r="F1300" s="32" t="n">
        <v>63</v>
      </c>
      <c r="G1300" s="31" t="s">
        <v>98</v>
      </c>
      <c r="H1300" s="31" t="n">
        <v>1</v>
      </c>
      <c r="I1300" s="31" t="s">
        <v>51</v>
      </c>
      <c r="J1300" s="29"/>
      <c r="K1300" s="29" t="s">
        <v>7693</v>
      </c>
      <c r="L1300" s="32" t="n">
        <v>8</v>
      </c>
      <c r="M1300" s="33" t="s">
        <v>7694</v>
      </c>
      <c r="N1300" s="34" t="n">
        <v>75015</v>
      </c>
      <c r="O1300" s="35" t="s">
        <v>55</v>
      </c>
      <c r="P1300" s="36" t="s">
        <v>7695</v>
      </c>
      <c r="Q1300" s="36" t="n">
        <v>1</v>
      </c>
      <c r="R1300" s="32" t="n">
        <v>150</v>
      </c>
      <c r="S1300" s="32" t="n">
        <v>1</v>
      </c>
      <c r="T1300" s="32"/>
      <c r="U1300" s="32" t="n">
        <v>3</v>
      </c>
      <c r="V1300" s="37" t="n">
        <v>3</v>
      </c>
      <c r="W1300" s="32" t="n">
        <v>4</v>
      </c>
      <c r="X1300" s="34" t="n">
        <v>2</v>
      </c>
      <c r="Y1300" s="34" t="n">
        <v>2</v>
      </c>
      <c r="Z1300" s="32"/>
      <c r="AA1300" s="32" t="s">
        <v>7696</v>
      </c>
      <c r="AB1300" s="32" t="s">
        <v>7697</v>
      </c>
      <c r="AC1300" s="38" t="str">
        <f aca="false">HYPERLINK("https://biocodex6--c.vf.force.com/0014L00000KFtWWQA1", "NGUYEN MARIE NOELLE")</f>
        <v>NGUYEN MARIE NOELLE</v>
      </c>
      <c r="AD1300" s="38" t="str">
        <f aca="false">HYPERLINK("https://annuairesante.ameli.fr/professionnels-de-sante/recherche/fiche-detaillee-B7c1lzY1MTCx.html", "NGUYEN MARIE NOELLE")</f>
        <v>NGUYEN MARIE NOELLE</v>
      </c>
      <c r="AE1300" s="39" t="n">
        <v>45190.4166666667</v>
      </c>
      <c r="AF1300" s="40" t="s">
        <v>7698</v>
      </c>
      <c r="AG1300" s="41"/>
      <c r="AH1300" s="32"/>
      <c r="AI1300" s="32" t="s">
        <v>71</v>
      </c>
      <c r="AL1300" s="32"/>
      <c r="AM1300" s="43" t="s">
        <v>923</v>
      </c>
      <c r="AN1300" s="43" t="s">
        <v>5543</v>
      </c>
      <c r="AO1300" s="43" t="s">
        <v>7699</v>
      </c>
      <c r="AP1300" s="32"/>
      <c r="AQ1300" s="32"/>
      <c r="AR1300" s="43" t="s">
        <v>5543</v>
      </c>
      <c r="AS1300" s="43" t="s">
        <v>7699</v>
      </c>
      <c r="AT1300" s="32"/>
      <c r="AU1300" s="43" t="s">
        <v>7699</v>
      </c>
      <c r="XEY1300" s="27"/>
      <c r="XEZ1300" s="27"/>
      <c r="XFA1300" s="27"/>
      <c r="XFB1300" s="27"/>
      <c r="XFC1300" s="27"/>
      <c r="XFD1300" s="27"/>
    </row>
    <row r="1301" s="42" customFormat="true" ht="14.15" hidden="false" customHeight="true" outlineLevel="0" collapsed="false">
      <c r="A1301" s="28" t="s">
        <v>6697</v>
      </c>
      <c r="B1301" s="29" t="s">
        <v>7700</v>
      </c>
      <c r="C1301" s="29" t="s">
        <v>7701</v>
      </c>
      <c r="D1301" s="30" t="s">
        <v>50</v>
      </c>
      <c r="E1301" s="31"/>
      <c r="F1301" s="32" t="n">
        <v>64</v>
      </c>
      <c r="G1301" s="31"/>
      <c r="H1301" s="31" t="n">
        <v>2</v>
      </c>
      <c r="I1301" s="31" t="s">
        <v>572</v>
      </c>
      <c r="J1301" s="29" t="s">
        <v>678</v>
      </c>
      <c r="K1301" s="29" t="s">
        <v>679</v>
      </c>
      <c r="L1301" s="32" t="n">
        <v>6</v>
      </c>
      <c r="M1301" s="33" t="s">
        <v>680</v>
      </c>
      <c r="N1301" s="34" t="n">
        <v>75008</v>
      </c>
      <c r="O1301" s="35" t="s">
        <v>55</v>
      </c>
      <c r="P1301" s="36" t="s">
        <v>870</v>
      </c>
      <c r="Q1301" s="36" t="n">
        <v>43</v>
      </c>
      <c r="R1301" s="32" t="n">
        <v>150</v>
      </c>
      <c r="S1301" s="32" t="n">
        <v>1</v>
      </c>
      <c r="T1301" s="32"/>
      <c r="U1301" s="32"/>
      <c r="V1301" s="37"/>
      <c r="W1301" s="32"/>
      <c r="X1301" s="34" t="n">
        <v>1</v>
      </c>
      <c r="Y1301" s="34"/>
      <c r="Z1301" s="32"/>
      <c r="AA1301" s="32" t="s">
        <v>7702</v>
      </c>
      <c r="AB1301" s="32"/>
      <c r="AC1301" s="38" t="str">
        <f aca="false">HYPERLINK("https://biocodex6--c.vf.force.com/0014L00000KFtAYQA1", "NGUYEN TRONG HIEN")</f>
        <v>NGUYEN TRONG HIEN</v>
      </c>
      <c r="AD1301" s="38"/>
      <c r="AE1301" s="39"/>
      <c r="AF1301" s="40"/>
      <c r="AG1301" s="41"/>
      <c r="AH1301" s="32"/>
      <c r="AI1301" s="32"/>
      <c r="AL1301" s="32"/>
      <c r="AM1301" s="32"/>
      <c r="AN1301" s="32"/>
      <c r="AO1301" s="32"/>
      <c r="AP1301" s="32"/>
      <c r="AQ1301" s="32"/>
      <c r="AR1301" s="32"/>
      <c r="AS1301" s="32"/>
      <c r="AT1301" s="32"/>
      <c r="AU1301" s="32"/>
      <c r="XEY1301" s="27"/>
      <c r="XEZ1301" s="27"/>
      <c r="XFA1301" s="27"/>
      <c r="XFB1301" s="27"/>
      <c r="XFC1301" s="27"/>
      <c r="XFD1301" s="27"/>
    </row>
    <row r="1302" s="42" customFormat="true" ht="14.15" hidden="false" customHeight="true" outlineLevel="0" collapsed="false">
      <c r="A1302" s="28" t="s">
        <v>7703</v>
      </c>
      <c r="B1302" s="29" t="s">
        <v>399</v>
      </c>
      <c r="C1302" s="29" t="s">
        <v>7704</v>
      </c>
      <c r="D1302" s="30" t="s">
        <v>50</v>
      </c>
      <c r="E1302" s="30" t="s">
        <v>890</v>
      </c>
      <c r="F1302" s="32" t="n">
        <v>67</v>
      </c>
      <c r="G1302" s="31"/>
      <c r="H1302" s="31" t="n">
        <v>1</v>
      </c>
      <c r="I1302" s="31" t="s">
        <v>572</v>
      </c>
      <c r="J1302" s="29" t="s">
        <v>678</v>
      </c>
      <c r="K1302" s="29" t="s">
        <v>679</v>
      </c>
      <c r="L1302" s="32" t="n">
        <v>6</v>
      </c>
      <c r="M1302" s="33" t="s">
        <v>680</v>
      </c>
      <c r="N1302" s="34" t="n">
        <v>75008</v>
      </c>
      <c r="O1302" s="35" t="s">
        <v>55</v>
      </c>
      <c r="P1302" s="36" t="s">
        <v>870</v>
      </c>
      <c r="Q1302" s="36" t="n">
        <v>43</v>
      </c>
      <c r="R1302" s="32" t="n">
        <v>150</v>
      </c>
      <c r="S1302" s="32" t="n">
        <v>1</v>
      </c>
      <c r="T1302" s="32"/>
      <c r="U1302" s="32"/>
      <c r="V1302" s="37"/>
      <c r="W1302" s="32"/>
      <c r="X1302" s="34"/>
      <c r="Y1302" s="34"/>
      <c r="Z1302" s="36"/>
      <c r="AA1302" s="32" t="s">
        <v>7705</v>
      </c>
      <c r="AB1302" s="32"/>
      <c r="AC1302" s="38" t="str">
        <f aca="false">HYPERLINK("https://biocodex6--c.vf.force.com/0014L00000KFxzBQAT", "REIGNEAU OLIVIER")</f>
        <v>REIGNEAU OLIVIER</v>
      </c>
      <c r="AD1302" s="38"/>
      <c r="AE1302" s="39"/>
      <c r="AF1302" s="40"/>
      <c r="AG1302" s="41"/>
      <c r="AH1302" s="32" t="s">
        <v>179</v>
      </c>
      <c r="AI1302" s="32"/>
      <c r="AL1302" s="32"/>
      <c r="AM1302" s="32"/>
      <c r="AN1302" s="32"/>
      <c r="AO1302" s="32"/>
      <c r="AP1302" s="32"/>
      <c r="AQ1302" s="32"/>
      <c r="AR1302" s="32"/>
      <c r="AS1302" s="32"/>
      <c r="AT1302" s="32"/>
      <c r="AU1302" s="32"/>
      <c r="XEY1302" s="27"/>
      <c r="XEZ1302" s="27"/>
      <c r="XFA1302" s="27"/>
      <c r="XFB1302" s="27"/>
      <c r="XFC1302" s="27"/>
      <c r="XFD1302" s="27"/>
    </row>
    <row r="1303" s="42" customFormat="true" ht="14.15" hidden="false" customHeight="true" outlineLevel="0" collapsed="false">
      <c r="A1303" s="28" t="s">
        <v>7706</v>
      </c>
      <c r="B1303" s="29" t="s">
        <v>1143</v>
      </c>
      <c r="C1303" s="29" t="s">
        <v>7707</v>
      </c>
      <c r="D1303" s="30" t="s">
        <v>50</v>
      </c>
      <c r="E1303" s="30" t="s">
        <v>401</v>
      </c>
      <c r="F1303" s="32" t="n">
        <v>75</v>
      </c>
      <c r="G1303" s="31"/>
      <c r="H1303" s="31" t="n">
        <v>2</v>
      </c>
      <c r="I1303" s="31" t="s">
        <v>572</v>
      </c>
      <c r="J1303" s="29" t="s">
        <v>678</v>
      </c>
      <c r="K1303" s="29" t="s">
        <v>679</v>
      </c>
      <c r="L1303" s="32" t="n">
        <v>6</v>
      </c>
      <c r="M1303" s="33" t="s">
        <v>680</v>
      </c>
      <c r="N1303" s="34" t="n">
        <v>75008</v>
      </c>
      <c r="O1303" s="35" t="s">
        <v>55</v>
      </c>
      <c r="P1303" s="36" t="s">
        <v>870</v>
      </c>
      <c r="Q1303" s="36" t="n">
        <v>43</v>
      </c>
      <c r="R1303" s="32" t="n">
        <v>150</v>
      </c>
      <c r="S1303" s="32" t="n">
        <v>1</v>
      </c>
      <c r="T1303" s="32"/>
      <c r="U1303" s="32"/>
      <c r="V1303" s="37"/>
      <c r="W1303" s="32"/>
      <c r="X1303" s="34"/>
      <c r="Y1303" s="34"/>
      <c r="Z1303" s="32"/>
      <c r="AA1303" s="32" t="s">
        <v>7708</v>
      </c>
      <c r="AB1303" s="32"/>
      <c r="AC1303" s="38" t="str">
        <f aca="false">HYPERLINK("https://biocodex6--c.vf.force.com/0014L00000KFwL1QAL", "PITOUN MARC")</f>
        <v>PITOUN MARC</v>
      </c>
      <c r="AD1303" s="38"/>
      <c r="AE1303" s="39"/>
      <c r="AF1303" s="40"/>
      <c r="AG1303" s="41"/>
      <c r="AH1303" s="32"/>
      <c r="AI1303" s="32"/>
      <c r="AL1303" s="32"/>
      <c r="AM1303" s="32"/>
      <c r="AN1303" s="32"/>
      <c r="AO1303" s="32"/>
      <c r="AP1303" s="32"/>
      <c r="AQ1303" s="32"/>
      <c r="AR1303" s="32"/>
      <c r="AS1303" s="32"/>
      <c r="AT1303" s="32"/>
      <c r="AU1303" s="32"/>
      <c r="XEY1303" s="27"/>
      <c r="XEZ1303" s="27"/>
      <c r="XFA1303" s="27"/>
      <c r="XFB1303" s="27"/>
      <c r="XFC1303" s="27"/>
      <c r="XFD1303" s="27"/>
    </row>
    <row r="1304" s="42" customFormat="true" ht="14.15" hidden="false" customHeight="true" outlineLevel="0" collapsed="false">
      <c r="A1304" s="28" t="s">
        <v>7709</v>
      </c>
      <c r="B1304" s="29" t="s">
        <v>2153</v>
      </c>
      <c r="C1304" s="29" t="s">
        <v>7710</v>
      </c>
      <c r="D1304" s="30" t="s">
        <v>206</v>
      </c>
      <c r="E1304" s="31"/>
      <c r="F1304" s="32" t="n">
        <v>37</v>
      </c>
      <c r="G1304" s="31"/>
      <c r="H1304" s="31" t="n">
        <v>1</v>
      </c>
      <c r="I1304" s="31" t="s">
        <v>572</v>
      </c>
      <c r="J1304" s="29" t="s">
        <v>678</v>
      </c>
      <c r="K1304" s="29" t="s">
        <v>679</v>
      </c>
      <c r="L1304" s="32" t="n">
        <v>6</v>
      </c>
      <c r="M1304" s="33" t="s">
        <v>680</v>
      </c>
      <c r="N1304" s="34" t="n">
        <v>75008</v>
      </c>
      <c r="O1304" s="35" t="s">
        <v>55</v>
      </c>
      <c r="P1304" s="36" t="s">
        <v>870</v>
      </c>
      <c r="Q1304" s="36" t="n">
        <v>43</v>
      </c>
      <c r="R1304" s="32" t="n">
        <v>150</v>
      </c>
      <c r="S1304" s="32" t="n">
        <v>1</v>
      </c>
      <c r="T1304" s="32"/>
      <c r="U1304" s="32"/>
      <c r="V1304" s="37"/>
      <c r="W1304" s="32"/>
      <c r="X1304" s="34"/>
      <c r="Y1304" s="34"/>
      <c r="Z1304" s="36"/>
      <c r="AA1304" s="32" t="s">
        <v>7711</v>
      </c>
      <c r="AB1304" s="32"/>
      <c r="AC1304" s="38" t="str">
        <f aca="false">HYPERLINK("https://biocodex6--c.vf.force.com/0014L00000KFO8gQAH", "ROUSSEL VICTOIRE")</f>
        <v>ROUSSEL VICTOIRE</v>
      </c>
      <c r="AD1304" s="38"/>
      <c r="AE1304" s="39"/>
      <c r="AF1304" s="40"/>
      <c r="AG1304" s="41"/>
      <c r="AH1304" s="32" t="s">
        <v>179</v>
      </c>
      <c r="AI1304" s="32"/>
      <c r="AL1304" s="32"/>
      <c r="AM1304" s="32"/>
      <c r="AN1304" s="32"/>
      <c r="AO1304" s="32"/>
      <c r="AP1304" s="32"/>
      <c r="AQ1304" s="32"/>
      <c r="AR1304" s="32"/>
      <c r="AS1304" s="32"/>
      <c r="AT1304" s="32"/>
      <c r="AU1304" s="32"/>
      <c r="XEY1304" s="27"/>
      <c r="XEZ1304" s="27"/>
      <c r="XFA1304" s="27"/>
      <c r="XFB1304" s="27"/>
      <c r="XFC1304" s="27"/>
      <c r="XFD1304" s="27"/>
    </row>
    <row r="1305" s="42" customFormat="true" ht="14.15" hidden="false" customHeight="true" outlineLevel="0" collapsed="false">
      <c r="A1305" s="28" t="s">
        <v>7712</v>
      </c>
      <c r="B1305" s="29" t="s">
        <v>839</v>
      </c>
      <c r="C1305" s="29" t="s">
        <v>7713</v>
      </c>
      <c r="D1305" s="30" t="s">
        <v>50</v>
      </c>
      <c r="E1305" s="30" t="s">
        <v>776</v>
      </c>
      <c r="F1305" s="32" t="n">
        <v>54</v>
      </c>
      <c r="G1305" s="31" t="s">
        <v>345</v>
      </c>
      <c r="H1305" s="31" t="n">
        <v>1</v>
      </c>
      <c r="I1305" s="31" t="s">
        <v>51</v>
      </c>
      <c r="J1305" s="29"/>
      <c r="K1305" s="29" t="s">
        <v>7714</v>
      </c>
      <c r="L1305" s="32" t="n">
        <v>3</v>
      </c>
      <c r="M1305" s="33" t="s">
        <v>7715</v>
      </c>
      <c r="N1305" s="34" t="n">
        <v>75015</v>
      </c>
      <c r="O1305" s="35" t="s">
        <v>55</v>
      </c>
      <c r="P1305" s="36" t="s">
        <v>7716</v>
      </c>
      <c r="Q1305" s="36" t="n">
        <v>1</v>
      </c>
      <c r="R1305" s="32" t="n">
        <v>150</v>
      </c>
      <c r="S1305" s="32" t="n">
        <v>1</v>
      </c>
      <c r="T1305" s="32"/>
      <c r="U1305" s="32"/>
      <c r="V1305" s="37"/>
      <c r="W1305" s="32"/>
      <c r="X1305" s="34"/>
      <c r="Y1305" s="34"/>
      <c r="Z1305" s="36"/>
      <c r="AA1305" s="32" t="s">
        <v>7717</v>
      </c>
      <c r="AB1305" s="32" t="s">
        <v>7718</v>
      </c>
      <c r="AC1305" s="38" t="str">
        <f aca="false">HYPERLINK("https://biocodex6--c.vf.force.com/0014L00000KFtL9QAL", "MONDOLONI GILLES")</f>
        <v>MONDOLONI GILLES</v>
      </c>
      <c r="AD1305" s="38" t="str">
        <f aca="false">HYPERLINK("https://annuairesante.ameli.fr/professionnels-de-sante/recherche/fiche-detaillee-B7c1kjoyNTa2.html", "MONDOLONI GILLES")</f>
        <v>MONDOLONI GILLES</v>
      </c>
      <c r="AE1305" s="39"/>
      <c r="AF1305" s="40"/>
      <c r="AG1305" s="41"/>
      <c r="AH1305" s="32" t="s">
        <v>179</v>
      </c>
      <c r="AI1305" s="32"/>
      <c r="AL1305" s="32"/>
      <c r="AM1305" s="32"/>
      <c r="AN1305" s="32"/>
      <c r="AO1305" s="32"/>
      <c r="AP1305" s="32"/>
      <c r="AQ1305" s="32"/>
      <c r="AR1305" s="32"/>
      <c r="AS1305" s="32"/>
      <c r="AT1305" s="32"/>
      <c r="AU1305" s="32"/>
      <c r="XEY1305" s="27"/>
      <c r="XEZ1305" s="27"/>
      <c r="XFA1305" s="27"/>
      <c r="XFB1305" s="27"/>
      <c r="XFC1305" s="27"/>
      <c r="XFD1305" s="27"/>
    </row>
    <row r="1306" s="42" customFormat="true" ht="14.15" hidden="false" customHeight="true" outlineLevel="0" collapsed="false">
      <c r="A1306" s="28" t="s">
        <v>7719</v>
      </c>
      <c r="B1306" s="29" t="s">
        <v>7720</v>
      </c>
      <c r="C1306" s="29" t="s">
        <v>7721</v>
      </c>
      <c r="D1306" s="30" t="s">
        <v>50</v>
      </c>
      <c r="E1306" s="30" t="s">
        <v>1277</v>
      </c>
      <c r="F1306" s="32" t="n">
        <v>55</v>
      </c>
      <c r="G1306" s="31" t="s">
        <v>345</v>
      </c>
      <c r="H1306" s="31" t="n">
        <v>1</v>
      </c>
      <c r="I1306" s="31" t="s">
        <v>62</v>
      </c>
      <c r="J1306" s="29"/>
      <c r="K1306" s="29" t="s">
        <v>7722</v>
      </c>
      <c r="L1306" s="32" t="n">
        <v>82</v>
      </c>
      <c r="M1306" s="33" t="s">
        <v>2804</v>
      </c>
      <c r="N1306" s="34" t="n">
        <v>75017</v>
      </c>
      <c r="O1306" s="35" t="s">
        <v>55</v>
      </c>
      <c r="P1306" s="36" t="s">
        <v>7723</v>
      </c>
      <c r="Q1306" s="36" t="n">
        <v>1</v>
      </c>
      <c r="R1306" s="32" t="n">
        <v>150</v>
      </c>
      <c r="S1306" s="32" t="n">
        <v>1</v>
      </c>
      <c r="T1306" s="32"/>
      <c r="U1306" s="32"/>
      <c r="V1306" s="37"/>
      <c r="W1306" s="32"/>
      <c r="X1306" s="34"/>
      <c r="Y1306" s="34"/>
      <c r="Z1306" s="36"/>
      <c r="AA1306" s="32" t="s">
        <v>7724</v>
      </c>
      <c r="AB1306" s="32" t="s">
        <v>7725</v>
      </c>
      <c r="AC1306" s="38" t="str">
        <f aca="false">HYPERLINK("https://biocodex6--c.vf.force.com/0014L00000KFwdxQAD", "PAVAGEAU WILFRID")</f>
        <v>PAVAGEAU WILFRID</v>
      </c>
      <c r="AD1306" s="38" t="str">
        <f aca="false">HYPERLINK("https://annuairesante.ameli.fr/professionnels-de-sante/recherche/fiche-detaillee-B7c1mzcxNzG2.html", "PAVAGEAU WILFRID")</f>
        <v>PAVAGEAU WILFRID</v>
      </c>
      <c r="AE1306" s="39"/>
      <c r="AF1306" s="40"/>
      <c r="AG1306" s="41"/>
      <c r="AH1306" s="32" t="s">
        <v>179</v>
      </c>
      <c r="AI1306" s="32"/>
      <c r="AL1306" s="32"/>
      <c r="AM1306" s="32"/>
      <c r="AN1306" s="32"/>
      <c r="AO1306" s="32"/>
      <c r="AP1306" s="32"/>
      <c r="AQ1306" s="32"/>
      <c r="AR1306" s="32"/>
      <c r="AS1306" s="32"/>
      <c r="AT1306" s="32"/>
      <c r="AU1306" s="32"/>
      <c r="XEY1306" s="27"/>
      <c r="XEZ1306" s="27"/>
      <c r="XFA1306" s="27"/>
      <c r="XFB1306" s="27"/>
      <c r="XFC1306" s="27"/>
      <c r="XFD1306" s="27"/>
    </row>
    <row r="1307" s="42" customFormat="true" ht="14.15" hidden="false" customHeight="true" outlineLevel="0" collapsed="false">
      <c r="A1307" s="28" t="s">
        <v>6909</v>
      </c>
      <c r="B1307" s="29" t="s">
        <v>1777</v>
      </c>
      <c r="C1307" s="29" t="s">
        <v>7726</v>
      </c>
      <c r="D1307" s="30" t="s">
        <v>50</v>
      </c>
      <c r="E1307" s="30" t="s">
        <v>571</v>
      </c>
      <c r="F1307" s="32" t="n">
        <v>50</v>
      </c>
      <c r="G1307" s="31"/>
      <c r="H1307" s="31" t="n">
        <v>1</v>
      </c>
      <c r="I1307" s="31" t="s">
        <v>173</v>
      </c>
      <c r="J1307" s="29"/>
      <c r="K1307" s="29" t="s">
        <v>3237</v>
      </c>
      <c r="L1307" s="32" t="n">
        <v>57</v>
      </c>
      <c r="M1307" s="33" t="s">
        <v>1888</v>
      </c>
      <c r="N1307" s="34" t="n">
        <v>75016</v>
      </c>
      <c r="O1307" s="35" t="s">
        <v>55</v>
      </c>
      <c r="P1307" s="36" t="s">
        <v>3238</v>
      </c>
      <c r="Q1307" s="36" t="n">
        <v>3</v>
      </c>
      <c r="R1307" s="32" t="n">
        <v>150</v>
      </c>
      <c r="S1307" s="32" t="n">
        <v>1</v>
      </c>
      <c r="T1307" s="32"/>
      <c r="U1307" s="32"/>
      <c r="V1307" s="37"/>
      <c r="W1307" s="32"/>
      <c r="X1307" s="34"/>
      <c r="Y1307" s="34"/>
      <c r="Z1307" s="36"/>
      <c r="AA1307" s="32" t="s">
        <v>7727</v>
      </c>
      <c r="AB1307" s="32"/>
      <c r="AC1307" s="38" t="str">
        <f aca="false">HYPERLINK("https://biocodex6--c.vf.force.com/0014L00000KFbSWQA1", "JOSSE VALERIE")</f>
        <v>JOSSE VALERIE</v>
      </c>
      <c r="AD1307" s="38"/>
      <c r="AE1307" s="39"/>
      <c r="AF1307" s="40"/>
      <c r="AG1307" s="41"/>
      <c r="AH1307" s="32" t="s">
        <v>179</v>
      </c>
      <c r="AI1307" s="32"/>
      <c r="AL1307" s="32"/>
      <c r="AM1307" s="32"/>
      <c r="AN1307" s="32"/>
      <c r="AO1307" s="32"/>
      <c r="AP1307" s="32"/>
      <c r="AQ1307" s="32"/>
      <c r="AR1307" s="32"/>
      <c r="AS1307" s="32"/>
      <c r="AT1307" s="32"/>
      <c r="AU1307" s="32"/>
      <c r="XEY1307" s="27"/>
      <c r="XEZ1307" s="27"/>
      <c r="XFA1307" s="27"/>
      <c r="XFB1307" s="27"/>
      <c r="XFC1307" s="27"/>
      <c r="XFD1307" s="27"/>
    </row>
    <row r="1308" s="42" customFormat="true" ht="14.15" hidden="false" customHeight="true" outlineLevel="0" collapsed="false">
      <c r="A1308" s="28" t="s">
        <v>7728</v>
      </c>
      <c r="B1308" s="29" t="s">
        <v>117</v>
      </c>
      <c r="C1308" s="29" t="s">
        <v>7729</v>
      </c>
      <c r="D1308" s="30" t="s">
        <v>50</v>
      </c>
      <c r="E1308" s="30" t="s">
        <v>255</v>
      </c>
      <c r="F1308" s="32" t="n">
        <v>65</v>
      </c>
      <c r="G1308" s="31" t="s">
        <v>345</v>
      </c>
      <c r="H1308" s="31" t="n">
        <v>2</v>
      </c>
      <c r="I1308" s="31" t="s">
        <v>173</v>
      </c>
      <c r="J1308" s="29"/>
      <c r="K1308" s="29" t="s">
        <v>7730</v>
      </c>
      <c r="L1308" s="32" t="n">
        <v>70</v>
      </c>
      <c r="M1308" s="33" t="s">
        <v>1923</v>
      </c>
      <c r="N1308" s="34" t="n">
        <v>75016</v>
      </c>
      <c r="O1308" s="35" t="s">
        <v>55</v>
      </c>
      <c r="P1308" s="36" t="s">
        <v>7731</v>
      </c>
      <c r="Q1308" s="36" t="n">
        <v>1</v>
      </c>
      <c r="R1308" s="32" t="n">
        <v>150</v>
      </c>
      <c r="S1308" s="32" t="n">
        <v>1</v>
      </c>
      <c r="T1308" s="32"/>
      <c r="U1308" s="32"/>
      <c r="V1308" s="37"/>
      <c r="W1308" s="32"/>
      <c r="X1308" s="34"/>
      <c r="Y1308" s="34"/>
      <c r="Z1308" s="36"/>
      <c r="AA1308" s="32" t="s">
        <v>7732</v>
      </c>
      <c r="AB1308" s="32" t="s">
        <v>7733</v>
      </c>
      <c r="AC1308" s="38" t="str">
        <f aca="false">HYPERLINK("https://biocodex6--c.vf.force.com/0014L00000KFtJaQAL", "NATIVELLE DOMINIQUE")</f>
        <v>NATIVELLE DOMINIQUE</v>
      </c>
      <c r="AD1308" s="38" t="str">
        <f aca="false">HYPERLINK("https://annuairesante.ameli.fr/professionnels-de-sante/recherche/fiche-detaillee-B7c1lDM5NTu0.html", "NATIVELLE DOMINIQUE")</f>
        <v>NATIVELLE DOMINIQUE</v>
      </c>
      <c r="AE1308" s="39"/>
      <c r="AF1308" s="40"/>
      <c r="AG1308" s="41"/>
      <c r="AH1308" s="32" t="s">
        <v>179</v>
      </c>
      <c r="AI1308" s="32"/>
      <c r="AL1308" s="32"/>
      <c r="AM1308" s="32"/>
      <c r="AN1308" s="32"/>
      <c r="AO1308" s="32"/>
      <c r="AP1308" s="32"/>
      <c r="AQ1308" s="32"/>
      <c r="AR1308" s="32"/>
      <c r="AS1308" s="32"/>
      <c r="AT1308" s="32"/>
      <c r="AU1308" s="32"/>
      <c r="XEY1308" s="27"/>
      <c r="XEZ1308" s="27"/>
      <c r="XFA1308" s="27"/>
      <c r="XFB1308" s="27"/>
      <c r="XFC1308" s="27"/>
      <c r="XFD1308" s="27"/>
    </row>
    <row r="1309" s="42" customFormat="true" ht="14.15" hidden="false" customHeight="true" outlineLevel="0" collapsed="false">
      <c r="A1309" s="28" t="s">
        <v>7734</v>
      </c>
      <c r="B1309" s="29" t="s">
        <v>7735</v>
      </c>
      <c r="C1309" s="29" t="s">
        <v>7736</v>
      </c>
      <c r="D1309" s="30" t="s">
        <v>50</v>
      </c>
      <c r="E1309" s="31"/>
      <c r="F1309" s="32" t="n">
        <v>35</v>
      </c>
      <c r="G1309" s="31" t="s">
        <v>98</v>
      </c>
      <c r="H1309" s="31" t="n">
        <v>1</v>
      </c>
      <c r="I1309" s="31" t="s">
        <v>233</v>
      </c>
      <c r="J1309" s="29" t="s">
        <v>234</v>
      </c>
      <c r="K1309" s="29" t="s">
        <v>235</v>
      </c>
      <c r="L1309" s="32" t="n">
        <v>223</v>
      </c>
      <c r="M1309" s="33" t="s">
        <v>236</v>
      </c>
      <c r="N1309" s="34" t="n">
        <v>75015</v>
      </c>
      <c r="O1309" s="35" t="s">
        <v>55</v>
      </c>
      <c r="P1309" s="36" t="s">
        <v>2779</v>
      </c>
      <c r="Q1309" s="36" t="n">
        <v>7</v>
      </c>
      <c r="R1309" s="32" t="n">
        <v>150</v>
      </c>
      <c r="S1309" s="32" t="n">
        <v>1</v>
      </c>
      <c r="T1309" s="32"/>
      <c r="U1309" s="32"/>
      <c r="V1309" s="37"/>
      <c r="W1309" s="32"/>
      <c r="X1309" s="34"/>
      <c r="Y1309" s="34"/>
      <c r="Z1309" s="36"/>
      <c r="AA1309" s="32" t="s">
        <v>7737</v>
      </c>
      <c r="AB1309" s="32" t="s">
        <v>7738</v>
      </c>
      <c r="AC1309" s="38" t="str">
        <f aca="false">HYPERLINK("https://biocodex6--c.vf.force.com/0014L00000KG9f7QAD", "DUCOURET HORTENSE")</f>
        <v>DUCOURET HORTENSE</v>
      </c>
      <c r="AD1309" s="38" t="str">
        <f aca="false">HYPERLINK("https://annuairesante.ameli.fr/professionnels-de-sante/recherche/fiche-detaillee-B7c1kjczOTC7.html", "DUCOURET HORTENSE")</f>
        <v>DUCOURET HORTENSE</v>
      </c>
      <c r="AE1309" s="39"/>
      <c r="AF1309" s="40"/>
      <c r="AG1309" s="41"/>
      <c r="AH1309" s="32" t="s">
        <v>179</v>
      </c>
      <c r="AI1309" s="32"/>
      <c r="AL1309" s="43" t="s">
        <v>657</v>
      </c>
      <c r="AM1309" s="43" t="s">
        <v>137</v>
      </c>
      <c r="AN1309" s="43" t="s">
        <v>657</v>
      </c>
      <c r="AO1309" s="43" t="s">
        <v>137</v>
      </c>
      <c r="AP1309" s="43" t="s">
        <v>657</v>
      </c>
      <c r="AQ1309" s="43" t="s">
        <v>137</v>
      </c>
      <c r="AR1309" s="43" t="s">
        <v>657</v>
      </c>
      <c r="AS1309" s="43" t="s">
        <v>137</v>
      </c>
      <c r="AT1309" s="43" t="s">
        <v>657</v>
      </c>
      <c r="AU1309" s="43" t="s">
        <v>137</v>
      </c>
      <c r="XEY1309" s="27"/>
      <c r="XEZ1309" s="27"/>
      <c r="XFA1309" s="27"/>
      <c r="XFB1309" s="27"/>
      <c r="XFC1309" s="27"/>
      <c r="XFD1309" s="27"/>
    </row>
    <row r="1310" s="42" customFormat="true" ht="14.15" hidden="false" customHeight="true" outlineLevel="0" collapsed="false">
      <c r="A1310" s="28" t="s">
        <v>7739</v>
      </c>
      <c r="B1310" s="29" t="s">
        <v>7740</v>
      </c>
      <c r="C1310" s="29" t="s">
        <v>7741</v>
      </c>
      <c r="D1310" s="30" t="s">
        <v>50</v>
      </c>
      <c r="E1310" s="30" t="s">
        <v>255</v>
      </c>
      <c r="F1310" s="32" t="n">
        <v>50</v>
      </c>
      <c r="G1310" s="31"/>
      <c r="H1310" s="31" t="n">
        <v>1</v>
      </c>
      <c r="I1310" s="31" t="s">
        <v>233</v>
      </c>
      <c r="J1310" s="29" t="s">
        <v>4482</v>
      </c>
      <c r="K1310" s="29" t="s">
        <v>4483</v>
      </c>
      <c r="L1310" s="32" t="n">
        <v>10</v>
      </c>
      <c r="M1310" s="33" t="s">
        <v>4484</v>
      </c>
      <c r="N1310" s="34" t="n">
        <v>75015</v>
      </c>
      <c r="O1310" s="35" t="s">
        <v>55</v>
      </c>
      <c r="P1310" s="36" t="s">
        <v>7673</v>
      </c>
      <c r="Q1310" s="36" t="n">
        <v>7</v>
      </c>
      <c r="R1310" s="32" t="n">
        <v>149</v>
      </c>
      <c r="S1310" s="32" t="n">
        <v>1</v>
      </c>
      <c r="T1310" s="32"/>
      <c r="U1310" s="32"/>
      <c r="V1310" s="37"/>
      <c r="W1310" s="32"/>
      <c r="X1310" s="34"/>
      <c r="Y1310" s="34"/>
      <c r="Z1310" s="36"/>
      <c r="AA1310" s="32" t="s">
        <v>7742</v>
      </c>
      <c r="AB1310" s="32"/>
      <c r="AC1310" s="38" t="str">
        <f aca="false">HYPERLINK("https://biocodex6--c.vf.force.com/0014L00000KFzk6QAD", "ROCHE DE RODELLEC BLANDINE")</f>
        <v>ROCHE DE RODELLEC BLANDINE</v>
      </c>
      <c r="AD1310" s="38"/>
      <c r="AE1310" s="39"/>
      <c r="AF1310" s="40"/>
      <c r="AG1310" s="41"/>
      <c r="AH1310" s="32" t="s">
        <v>179</v>
      </c>
      <c r="AI1310" s="32"/>
      <c r="AL1310" s="32"/>
      <c r="AM1310" s="32"/>
      <c r="AN1310" s="32"/>
      <c r="AO1310" s="32"/>
      <c r="AP1310" s="32"/>
      <c r="AQ1310" s="32"/>
      <c r="AR1310" s="32"/>
      <c r="AS1310" s="32"/>
      <c r="AT1310" s="32"/>
      <c r="AU1310" s="32"/>
      <c r="XEY1310" s="27"/>
      <c r="XEZ1310" s="27"/>
      <c r="XFA1310" s="27"/>
      <c r="XFB1310" s="27"/>
      <c r="XFC1310" s="27"/>
      <c r="XFD1310" s="27"/>
    </row>
    <row r="1311" s="42" customFormat="true" ht="14.15" hidden="false" customHeight="true" outlineLevel="0" collapsed="false">
      <c r="A1311" s="28" t="s">
        <v>7743</v>
      </c>
      <c r="B1311" s="29" t="s">
        <v>2921</v>
      </c>
      <c r="C1311" s="29" t="s">
        <v>7744</v>
      </c>
      <c r="D1311" s="30" t="s">
        <v>244</v>
      </c>
      <c r="E1311" s="30" t="s">
        <v>245</v>
      </c>
      <c r="F1311" s="32" t="n">
        <v>72</v>
      </c>
      <c r="G1311" s="31" t="s">
        <v>215</v>
      </c>
      <c r="H1311" s="31" t="n">
        <v>1</v>
      </c>
      <c r="I1311" s="31" t="s">
        <v>119</v>
      </c>
      <c r="J1311" s="29"/>
      <c r="K1311" s="29" t="s">
        <v>7745</v>
      </c>
      <c r="L1311" s="32" t="n">
        <v>14</v>
      </c>
      <c r="M1311" s="33" t="s">
        <v>1576</v>
      </c>
      <c r="N1311" s="34" t="n">
        <v>75007</v>
      </c>
      <c r="O1311" s="35" t="s">
        <v>55</v>
      </c>
      <c r="P1311" s="36" t="s">
        <v>7746</v>
      </c>
      <c r="Q1311" s="36" t="n">
        <v>1</v>
      </c>
      <c r="R1311" s="32" t="n">
        <v>149</v>
      </c>
      <c r="S1311" s="32" t="n">
        <v>1</v>
      </c>
      <c r="T1311" s="32"/>
      <c r="U1311" s="32"/>
      <c r="V1311" s="37"/>
      <c r="W1311" s="32"/>
      <c r="X1311" s="34"/>
      <c r="Y1311" s="34"/>
      <c r="Z1311" s="36"/>
      <c r="AA1311" s="32" t="s">
        <v>7747</v>
      </c>
      <c r="AB1311" s="32" t="s">
        <v>7748</v>
      </c>
      <c r="AC1311" s="38" t="str">
        <f aca="false">HYPERLINK("https://biocodex6--c.vf.force.com/0014L00000KFQu4QAH", "AUBRIOT FRANCOIS XAVIER")</f>
        <v>AUBRIOT FRANCOIS XAVIER</v>
      </c>
      <c r="AD1311" s="38" t="str">
        <f aca="false">HYPERLINK("https://annuairesante.ameli.fr/professionnels-de-sante/recherche/fiche-detaillee-B7c1lTMxMju2.html", "AUBRIOT FRANCOIS XAVIER")</f>
        <v>AUBRIOT FRANCOIS XAVIER</v>
      </c>
      <c r="AE1311" s="39"/>
      <c r="AF1311" s="40"/>
      <c r="AG1311" s="41"/>
      <c r="AH1311" s="32" t="s">
        <v>179</v>
      </c>
      <c r="AI1311" s="32"/>
      <c r="AL1311" s="43" t="s">
        <v>995</v>
      </c>
      <c r="AM1311" s="43" t="s">
        <v>126</v>
      </c>
      <c r="AN1311" s="43" t="s">
        <v>995</v>
      </c>
      <c r="AO1311" s="43" t="s">
        <v>126</v>
      </c>
      <c r="AP1311" s="43" t="s">
        <v>995</v>
      </c>
      <c r="AQ1311" s="43" t="s">
        <v>126</v>
      </c>
      <c r="AR1311" s="43" t="s">
        <v>995</v>
      </c>
      <c r="AS1311" s="43" t="s">
        <v>126</v>
      </c>
      <c r="AT1311" s="32"/>
      <c r="AU1311" s="43" t="s">
        <v>7749</v>
      </c>
      <c r="XEY1311" s="27"/>
      <c r="XEZ1311" s="27"/>
      <c r="XFA1311" s="27"/>
      <c r="XFB1311" s="27"/>
      <c r="XFC1311" s="27"/>
      <c r="XFD1311" s="27"/>
    </row>
    <row r="1312" s="42" customFormat="true" ht="14.15" hidden="false" customHeight="true" outlineLevel="0" collapsed="false">
      <c r="A1312" s="28" t="s">
        <v>7750</v>
      </c>
      <c r="B1312" s="29" t="s">
        <v>1218</v>
      </c>
      <c r="C1312" s="29" t="s">
        <v>7751</v>
      </c>
      <c r="D1312" s="30" t="s">
        <v>244</v>
      </c>
      <c r="E1312" s="30" t="s">
        <v>741</v>
      </c>
      <c r="F1312" s="32" t="n">
        <v>72</v>
      </c>
      <c r="G1312" s="31" t="s">
        <v>215</v>
      </c>
      <c r="H1312" s="31" t="n">
        <v>1</v>
      </c>
      <c r="I1312" s="31" t="s">
        <v>197</v>
      </c>
      <c r="J1312" s="29"/>
      <c r="K1312" s="29" t="s">
        <v>7752</v>
      </c>
      <c r="L1312" s="32" t="n">
        <v>6</v>
      </c>
      <c r="M1312" s="33" t="s">
        <v>3143</v>
      </c>
      <c r="N1312" s="34" t="n">
        <v>75017</v>
      </c>
      <c r="O1312" s="35" t="s">
        <v>55</v>
      </c>
      <c r="P1312" s="36" t="s">
        <v>7753</v>
      </c>
      <c r="Q1312" s="36" t="n">
        <v>1</v>
      </c>
      <c r="R1312" s="32" t="n">
        <v>149</v>
      </c>
      <c r="S1312" s="32" t="n">
        <v>1</v>
      </c>
      <c r="T1312" s="32"/>
      <c r="U1312" s="32"/>
      <c r="V1312" s="37"/>
      <c r="W1312" s="32"/>
      <c r="X1312" s="34"/>
      <c r="Y1312" s="34"/>
      <c r="Z1312" s="36"/>
      <c r="AA1312" s="32" t="s">
        <v>7754</v>
      </c>
      <c r="AB1312" s="32" t="s">
        <v>7755</v>
      </c>
      <c r="AC1312" s="38" t="str">
        <f aca="false">HYPERLINK("https://biocodex6--c.vf.force.com/0014L00000KFWNeQAP", "CHELLY CLAUDE")</f>
        <v>CHELLY CLAUDE</v>
      </c>
      <c r="AD1312" s="38" t="str">
        <f aca="false">HYPERLINK("https://annuairesante.ameli.fr/professionnels-de-sante/recherche/fiche-detaillee-B7c1lTM4Mzu2.html", "CHELLY CLAUDE")</f>
        <v>CHELLY CLAUDE</v>
      </c>
      <c r="AE1312" s="39"/>
      <c r="AF1312" s="40"/>
      <c r="AG1312" s="41"/>
      <c r="AH1312" s="32" t="s">
        <v>179</v>
      </c>
      <c r="AI1312" s="32"/>
      <c r="AL1312" s="32"/>
      <c r="AM1312" s="32"/>
      <c r="AN1312" s="32"/>
      <c r="AO1312" s="32"/>
      <c r="AP1312" s="32"/>
      <c r="AQ1312" s="32"/>
      <c r="AR1312" s="32"/>
      <c r="AS1312" s="32"/>
      <c r="AT1312" s="32"/>
      <c r="AU1312" s="32"/>
      <c r="XEY1312" s="27"/>
      <c r="XEZ1312" s="27"/>
      <c r="XFA1312" s="27"/>
      <c r="XFB1312" s="27"/>
      <c r="XFC1312" s="27"/>
      <c r="XFD1312" s="27"/>
    </row>
    <row r="1313" s="42" customFormat="true" ht="14.15" hidden="false" customHeight="true" outlineLevel="0" collapsed="false">
      <c r="A1313" s="28" t="s">
        <v>7756</v>
      </c>
      <c r="B1313" s="29" t="s">
        <v>7757</v>
      </c>
      <c r="C1313" s="29" t="s">
        <v>7758</v>
      </c>
      <c r="D1313" s="30" t="s">
        <v>50</v>
      </c>
      <c r="E1313" s="31"/>
      <c r="F1313" s="32" t="n">
        <v>44</v>
      </c>
      <c r="G1313" s="31"/>
      <c r="H1313" s="31" t="n">
        <v>2</v>
      </c>
      <c r="I1313" s="31" t="s">
        <v>233</v>
      </c>
      <c r="J1313" s="29" t="s">
        <v>3777</v>
      </c>
      <c r="K1313" s="29" t="s">
        <v>3778</v>
      </c>
      <c r="L1313" s="32" t="n">
        <v>15</v>
      </c>
      <c r="M1313" s="33" t="s">
        <v>2823</v>
      </c>
      <c r="N1313" s="34" t="n">
        <v>75015</v>
      </c>
      <c r="O1313" s="35" t="s">
        <v>55</v>
      </c>
      <c r="P1313" s="36"/>
      <c r="Q1313" s="36" t="n">
        <v>4</v>
      </c>
      <c r="R1313" s="32" t="n">
        <v>149</v>
      </c>
      <c r="S1313" s="32" t="n">
        <v>1</v>
      </c>
      <c r="T1313" s="32"/>
      <c r="U1313" s="32"/>
      <c r="V1313" s="37"/>
      <c r="W1313" s="32"/>
      <c r="X1313" s="34"/>
      <c r="Y1313" s="34"/>
      <c r="Z1313" s="36"/>
      <c r="AA1313" s="32" t="s">
        <v>7759</v>
      </c>
      <c r="AB1313" s="32"/>
      <c r="AC1313" s="38" t="str">
        <f aca="false">HYPERLINK("https://biocodex6--c.vf.force.com/0014L00000KFeuuQAD", "ARRAULT CHAYA MARIA")</f>
        <v>ARRAULT CHAYA MARIA</v>
      </c>
      <c r="AD1313" s="38"/>
      <c r="AE1313" s="39"/>
      <c r="AF1313" s="40"/>
      <c r="AG1313" s="41"/>
      <c r="AH1313" s="32" t="s">
        <v>179</v>
      </c>
      <c r="AI1313" s="32"/>
      <c r="AL1313" s="32"/>
      <c r="AM1313" s="32"/>
      <c r="AN1313" s="32"/>
      <c r="AO1313" s="32"/>
      <c r="AP1313" s="32"/>
      <c r="AQ1313" s="32"/>
      <c r="AR1313" s="32"/>
      <c r="AS1313" s="32"/>
      <c r="AT1313" s="32"/>
      <c r="AU1313" s="32"/>
      <c r="XEY1313" s="27"/>
      <c r="XEZ1313" s="27"/>
      <c r="XFA1313" s="27"/>
      <c r="XFB1313" s="27"/>
      <c r="XFC1313" s="27"/>
      <c r="XFD1313" s="27"/>
    </row>
    <row r="1314" s="42" customFormat="true" ht="14.15" hidden="false" customHeight="true" outlineLevel="0" collapsed="false">
      <c r="A1314" s="28" t="s">
        <v>7760</v>
      </c>
      <c r="B1314" s="29" t="s">
        <v>811</v>
      </c>
      <c r="C1314" s="29" t="s">
        <v>7761</v>
      </c>
      <c r="D1314" s="30" t="s">
        <v>50</v>
      </c>
      <c r="E1314" s="31"/>
      <c r="F1314" s="32" t="n">
        <v>50</v>
      </c>
      <c r="G1314" s="31"/>
      <c r="H1314" s="31" t="n">
        <v>1</v>
      </c>
      <c r="I1314" s="31" t="s">
        <v>233</v>
      </c>
      <c r="J1314" s="29" t="s">
        <v>3777</v>
      </c>
      <c r="K1314" s="29" t="s">
        <v>3778</v>
      </c>
      <c r="L1314" s="32" t="n">
        <v>15</v>
      </c>
      <c r="M1314" s="33" t="s">
        <v>2823</v>
      </c>
      <c r="N1314" s="34" t="n">
        <v>75015</v>
      </c>
      <c r="O1314" s="35" t="s">
        <v>55</v>
      </c>
      <c r="P1314" s="36" t="s">
        <v>7762</v>
      </c>
      <c r="Q1314" s="36" t="n">
        <v>4</v>
      </c>
      <c r="R1314" s="32" t="n">
        <v>149</v>
      </c>
      <c r="S1314" s="32" t="n">
        <v>1</v>
      </c>
      <c r="T1314" s="32"/>
      <c r="U1314" s="32"/>
      <c r="V1314" s="37"/>
      <c r="W1314" s="32"/>
      <c r="X1314" s="34"/>
      <c r="Y1314" s="34"/>
      <c r="Z1314" s="36"/>
      <c r="AA1314" s="32" t="s">
        <v>7763</v>
      </c>
      <c r="AB1314" s="32"/>
      <c r="AC1314" s="38" t="str">
        <f aca="false">HYPERLINK("https://biocodex6--c.vf.force.com/0014L00000KFr58QAD", "MARCHE WILSON VERONIQUE")</f>
        <v>MARCHE WILSON VERONIQUE</v>
      </c>
      <c r="AD1314" s="38"/>
      <c r="AE1314" s="39"/>
      <c r="AF1314" s="40"/>
      <c r="AG1314" s="41"/>
      <c r="AH1314" s="32" t="s">
        <v>179</v>
      </c>
      <c r="AI1314" s="32"/>
      <c r="AL1314" s="32"/>
      <c r="AM1314" s="32"/>
      <c r="AN1314" s="32"/>
      <c r="AO1314" s="32"/>
      <c r="AP1314" s="32"/>
      <c r="AQ1314" s="32"/>
      <c r="AR1314" s="32"/>
      <c r="AS1314" s="32"/>
      <c r="AT1314" s="32"/>
      <c r="AU1314" s="32"/>
      <c r="XEY1314" s="27"/>
      <c r="XEZ1314" s="27"/>
      <c r="XFA1314" s="27"/>
      <c r="XFB1314" s="27"/>
      <c r="XFC1314" s="27"/>
      <c r="XFD1314" s="27"/>
    </row>
    <row r="1315" s="42" customFormat="true" ht="14.15" hidden="false" customHeight="true" outlineLevel="0" collapsed="false">
      <c r="A1315" s="28" t="s">
        <v>6251</v>
      </c>
      <c r="B1315" s="29" t="s">
        <v>7764</v>
      </c>
      <c r="C1315" s="29" t="s">
        <v>7765</v>
      </c>
      <c r="D1315" s="30" t="s">
        <v>50</v>
      </c>
      <c r="E1315" s="30" t="s">
        <v>255</v>
      </c>
      <c r="F1315" s="32" t="n">
        <v>61</v>
      </c>
      <c r="G1315" s="31"/>
      <c r="H1315" s="31" t="n">
        <v>2</v>
      </c>
      <c r="I1315" s="31" t="s">
        <v>233</v>
      </c>
      <c r="J1315" s="29" t="s">
        <v>4482</v>
      </c>
      <c r="K1315" s="29" t="s">
        <v>4483</v>
      </c>
      <c r="L1315" s="32" t="n">
        <v>10</v>
      </c>
      <c r="M1315" s="33" t="s">
        <v>4484</v>
      </c>
      <c r="N1315" s="34" t="n">
        <v>75015</v>
      </c>
      <c r="O1315" s="35" t="s">
        <v>55</v>
      </c>
      <c r="P1315" s="36" t="s">
        <v>7673</v>
      </c>
      <c r="Q1315" s="36" t="n">
        <v>7</v>
      </c>
      <c r="R1315" s="32" t="n">
        <v>149</v>
      </c>
      <c r="S1315" s="32" t="n">
        <v>1</v>
      </c>
      <c r="T1315" s="32"/>
      <c r="U1315" s="32"/>
      <c r="V1315" s="37"/>
      <c r="W1315" s="32"/>
      <c r="X1315" s="34"/>
      <c r="Y1315" s="34"/>
      <c r="Z1315" s="36"/>
      <c r="AA1315" s="32" t="s">
        <v>7766</v>
      </c>
      <c r="AB1315" s="32"/>
      <c r="AC1315" s="38" t="str">
        <f aca="false">HYPERLINK("https://biocodex6--c.vf.force.com/0014L00000KG1O3QAL", "SABA DARIUS")</f>
        <v>SABA DARIUS</v>
      </c>
      <c r="AD1315" s="38"/>
      <c r="AE1315" s="39"/>
      <c r="AF1315" s="40"/>
      <c r="AG1315" s="41"/>
      <c r="AH1315" s="32" t="s">
        <v>179</v>
      </c>
      <c r="AI1315" s="32"/>
      <c r="AL1315" s="32"/>
      <c r="AM1315" s="32"/>
      <c r="AN1315" s="32"/>
      <c r="AO1315" s="32"/>
      <c r="AP1315" s="32"/>
      <c r="AQ1315" s="32"/>
      <c r="AR1315" s="32"/>
      <c r="AS1315" s="32"/>
      <c r="AT1315" s="32"/>
      <c r="AU1315" s="32"/>
      <c r="XEY1315" s="27"/>
      <c r="XEZ1315" s="27"/>
      <c r="XFA1315" s="27"/>
      <c r="XFB1315" s="27"/>
      <c r="XFC1315" s="27"/>
      <c r="XFD1315" s="27"/>
    </row>
    <row r="1316" s="42" customFormat="true" ht="14.15" hidden="false" customHeight="true" outlineLevel="0" collapsed="false">
      <c r="A1316" s="28" t="s">
        <v>7767</v>
      </c>
      <c r="B1316" s="29" t="s">
        <v>419</v>
      </c>
      <c r="C1316" s="29" t="s">
        <v>7768</v>
      </c>
      <c r="D1316" s="30" t="s">
        <v>50</v>
      </c>
      <c r="E1316" s="31"/>
      <c r="F1316" s="32" t="n">
        <v>39</v>
      </c>
      <c r="G1316" s="31"/>
      <c r="H1316" s="31" t="n">
        <v>1</v>
      </c>
      <c r="I1316" s="31" t="s">
        <v>99</v>
      </c>
      <c r="J1316" s="29" t="s">
        <v>595</v>
      </c>
      <c r="K1316" s="29" t="s">
        <v>596</v>
      </c>
      <c r="L1316" s="32" t="n">
        <v>20</v>
      </c>
      <c r="M1316" s="33" t="s">
        <v>597</v>
      </c>
      <c r="N1316" s="34" t="n">
        <v>75015</v>
      </c>
      <c r="O1316" s="35" t="s">
        <v>55</v>
      </c>
      <c r="P1316" s="36" t="s">
        <v>4340</v>
      </c>
      <c r="Q1316" s="36" t="n">
        <v>90</v>
      </c>
      <c r="R1316" s="32" t="n">
        <v>148</v>
      </c>
      <c r="S1316" s="32" t="n">
        <v>1</v>
      </c>
      <c r="T1316" s="32"/>
      <c r="U1316" s="32"/>
      <c r="V1316" s="37"/>
      <c r="W1316" s="32"/>
      <c r="X1316" s="34"/>
      <c r="Y1316" s="34"/>
      <c r="Z1316" s="36"/>
      <c r="AA1316" s="32" t="s">
        <v>7769</v>
      </c>
      <c r="AB1316" s="32"/>
      <c r="AC1316" s="38" t="str">
        <f aca="false">HYPERLINK("https://biocodex6--c.vf.force.com/0014L00000KFO9eQAH", "BEHAL DE BROC FLORENCE")</f>
        <v>BEHAL DE BROC FLORENCE</v>
      </c>
      <c r="AD1316" s="38"/>
      <c r="AE1316" s="39"/>
      <c r="AF1316" s="40"/>
      <c r="AG1316" s="41"/>
      <c r="AH1316" s="32" t="s">
        <v>179</v>
      </c>
      <c r="AI1316" s="32"/>
      <c r="AL1316" s="32"/>
      <c r="AM1316" s="32"/>
      <c r="AN1316" s="32"/>
      <c r="AO1316" s="32"/>
      <c r="AP1316" s="32"/>
      <c r="AQ1316" s="32"/>
      <c r="AR1316" s="32"/>
      <c r="AS1316" s="32"/>
      <c r="AT1316" s="32"/>
      <c r="AU1316" s="32"/>
      <c r="XEY1316" s="27"/>
      <c r="XEZ1316" s="27"/>
      <c r="XFA1316" s="27"/>
      <c r="XFB1316" s="27"/>
      <c r="XFC1316" s="27"/>
      <c r="XFD1316" s="27"/>
    </row>
    <row r="1317" s="42" customFormat="true" ht="14.15" hidden="false" customHeight="true" outlineLevel="0" collapsed="false">
      <c r="A1317" s="28" t="s">
        <v>7770</v>
      </c>
      <c r="B1317" s="29" t="s">
        <v>762</v>
      </c>
      <c r="C1317" s="29" t="s">
        <v>7771</v>
      </c>
      <c r="D1317" s="30" t="s">
        <v>244</v>
      </c>
      <c r="E1317" s="30" t="s">
        <v>245</v>
      </c>
      <c r="F1317" s="32" t="n">
        <v>66</v>
      </c>
      <c r="G1317" s="31"/>
      <c r="H1317" s="31" t="n">
        <v>4</v>
      </c>
      <c r="I1317" s="31" t="s">
        <v>119</v>
      </c>
      <c r="J1317" s="29"/>
      <c r="K1317" s="29" t="s">
        <v>7772</v>
      </c>
      <c r="L1317" s="32" t="n">
        <v>8</v>
      </c>
      <c r="M1317" s="33" t="s">
        <v>1213</v>
      </c>
      <c r="N1317" s="34" t="n">
        <v>75007</v>
      </c>
      <c r="O1317" s="35" t="s">
        <v>55</v>
      </c>
      <c r="P1317" s="36" t="s">
        <v>7773</v>
      </c>
      <c r="Q1317" s="36" t="n">
        <v>1</v>
      </c>
      <c r="R1317" s="32" t="n">
        <v>148</v>
      </c>
      <c r="S1317" s="32" t="n">
        <v>1</v>
      </c>
      <c r="T1317" s="32"/>
      <c r="U1317" s="32"/>
      <c r="V1317" s="37"/>
      <c r="W1317" s="32"/>
      <c r="X1317" s="34"/>
      <c r="Y1317" s="34"/>
      <c r="Z1317" s="36"/>
      <c r="AA1317" s="32" t="s">
        <v>7774</v>
      </c>
      <c r="AB1317" s="32"/>
      <c r="AC1317" s="38" t="str">
        <f aca="false">HYPERLINK("https://biocodex6--c.vf.force.com/0014L00000KFULOQA5", "BOUMENDJEL LEILA")</f>
        <v>BOUMENDJEL LEILA</v>
      </c>
      <c r="AD1317" s="38"/>
      <c r="AE1317" s="39"/>
      <c r="AF1317" s="40"/>
      <c r="AG1317" s="41"/>
      <c r="AH1317" s="32" t="s">
        <v>179</v>
      </c>
      <c r="AI1317" s="32"/>
      <c r="AL1317" s="32"/>
      <c r="AM1317" s="32"/>
      <c r="AN1317" s="32"/>
      <c r="AO1317" s="32"/>
      <c r="AP1317" s="32"/>
      <c r="AQ1317" s="32"/>
      <c r="AR1317" s="32"/>
      <c r="AS1317" s="32"/>
      <c r="AT1317" s="32"/>
      <c r="AU1317" s="32"/>
      <c r="XEY1317" s="27"/>
      <c r="XEZ1317" s="27"/>
      <c r="XFA1317" s="27"/>
      <c r="XFB1317" s="27"/>
      <c r="XFC1317" s="27"/>
      <c r="XFD1317" s="27"/>
    </row>
    <row r="1318" s="42" customFormat="true" ht="14.15" hidden="false" customHeight="true" outlineLevel="0" collapsed="false">
      <c r="A1318" s="28" t="s">
        <v>7775</v>
      </c>
      <c r="B1318" s="29" t="s">
        <v>1928</v>
      </c>
      <c r="C1318" s="29" t="s">
        <v>7776</v>
      </c>
      <c r="D1318" s="30" t="s">
        <v>50</v>
      </c>
      <c r="E1318" s="31"/>
      <c r="F1318" s="32" t="n">
        <v>39</v>
      </c>
      <c r="G1318" s="31"/>
      <c r="H1318" s="31" t="n">
        <v>1</v>
      </c>
      <c r="I1318" s="31" t="s">
        <v>387</v>
      </c>
      <c r="J1318" s="29" t="s">
        <v>3242</v>
      </c>
      <c r="K1318" s="29" t="s">
        <v>3243</v>
      </c>
      <c r="L1318" s="32" t="n">
        <v>11</v>
      </c>
      <c r="M1318" s="33" t="s">
        <v>3244</v>
      </c>
      <c r="N1318" s="34" t="n">
        <v>75016</v>
      </c>
      <c r="O1318" s="35" t="s">
        <v>55</v>
      </c>
      <c r="P1318" s="36"/>
      <c r="Q1318" s="36" t="n">
        <v>15</v>
      </c>
      <c r="R1318" s="32" t="n">
        <v>147</v>
      </c>
      <c r="S1318" s="32" t="n">
        <v>1</v>
      </c>
      <c r="T1318" s="32"/>
      <c r="U1318" s="32"/>
      <c r="V1318" s="37"/>
      <c r="W1318" s="32"/>
      <c r="X1318" s="34"/>
      <c r="Y1318" s="34"/>
      <c r="Z1318" s="36"/>
      <c r="AA1318" s="32" t="s">
        <v>7777</v>
      </c>
      <c r="AB1318" s="32"/>
      <c r="AC1318" s="38" t="str">
        <f aca="false">HYPERLINK("https://biocodex6--c.vf.force.com/0014L00000KFNo8QAH", "GOURDON MATHILDE")</f>
        <v>GOURDON MATHILDE</v>
      </c>
      <c r="AD1318" s="38"/>
      <c r="AE1318" s="39"/>
      <c r="AF1318" s="40"/>
      <c r="AG1318" s="41"/>
      <c r="AH1318" s="32" t="s">
        <v>179</v>
      </c>
      <c r="AI1318" s="32"/>
      <c r="AL1318" s="32"/>
      <c r="AM1318" s="32"/>
      <c r="AN1318" s="32"/>
      <c r="AO1318" s="32"/>
      <c r="AP1318" s="32"/>
      <c r="AQ1318" s="32"/>
      <c r="AR1318" s="32"/>
      <c r="AS1318" s="32"/>
      <c r="AT1318" s="32"/>
      <c r="AU1318" s="32"/>
      <c r="XEY1318" s="27"/>
      <c r="XEZ1318" s="27"/>
      <c r="XFA1318" s="27"/>
      <c r="XFB1318" s="27"/>
      <c r="XFC1318" s="27"/>
      <c r="XFD1318" s="27"/>
    </row>
    <row r="1319" s="42" customFormat="true" ht="14.15" hidden="false" customHeight="true" outlineLevel="0" collapsed="false">
      <c r="A1319" s="28" t="s">
        <v>7583</v>
      </c>
      <c r="B1319" s="29" t="s">
        <v>7778</v>
      </c>
      <c r="C1319" s="29" t="s">
        <v>7779</v>
      </c>
      <c r="D1319" s="30" t="s">
        <v>50</v>
      </c>
      <c r="E1319" s="31"/>
      <c r="F1319" s="32" t="n">
        <v>36</v>
      </c>
      <c r="G1319" s="31"/>
      <c r="H1319" s="31" t="n">
        <v>1</v>
      </c>
      <c r="I1319" s="31" t="s">
        <v>233</v>
      </c>
      <c r="J1319" s="29" t="s">
        <v>4482</v>
      </c>
      <c r="K1319" s="29" t="s">
        <v>4483</v>
      </c>
      <c r="L1319" s="32" t="n">
        <v>10</v>
      </c>
      <c r="M1319" s="33" t="s">
        <v>4484</v>
      </c>
      <c r="N1319" s="34" t="n">
        <v>75015</v>
      </c>
      <c r="O1319" s="35" t="s">
        <v>55</v>
      </c>
      <c r="P1319" s="36" t="s">
        <v>7673</v>
      </c>
      <c r="Q1319" s="36" t="n">
        <v>7</v>
      </c>
      <c r="R1319" s="32" t="n">
        <v>147</v>
      </c>
      <c r="S1319" s="32" t="n">
        <v>1</v>
      </c>
      <c r="T1319" s="32"/>
      <c r="U1319" s="32"/>
      <c r="V1319" s="37"/>
      <c r="W1319" s="32"/>
      <c r="X1319" s="34"/>
      <c r="Y1319" s="34"/>
      <c r="Z1319" s="36"/>
      <c r="AA1319" s="32" t="s">
        <v>7780</v>
      </c>
      <c r="AB1319" s="32"/>
      <c r="AC1319" s="38" t="str">
        <f aca="false">HYPERLINK("https://biocodex6--c.vf.force.com/0014L00000KFPsfQAH", "ROUX SWASTI")</f>
        <v>ROUX SWASTI</v>
      </c>
      <c r="AD1319" s="38"/>
      <c r="AE1319" s="39"/>
      <c r="AF1319" s="40"/>
      <c r="AG1319" s="41"/>
      <c r="AH1319" s="32" t="s">
        <v>179</v>
      </c>
      <c r="AI1319" s="32"/>
      <c r="AL1319" s="32"/>
      <c r="AM1319" s="32"/>
      <c r="AN1319" s="32"/>
      <c r="AO1319" s="32"/>
      <c r="AP1319" s="32"/>
      <c r="AQ1319" s="32"/>
      <c r="AR1319" s="32"/>
      <c r="AS1319" s="32"/>
      <c r="AT1319" s="32"/>
      <c r="AU1319" s="32"/>
      <c r="XEY1319" s="27"/>
      <c r="XEZ1319" s="27"/>
      <c r="XFA1319" s="27"/>
      <c r="XFB1319" s="27"/>
      <c r="XFC1319" s="27"/>
      <c r="XFD1319" s="27"/>
    </row>
    <row r="1320" s="42" customFormat="true" ht="14.15" hidden="false" customHeight="true" outlineLevel="0" collapsed="false">
      <c r="A1320" s="28" t="s">
        <v>7781</v>
      </c>
      <c r="B1320" s="29" t="s">
        <v>958</v>
      </c>
      <c r="C1320" s="29" t="s">
        <v>7782</v>
      </c>
      <c r="D1320" s="30" t="s">
        <v>244</v>
      </c>
      <c r="E1320" s="30" t="s">
        <v>245</v>
      </c>
      <c r="F1320" s="32" t="n">
        <v>70</v>
      </c>
      <c r="G1320" s="31"/>
      <c r="H1320" s="31" t="n">
        <v>2</v>
      </c>
      <c r="I1320" s="31" t="s">
        <v>77</v>
      </c>
      <c r="J1320" s="29" t="s">
        <v>580</v>
      </c>
      <c r="K1320" s="29" t="s">
        <v>581</v>
      </c>
      <c r="L1320" s="32" t="n">
        <v>63</v>
      </c>
      <c r="M1320" s="33" t="s">
        <v>80</v>
      </c>
      <c r="N1320" s="34" t="n">
        <v>92200</v>
      </c>
      <c r="O1320" s="35" t="s">
        <v>81</v>
      </c>
      <c r="P1320" s="36" t="s">
        <v>1189</v>
      </c>
      <c r="Q1320" s="36" t="n">
        <v>39</v>
      </c>
      <c r="R1320" s="32" t="n">
        <v>147</v>
      </c>
      <c r="S1320" s="32" t="n">
        <v>1</v>
      </c>
      <c r="T1320" s="32"/>
      <c r="U1320" s="32"/>
      <c r="V1320" s="37"/>
      <c r="W1320" s="32"/>
      <c r="X1320" s="34"/>
      <c r="Y1320" s="34"/>
      <c r="Z1320" s="32"/>
      <c r="AA1320" s="32" t="s">
        <v>7783</v>
      </c>
      <c r="AB1320" s="32"/>
      <c r="AC1320" s="38" t="str">
        <f aca="false">HYPERLINK("https://biocodex6--c.vf.force.com/0014L00000KFzrRQAT", "ROZENBERG PATRICK")</f>
        <v>ROZENBERG PATRICK</v>
      </c>
      <c r="AD1320" s="38"/>
      <c r="AE1320" s="39"/>
      <c r="AF1320" s="40"/>
      <c r="AG1320" s="41"/>
      <c r="AH1320" s="32"/>
      <c r="AI1320" s="32"/>
      <c r="AL1320" s="32"/>
      <c r="AM1320" s="32"/>
      <c r="AN1320" s="32"/>
      <c r="AO1320" s="32"/>
      <c r="AP1320" s="32"/>
      <c r="AQ1320" s="32"/>
      <c r="AR1320" s="32"/>
      <c r="AS1320" s="32"/>
      <c r="AT1320" s="32"/>
      <c r="AU1320" s="32"/>
      <c r="XEY1320" s="27"/>
      <c r="XEZ1320" s="27"/>
      <c r="XFA1320" s="27"/>
      <c r="XFB1320" s="27"/>
      <c r="XFC1320" s="27"/>
      <c r="XFD1320" s="27"/>
    </row>
    <row r="1321" s="42" customFormat="true" ht="14.15" hidden="false" customHeight="true" outlineLevel="0" collapsed="false">
      <c r="A1321" s="28" t="s">
        <v>7784</v>
      </c>
      <c r="B1321" s="29" t="s">
        <v>1355</v>
      </c>
      <c r="C1321" s="29" t="s">
        <v>7785</v>
      </c>
      <c r="D1321" s="30" t="s">
        <v>244</v>
      </c>
      <c r="E1321" s="30" t="s">
        <v>4281</v>
      </c>
      <c r="F1321" s="32" t="n">
        <v>73</v>
      </c>
      <c r="G1321" s="31"/>
      <c r="H1321" s="31" t="n">
        <v>1</v>
      </c>
      <c r="I1321" s="31" t="s">
        <v>173</v>
      </c>
      <c r="J1321" s="29"/>
      <c r="K1321" s="29" t="s">
        <v>7786</v>
      </c>
      <c r="L1321" s="32" t="n">
        <v>11</v>
      </c>
      <c r="M1321" s="33" t="s">
        <v>7787</v>
      </c>
      <c r="N1321" s="34" t="n">
        <v>75016</v>
      </c>
      <c r="O1321" s="35" t="s">
        <v>55</v>
      </c>
      <c r="P1321" s="36" t="s">
        <v>7788</v>
      </c>
      <c r="Q1321" s="36" t="n">
        <v>2</v>
      </c>
      <c r="R1321" s="32" t="n">
        <v>146</v>
      </c>
      <c r="S1321" s="32" t="n">
        <v>1</v>
      </c>
      <c r="T1321" s="32"/>
      <c r="U1321" s="32"/>
      <c r="V1321" s="37"/>
      <c r="W1321" s="32"/>
      <c r="X1321" s="34"/>
      <c r="Y1321" s="34"/>
      <c r="Z1321" s="36"/>
      <c r="AA1321" s="32" t="s">
        <v>7789</v>
      </c>
      <c r="AB1321" s="32"/>
      <c r="AC1321" s="38" t="str">
        <f aca="false">HYPERLINK("https://biocodex6--c.vf.force.com/0014L00000hvduyQAA", "SAVALE MICHELE")</f>
        <v>SAVALE MICHELE</v>
      </c>
      <c r="AD1321" s="38"/>
      <c r="AE1321" s="39"/>
      <c r="AF1321" s="40"/>
      <c r="AG1321" s="41"/>
      <c r="AH1321" s="32" t="s">
        <v>179</v>
      </c>
      <c r="AI1321" s="32"/>
      <c r="AL1321" s="32"/>
      <c r="AM1321" s="32"/>
      <c r="AN1321" s="32"/>
      <c r="AO1321" s="32"/>
      <c r="AP1321" s="32"/>
      <c r="AQ1321" s="32"/>
      <c r="AR1321" s="32"/>
      <c r="AS1321" s="32"/>
      <c r="AT1321" s="32"/>
      <c r="AU1321" s="32"/>
      <c r="XEY1321" s="27"/>
      <c r="XEZ1321" s="27"/>
      <c r="XFA1321" s="27"/>
      <c r="XFB1321" s="27"/>
      <c r="XFC1321" s="27"/>
      <c r="XFD1321" s="27"/>
    </row>
    <row r="1322" s="42" customFormat="true" ht="14.15" hidden="false" customHeight="true" outlineLevel="0" collapsed="false">
      <c r="A1322" s="28" t="s">
        <v>7790</v>
      </c>
      <c r="B1322" s="29" t="s">
        <v>1766</v>
      </c>
      <c r="C1322" s="29" t="s">
        <v>7791</v>
      </c>
      <c r="D1322" s="30" t="s">
        <v>50</v>
      </c>
      <c r="E1322" s="31"/>
      <c r="F1322" s="32" t="n">
        <v>59</v>
      </c>
      <c r="G1322" s="31"/>
      <c r="H1322" s="31" t="n">
        <v>1</v>
      </c>
      <c r="I1322" s="31" t="s">
        <v>387</v>
      </c>
      <c r="J1322" s="29" t="s">
        <v>3242</v>
      </c>
      <c r="K1322" s="29" t="s">
        <v>3243</v>
      </c>
      <c r="L1322" s="32" t="n">
        <v>11</v>
      </c>
      <c r="M1322" s="33" t="s">
        <v>3244</v>
      </c>
      <c r="N1322" s="34" t="n">
        <v>75016</v>
      </c>
      <c r="O1322" s="35" t="s">
        <v>55</v>
      </c>
      <c r="P1322" s="36" t="s">
        <v>3245</v>
      </c>
      <c r="Q1322" s="36" t="n">
        <v>15</v>
      </c>
      <c r="R1322" s="32" t="n">
        <v>144</v>
      </c>
      <c r="S1322" s="32" t="n">
        <v>1</v>
      </c>
      <c r="T1322" s="32"/>
      <c r="U1322" s="32"/>
      <c r="V1322" s="37"/>
      <c r="W1322" s="32"/>
      <c r="X1322" s="34"/>
      <c r="Y1322" s="34"/>
      <c r="Z1322" s="36"/>
      <c r="AA1322" s="32" t="s">
        <v>7792</v>
      </c>
      <c r="AB1322" s="32"/>
      <c r="AC1322" s="38" t="str">
        <f aca="false">HYPERLINK("https://biocodex6--c.vf.force.com/0014L00000KFXLLQA5", "DEPARIS FRANCOIS")</f>
        <v>DEPARIS FRANCOIS</v>
      </c>
      <c r="AD1322" s="38"/>
      <c r="AE1322" s="39"/>
      <c r="AF1322" s="40"/>
      <c r="AG1322" s="41"/>
      <c r="AH1322" s="32" t="s">
        <v>179</v>
      </c>
      <c r="AI1322" s="32"/>
      <c r="AL1322" s="32"/>
      <c r="AM1322" s="32"/>
      <c r="AN1322" s="32"/>
      <c r="AO1322" s="32"/>
      <c r="AP1322" s="32"/>
      <c r="AQ1322" s="32"/>
      <c r="AR1322" s="32"/>
      <c r="AS1322" s="32"/>
      <c r="AT1322" s="32"/>
      <c r="AU1322" s="32"/>
      <c r="XEY1322" s="27"/>
      <c r="XEZ1322" s="27"/>
      <c r="XFA1322" s="27"/>
      <c r="XFB1322" s="27"/>
      <c r="XFC1322" s="27"/>
      <c r="XFD1322" s="27"/>
    </row>
    <row r="1323" s="42" customFormat="true" ht="14.15" hidden="false" customHeight="true" outlineLevel="0" collapsed="false">
      <c r="A1323" s="28" t="s">
        <v>7793</v>
      </c>
      <c r="B1323" s="29" t="s">
        <v>7794</v>
      </c>
      <c r="C1323" s="29" t="s">
        <v>7795</v>
      </c>
      <c r="D1323" s="30" t="s">
        <v>50</v>
      </c>
      <c r="E1323" s="31"/>
      <c r="F1323" s="32" t="n">
        <v>55</v>
      </c>
      <c r="G1323" s="31"/>
      <c r="H1323" s="31" t="n">
        <v>1</v>
      </c>
      <c r="I1323" s="31" t="s">
        <v>233</v>
      </c>
      <c r="J1323" s="29" t="s">
        <v>4482</v>
      </c>
      <c r="K1323" s="29" t="s">
        <v>4483</v>
      </c>
      <c r="L1323" s="32" t="n">
        <v>10</v>
      </c>
      <c r="M1323" s="33" t="s">
        <v>4484</v>
      </c>
      <c r="N1323" s="34" t="n">
        <v>75015</v>
      </c>
      <c r="O1323" s="35" t="s">
        <v>55</v>
      </c>
      <c r="P1323" s="36" t="s">
        <v>7796</v>
      </c>
      <c r="Q1323" s="36" t="n">
        <v>7</v>
      </c>
      <c r="R1323" s="32" t="n">
        <v>144</v>
      </c>
      <c r="S1323" s="32" t="n">
        <v>1</v>
      </c>
      <c r="T1323" s="32"/>
      <c r="U1323" s="32"/>
      <c r="V1323" s="37"/>
      <c r="W1323" s="32"/>
      <c r="X1323" s="34"/>
      <c r="Y1323" s="34"/>
      <c r="Z1323" s="36"/>
      <c r="AA1323" s="32" t="s">
        <v>7797</v>
      </c>
      <c r="AB1323" s="32"/>
      <c r="AC1323" s="38" t="str">
        <f aca="false">HYPERLINK("https://biocodex6--c.vf.force.com/0014L00000KFQWjQAP", "AIT AMER SALIMA")</f>
        <v>AIT AMER SALIMA</v>
      </c>
      <c r="AD1323" s="38"/>
      <c r="AE1323" s="39"/>
      <c r="AF1323" s="40"/>
      <c r="AG1323" s="41"/>
      <c r="AH1323" s="32" t="s">
        <v>179</v>
      </c>
      <c r="AI1323" s="32"/>
      <c r="AL1323" s="32"/>
      <c r="AM1323" s="32"/>
      <c r="AN1323" s="32"/>
      <c r="AO1323" s="32"/>
      <c r="AP1323" s="32"/>
      <c r="AQ1323" s="32"/>
      <c r="AR1323" s="32"/>
      <c r="AS1323" s="32"/>
      <c r="AT1323" s="32"/>
      <c r="AU1323" s="32"/>
      <c r="XEY1323" s="27"/>
      <c r="XEZ1323" s="27"/>
      <c r="XFA1323" s="27"/>
      <c r="XFB1323" s="27"/>
      <c r="XFC1323" s="27"/>
      <c r="XFD1323" s="27"/>
    </row>
    <row r="1324" s="42" customFormat="true" ht="14.15" hidden="false" customHeight="true" outlineLevel="0" collapsed="false">
      <c r="A1324" s="28" t="s">
        <v>7798</v>
      </c>
      <c r="B1324" s="29" t="s">
        <v>7799</v>
      </c>
      <c r="C1324" s="29" t="s">
        <v>7800</v>
      </c>
      <c r="D1324" s="30" t="s">
        <v>244</v>
      </c>
      <c r="E1324" s="30" t="s">
        <v>245</v>
      </c>
      <c r="F1324" s="32" t="n">
        <v>40</v>
      </c>
      <c r="G1324" s="31"/>
      <c r="H1324" s="31" t="n">
        <v>3</v>
      </c>
      <c r="I1324" s="31" t="s">
        <v>295</v>
      </c>
      <c r="J1324" s="29" t="s">
        <v>489</v>
      </c>
      <c r="K1324" s="29" t="s">
        <v>490</v>
      </c>
      <c r="L1324" s="32" t="n">
        <v>3</v>
      </c>
      <c r="M1324" s="33" t="s">
        <v>491</v>
      </c>
      <c r="N1324" s="34" t="n">
        <v>92300</v>
      </c>
      <c r="O1324" s="35" t="s">
        <v>298</v>
      </c>
      <c r="P1324" s="36" t="s">
        <v>7801</v>
      </c>
      <c r="Q1324" s="36" t="n">
        <v>26</v>
      </c>
      <c r="R1324" s="32" t="n">
        <v>143</v>
      </c>
      <c r="S1324" s="32" t="n">
        <v>1</v>
      </c>
      <c r="T1324" s="32"/>
      <c r="U1324" s="32" t="n">
        <v>3</v>
      </c>
      <c r="V1324" s="37"/>
      <c r="W1324" s="32" t="n">
        <v>3</v>
      </c>
      <c r="X1324" s="34" t="n">
        <v>1</v>
      </c>
      <c r="Y1324" s="34" t="n">
        <v>1</v>
      </c>
      <c r="Z1324" s="32" t="s">
        <v>7802</v>
      </c>
      <c r="AA1324" s="32" t="s">
        <v>7803</v>
      </c>
      <c r="AB1324" s="32"/>
      <c r="AC1324" s="38" t="str">
        <f aca="false">HYPERLINK("https://biocodex6--c.vf.force.com/0014L00000KFLz0QAH", "MERCKELBAGH HILDE")</f>
        <v>MERCKELBAGH HILDE</v>
      </c>
      <c r="AD1324" s="38"/>
      <c r="AE1324" s="39" t="n">
        <v>45183.5833333333</v>
      </c>
      <c r="AF1324" s="40"/>
      <c r="AG1324" s="41"/>
      <c r="AH1324" s="32"/>
      <c r="AI1324" s="32"/>
      <c r="AL1324" s="32"/>
      <c r="AM1324" s="32"/>
      <c r="AN1324" s="32"/>
      <c r="AO1324" s="32"/>
      <c r="AP1324" s="32"/>
      <c r="AQ1324" s="32"/>
      <c r="AR1324" s="32"/>
      <c r="AS1324" s="32"/>
      <c r="AT1324" s="32"/>
      <c r="AU1324" s="32"/>
      <c r="XEY1324" s="27"/>
      <c r="XEZ1324" s="27"/>
      <c r="XFA1324" s="27"/>
      <c r="XFB1324" s="27"/>
      <c r="XFC1324" s="27"/>
      <c r="XFD1324" s="27"/>
    </row>
    <row r="1325" s="42" customFormat="true" ht="14.15" hidden="false" customHeight="true" outlineLevel="0" collapsed="false">
      <c r="A1325" s="28" t="s">
        <v>7804</v>
      </c>
      <c r="B1325" s="29" t="s">
        <v>7805</v>
      </c>
      <c r="C1325" s="29" t="s">
        <v>7806</v>
      </c>
      <c r="D1325" s="30" t="s">
        <v>50</v>
      </c>
      <c r="E1325" s="30" t="s">
        <v>255</v>
      </c>
      <c r="F1325" s="32" t="n">
        <v>48</v>
      </c>
      <c r="G1325" s="31"/>
      <c r="H1325" s="31" t="n">
        <v>3</v>
      </c>
      <c r="I1325" s="31" t="s">
        <v>387</v>
      </c>
      <c r="J1325" s="29" t="s">
        <v>777</v>
      </c>
      <c r="K1325" s="29" t="s">
        <v>3138</v>
      </c>
      <c r="L1325" s="32" t="n">
        <v>95</v>
      </c>
      <c r="M1325" s="33" t="s">
        <v>2778</v>
      </c>
      <c r="N1325" s="34" t="n">
        <v>75016</v>
      </c>
      <c r="O1325" s="35" t="s">
        <v>55</v>
      </c>
      <c r="P1325" s="36" t="s">
        <v>681</v>
      </c>
      <c r="Q1325" s="36" t="n">
        <v>7</v>
      </c>
      <c r="R1325" s="32" t="n">
        <v>143</v>
      </c>
      <c r="S1325" s="32" t="n">
        <v>1</v>
      </c>
      <c r="T1325" s="32"/>
      <c r="U1325" s="32"/>
      <c r="V1325" s="37"/>
      <c r="W1325" s="32"/>
      <c r="X1325" s="34"/>
      <c r="Y1325" s="34"/>
      <c r="Z1325" s="36"/>
      <c r="AA1325" s="32" t="s">
        <v>7807</v>
      </c>
      <c r="AB1325" s="32"/>
      <c r="AC1325" s="38" t="str">
        <f aca="false">HYPERLINK("https://biocodex6--c.vf.force.com/0014L00000KG4oKQAT", "TOUNSI HAJER")</f>
        <v>TOUNSI HAJER</v>
      </c>
      <c r="AD1325" s="38"/>
      <c r="AE1325" s="39"/>
      <c r="AF1325" s="40"/>
      <c r="AG1325" s="41"/>
      <c r="AH1325" s="32" t="s">
        <v>179</v>
      </c>
      <c r="AI1325" s="32"/>
      <c r="AL1325" s="32"/>
      <c r="AM1325" s="32"/>
      <c r="AN1325" s="32"/>
      <c r="AO1325" s="32"/>
      <c r="AP1325" s="32"/>
      <c r="AQ1325" s="32"/>
      <c r="AR1325" s="32"/>
      <c r="AS1325" s="32"/>
      <c r="AT1325" s="32"/>
      <c r="AU1325" s="32"/>
      <c r="XEY1325" s="27"/>
      <c r="XEZ1325" s="27"/>
      <c r="XFA1325" s="27"/>
      <c r="XFB1325" s="27"/>
      <c r="XFC1325" s="27"/>
      <c r="XFD1325" s="27"/>
    </row>
    <row r="1326" s="42" customFormat="true" ht="14.15" hidden="false" customHeight="true" outlineLevel="0" collapsed="false">
      <c r="A1326" s="28" t="s">
        <v>7808</v>
      </c>
      <c r="B1326" s="29" t="s">
        <v>7809</v>
      </c>
      <c r="C1326" s="29" t="s">
        <v>7810</v>
      </c>
      <c r="D1326" s="30" t="s">
        <v>50</v>
      </c>
      <c r="E1326" s="30" t="s">
        <v>255</v>
      </c>
      <c r="F1326" s="32" t="n">
        <v>49</v>
      </c>
      <c r="G1326" s="31"/>
      <c r="H1326" s="31" t="n">
        <v>1</v>
      </c>
      <c r="I1326" s="31" t="s">
        <v>233</v>
      </c>
      <c r="J1326" s="29" t="s">
        <v>4482</v>
      </c>
      <c r="K1326" s="29" t="s">
        <v>4483</v>
      </c>
      <c r="L1326" s="32" t="n">
        <v>10</v>
      </c>
      <c r="M1326" s="33" t="s">
        <v>4484</v>
      </c>
      <c r="N1326" s="34" t="n">
        <v>75015</v>
      </c>
      <c r="O1326" s="35" t="s">
        <v>55</v>
      </c>
      <c r="P1326" s="36" t="s">
        <v>7673</v>
      </c>
      <c r="Q1326" s="36" t="n">
        <v>7</v>
      </c>
      <c r="R1326" s="32" t="n">
        <v>143</v>
      </c>
      <c r="S1326" s="32" t="n">
        <v>1</v>
      </c>
      <c r="T1326" s="32"/>
      <c r="U1326" s="32"/>
      <c r="V1326" s="37"/>
      <c r="W1326" s="32"/>
      <c r="X1326" s="34"/>
      <c r="Y1326" s="34"/>
      <c r="Z1326" s="36"/>
      <c r="AA1326" s="32" t="s">
        <v>7811</v>
      </c>
      <c r="AB1326" s="32"/>
      <c r="AC1326" s="38" t="str">
        <f aca="false">HYPERLINK("https://biocodex6--c.vf.force.com/0014L00000KFh7GQAT", "JIBIDAR NOUMAZALAYI HILDA ABLAVI")</f>
        <v>JIBIDAR NOUMAZALAYI HILDA ABLAVI</v>
      </c>
      <c r="AD1326" s="38"/>
      <c r="AE1326" s="39"/>
      <c r="AF1326" s="40"/>
      <c r="AG1326" s="41"/>
      <c r="AH1326" s="32" t="s">
        <v>179</v>
      </c>
      <c r="AI1326" s="32"/>
      <c r="AL1326" s="32"/>
      <c r="AM1326" s="32"/>
      <c r="AN1326" s="32"/>
      <c r="AO1326" s="32"/>
      <c r="AP1326" s="32"/>
      <c r="AQ1326" s="32"/>
      <c r="AR1326" s="32"/>
      <c r="AS1326" s="32"/>
      <c r="AT1326" s="32"/>
      <c r="AU1326" s="32"/>
      <c r="XEY1326" s="27"/>
      <c r="XEZ1326" s="27"/>
      <c r="XFA1326" s="27"/>
      <c r="XFB1326" s="27"/>
      <c r="XFC1326" s="27"/>
      <c r="XFD1326" s="27"/>
    </row>
    <row r="1327" s="42" customFormat="true" ht="14.15" hidden="false" customHeight="true" outlineLevel="0" collapsed="false">
      <c r="A1327" s="28" t="s">
        <v>7812</v>
      </c>
      <c r="B1327" s="29" t="s">
        <v>7813</v>
      </c>
      <c r="C1327" s="29" t="s">
        <v>7814</v>
      </c>
      <c r="D1327" s="30" t="s">
        <v>50</v>
      </c>
      <c r="E1327" s="30" t="s">
        <v>255</v>
      </c>
      <c r="F1327" s="32" t="n">
        <v>0</v>
      </c>
      <c r="G1327" s="31"/>
      <c r="H1327" s="31" t="n">
        <v>1</v>
      </c>
      <c r="I1327" s="31" t="s">
        <v>387</v>
      </c>
      <c r="J1327" s="29" t="s">
        <v>3242</v>
      </c>
      <c r="K1327" s="29" t="s">
        <v>3243</v>
      </c>
      <c r="L1327" s="32" t="n">
        <v>11</v>
      </c>
      <c r="M1327" s="33" t="s">
        <v>3244</v>
      </c>
      <c r="N1327" s="34" t="n">
        <v>75016</v>
      </c>
      <c r="O1327" s="35" t="s">
        <v>55</v>
      </c>
      <c r="P1327" s="36" t="s">
        <v>7815</v>
      </c>
      <c r="Q1327" s="36" t="n">
        <v>15</v>
      </c>
      <c r="R1327" s="32" t="n">
        <v>142</v>
      </c>
      <c r="S1327" s="32" t="n">
        <v>1</v>
      </c>
      <c r="T1327" s="32"/>
      <c r="U1327" s="32"/>
      <c r="V1327" s="37"/>
      <c r="W1327" s="32"/>
      <c r="X1327" s="34"/>
      <c r="Y1327" s="34"/>
      <c r="Z1327" s="36"/>
      <c r="AA1327" s="32" t="s">
        <v>7816</v>
      </c>
      <c r="AB1327" s="32"/>
      <c r="AC1327" s="38" t="str">
        <f aca="false">HYPERLINK("https://biocodex6--c.vf.force.com/0014L00000KGKBaQAP", "ABIADH HASNA")</f>
        <v>ABIADH HASNA</v>
      </c>
      <c r="AD1327" s="38"/>
      <c r="AE1327" s="39"/>
      <c r="AF1327" s="40"/>
      <c r="AG1327" s="41"/>
      <c r="AH1327" s="32" t="s">
        <v>179</v>
      </c>
      <c r="AI1327" s="32"/>
      <c r="AL1327" s="32"/>
      <c r="AM1327" s="32"/>
      <c r="AN1327" s="32"/>
      <c r="AO1327" s="32"/>
      <c r="AP1327" s="32"/>
      <c r="AQ1327" s="32"/>
      <c r="AR1327" s="32"/>
      <c r="AS1327" s="32"/>
      <c r="AT1327" s="32"/>
      <c r="AU1327" s="32"/>
      <c r="XEY1327" s="27"/>
      <c r="XEZ1327" s="27"/>
      <c r="XFA1327" s="27"/>
      <c r="XFB1327" s="27"/>
      <c r="XFC1327" s="27"/>
      <c r="XFD1327" s="27"/>
    </row>
    <row r="1328" s="42" customFormat="true" ht="14.15" hidden="false" customHeight="true" outlineLevel="0" collapsed="false">
      <c r="A1328" s="28" t="s">
        <v>7817</v>
      </c>
      <c r="B1328" s="29" t="s">
        <v>4707</v>
      </c>
      <c r="C1328" s="29" t="s">
        <v>7818</v>
      </c>
      <c r="D1328" s="30" t="s">
        <v>50</v>
      </c>
      <c r="E1328" s="30" t="s">
        <v>255</v>
      </c>
      <c r="F1328" s="32" t="n">
        <v>62</v>
      </c>
      <c r="G1328" s="31"/>
      <c r="H1328" s="31" t="n">
        <v>1</v>
      </c>
      <c r="I1328" s="31" t="s">
        <v>387</v>
      </c>
      <c r="J1328" s="29" t="s">
        <v>3242</v>
      </c>
      <c r="K1328" s="29" t="s">
        <v>3243</v>
      </c>
      <c r="L1328" s="32" t="n">
        <v>11</v>
      </c>
      <c r="M1328" s="33" t="s">
        <v>3244</v>
      </c>
      <c r="N1328" s="34" t="n">
        <v>75016</v>
      </c>
      <c r="O1328" s="35" t="s">
        <v>55</v>
      </c>
      <c r="P1328" s="36" t="s">
        <v>3245</v>
      </c>
      <c r="Q1328" s="36" t="n">
        <v>15</v>
      </c>
      <c r="R1328" s="32" t="n">
        <v>142</v>
      </c>
      <c r="S1328" s="32" t="n">
        <v>1</v>
      </c>
      <c r="T1328" s="32"/>
      <c r="U1328" s="32"/>
      <c r="V1328" s="37"/>
      <c r="W1328" s="32"/>
      <c r="X1328" s="34"/>
      <c r="Y1328" s="34"/>
      <c r="Z1328" s="36"/>
      <c r="AA1328" s="32" t="s">
        <v>7819</v>
      </c>
      <c r="AB1328" s="32"/>
      <c r="AC1328" s="38" t="str">
        <f aca="false">HYPERLINK("https://biocodex6--c.vf.force.com/0014L00000KFV4kQAH", "BRACHAT JOELLE")</f>
        <v>BRACHAT JOELLE</v>
      </c>
      <c r="AD1328" s="38"/>
      <c r="AE1328" s="39"/>
      <c r="AF1328" s="40"/>
      <c r="AG1328" s="41"/>
      <c r="AH1328" s="32" t="s">
        <v>179</v>
      </c>
      <c r="AI1328" s="32"/>
      <c r="AL1328" s="32"/>
      <c r="AM1328" s="32"/>
      <c r="AN1328" s="32"/>
      <c r="AO1328" s="32"/>
      <c r="AP1328" s="32"/>
      <c r="AQ1328" s="32"/>
      <c r="AR1328" s="32"/>
      <c r="AS1328" s="32"/>
      <c r="AT1328" s="32"/>
      <c r="AU1328" s="32"/>
      <c r="XEY1328" s="27"/>
      <c r="XEZ1328" s="27"/>
      <c r="XFA1328" s="27"/>
      <c r="XFB1328" s="27"/>
      <c r="XFC1328" s="27"/>
      <c r="XFD1328" s="27"/>
    </row>
    <row r="1329" s="42" customFormat="true" ht="14.15" hidden="false" customHeight="true" outlineLevel="0" collapsed="false">
      <c r="A1329" s="28" t="s">
        <v>7820</v>
      </c>
      <c r="B1329" s="29" t="s">
        <v>3615</v>
      </c>
      <c r="C1329" s="29" t="s">
        <v>7821</v>
      </c>
      <c r="D1329" s="30" t="s">
        <v>50</v>
      </c>
      <c r="E1329" s="30" t="s">
        <v>255</v>
      </c>
      <c r="F1329" s="32" t="n">
        <v>71</v>
      </c>
      <c r="G1329" s="31"/>
      <c r="H1329" s="31" t="n">
        <v>1</v>
      </c>
      <c r="I1329" s="31" t="s">
        <v>387</v>
      </c>
      <c r="J1329" s="29" t="s">
        <v>3242</v>
      </c>
      <c r="K1329" s="29" t="s">
        <v>3243</v>
      </c>
      <c r="L1329" s="32" t="n">
        <v>11</v>
      </c>
      <c r="M1329" s="33" t="s">
        <v>3244</v>
      </c>
      <c r="N1329" s="34" t="n">
        <v>75016</v>
      </c>
      <c r="O1329" s="35" t="s">
        <v>55</v>
      </c>
      <c r="P1329" s="36"/>
      <c r="Q1329" s="36" t="n">
        <v>15</v>
      </c>
      <c r="R1329" s="32" t="n">
        <v>142</v>
      </c>
      <c r="S1329" s="32" t="n">
        <v>1</v>
      </c>
      <c r="T1329" s="32"/>
      <c r="U1329" s="32"/>
      <c r="V1329" s="37"/>
      <c r="W1329" s="32"/>
      <c r="X1329" s="34"/>
      <c r="Y1329" s="34"/>
      <c r="Z1329" s="36"/>
      <c r="AA1329" s="32" t="s">
        <v>7822</v>
      </c>
      <c r="AB1329" s="32"/>
      <c r="AC1329" s="38" t="str">
        <f aca="false">HYPERLINK("https://biocodex6--c.vf.force.com/0014L00000KFgUUQA1", "GOMAS JEAN MARIE")</f>
        <v>GOMAS JEAN MARIE</v>
      </c>
      <c r="AD1329" s="38"/>
      <c r="AE1329" s="39"/>
      <c r="AF1329" s="40"/>
      <c r="AG1329" s="41"/>
      <c r="AH1329" s="32" t="s">
        <v>179</v>
      </c>
      <c r="AI1329" s="32"/>
      <c r="AL1329" s="32"/>
      <c r="AM1329" s="32"/>
      <c r="AN1329" s="32"/>
      <c r="AO1329" s="32"/>
      <c r="AP1329" s="32"/>
      <c r="AQ1329" s="32"/>
      <c r="AR1329" s="32"/>
      <c r="AS1329" s="32"/>
      <c r="AT1329" s="32"/>
      <c r="AU1329" s="32"/>
      <c r="XEY1329" s="27"/>
      <c r="XEZ1329" s="27"/>
      <c r="XFA1329" s="27"/>
      <c r="XFB1329" s="27"/>
      <c r="XFC1329" s="27"/>
      <c r="XFD1329" s="27"/>
    </row>
    <row r="1330" s="42" customFormat="true" ht="14.15" hidden="false" customHeight="true" outlineLevel="0" collapsed="false">
      <c r="A1330" s="28" t="s">
        <v>7823</v>
      </c>
      <c r="B1330" s="29" t="s">
        <v>7824</v>
      </c>
      <c r="C1330" s="29" t="s">
        <v>7825</v>
      </c>
      <c r="D1330" s="30" t="s">
        <v>50</v>
      </c>
      <c r="E1330" s="30" t="s">
        <v>255</v>
      </c>
      <c r="F1330" s="32" t="n">
        <v>56</v>
      </c>
      <c r="G1330" s="31"/>
      <c r="H1330" s="31" t="n">
        <v>1</v>
      </c>
      <c r="I1330" s="31" t="s">
        <v>387</v>
      </c>
      <c r="J1330" s="29" t="s">
        <v>3242</v>
      </c>
      <c r="K1330" s="29" t="s">
        <v>3243</v>
      </c>
      <c r="L1330" s="32" t="n">
        <v>11</v>
      </c>
      <c r="M1330" s="33" t="s">
        <v>3244</v>
      </c>
      <c r="N1330" s="34" t="n">
        <v>75016</v>
      </c>
      <c r="O1330" s="35" t="s">
        <v>55</v>
      </c>
      <c r="P1330" s="36" t="s">
        <v>7826</v>
      </c>
      <c r="Q1330" s="36" t="n">
        <v>15</v>
      </c>
      <c r="R1330" s="32" t="n">
        <v>142</v>
      </c>
      <c r="S1330" s="32" t="n">
        <v>1</v>
      </c>
      <c r="T1330" s="32"/>
      <c r="U1330" s="32"/>
      <c r="V1330" s="37"/>
      <c r="W1330" s="32"/>
      <c r="X1330" s="34"/>
      <c r="Y1330" s="34"/>
      <c r="Z1330" s="36"/>
      <c r="AA1330" s="32" t="s">
        <v>7827</v>
      </c>
      <c r="AB1330" s="32"/>
      <c r="AC1330" s="38" t="str">
        <f aca="false">HYPERLINK("https://biocodex6--c.vf.force.com/0014L00000KFw9uQAD", "PENG CHANG LI")</f>
        <v>PENG CHANG LI</v>
      </c>
      <c r="AD1330" s="38"/>
      <c r="AE1330" s="39"/>
      <c r="AF1330" s="40"/>
      <c r="AG1330" s="41"/>
      <c r="AH1330" s="32" t="s">
        <v>179</v>
      </c>
      <c r="AI1330" s="32"/>
      <c r="AL1330" s="32"/>
      <c r="AM1330" s="32"/>
      <c r="AN1330" s="32"/>
      <c r="AO1330" s="32"/>
      <c r="AP1330" s="32"/>
      <c r="AQ1330" s="32"/>
      <c r="AR1330" s="32"/>
      <c r="AS1330" s="32"/>
      <c r="AT1330" s="32"/>
      <c r="AU1330" s="32"/>
      <c r="XEY1330" s="27"/>
      <c r="XEZ1330" s="27"/>
      <c r="XFA1330" s="27"/>
      <c r="XFB1330" s="27"/>
      <c r="XFC1330" s="27"/>
      <c r="XFD1330" s="27"/>
    </row>
    <row r="1331" s="42" customFormat="true" ht="14.15" hidden="false" customHeight="true" outlineLevel="0" collapsed="false">
      <c r="A1331" s="28" t="s">
        <v>7828</v>
      </c>
      <c r="B1331" s="29" t="s">
        <v>1837</v>
      </c>
      <c r="C1331" s="29" t="s">
        <v>7829</v>
      </c>
      <c r="D1331" s="30" t="s">
        <v>50</v>
      </c>
      <c r="E1331" s="31"/>
      <c r="F1331" s="32" t="n">
        <v>37</v>
      </c>
      <c r="G1331" s="31"/>
      <c r="H1331" s="31" t="n">
        <v>1</v>
      </c>
      <c r="I1331" s="31" t="s">
        <v>387</v>
      </c>
      <c r="J1331" s="29" t="s">
        <v>3242</v>
      </c>
      <c r="K1331" s="29" t="s">
        <v>3243</v>
      </c>
      <c r="L1331" s="32" t="n">
        <v>11</v>
      </c>
      <c r="M1331" s="33" t="s">
        <v>3244</v>
      </c>
      <c r="N1331" s="34" t="n">
        <v>75016</v>
      </c>
      <c r="O1331" s="35" t="s">
        <v>55</v>
      </c>
      <c r="P1331" s="36" t="s">
        <v>4501</v>
      </c>
      <c r="Q1331" s="36" t="n">
        <v>15</v>
      </c>
      <c r="R1331" s="32" t="n">
        <v>142</v>
      </c>
      <c r="S1331" s="32" t="n">
        <v>1</v>
      </c>
      <c r="T1331" s="32"/>
      <c r="U1331" s="32"/>
      <c r="V1331" s="37"/>
      <c r="W1331" s="32"/>
      <c r="X1331" s="34"/>
      <c r="Y1331" s="34"/>
      <c r="Z1331" s="36"/>
      <c r="AA1331" s="32" t="s">
        <v>7830</v>
      </c>
      <c r="AB1331" s="32"/>
      <c r="AC1331" s="38" t="str">
        <f aca="false">HYPERLINK("https://biocodex6--c.vf.force.com/0014L00000KFPhiQAH", "TARDIVEL MARIE")</f>
        <v>TARDIVEL MARIE</v>
      </c>
      <c r="AD1331" s="38"/>
      <c r="AE1331" s="39"/>
      <c r="AF1331" s="40"/>
      <c r="AG1331" s="41"/>
      <c r="AH1331" s="32" t="s">
        <v>179</v>
      </c>
      <c r="AI1331" s="32"/>
      <c r="AL1331" s="32"/>
      <c r="AM1331" s="32"/>
      <c r="AN1331" s="32"/>
      <c r="AO1331" s="32"/>
      <c r="AP1331" s="32"/>
      <c r="AQ1331" s="32"/>
      <c r="AR1331" s="32"/>
      <c r="AS1331" s="32"/>
      <c r="AT1331" s="32"/>
      <c r="AU1331" s="32"/>
      <c r="XEY1331" s="27"/>
      <c r="XEZ1331" s="27"/>
      <c r="XFA1331" s="27"/>
      <c r="XFB1331" s="27"/>
      <c r="XFC1331" s="27"/>
      <c r="XFD1331" s="27"/>
    </row>
    <row r="1332" s="42" customFormat="true" ht="14.15" hidden="false" customHeight="true" outlineLevel="0" collapsed="false">
      <c r="A1332" s="28" t="s">
        <v>7831</v>
      </c>
      <c r="B1332" s="29" t="s">
        <v>4847</v>
      </c>
      <c r="C1332" s="29" t="s">
        <v>7832</v>
      </c>
      <c r="D1332" s="30" t="s">
        <v>50</v>
      </c>
      <c r="E1332" s="30" t="s">
        <v>245</v>
      </c>
      <c r="F1332" s="32" t="n">
        <v>45</v>
      </c>
      <c r="G1332" s="31"/>
      <c r="H1332" s="31" t="n">
        <v>3</v>
      </c>
      <c r="I1332" s="31" t="s">
        <v>387</v>
      </c>
      <c r="J1332" s="29" t="s">
        <v>3242</v>
      </c>
      <c r="K1332" s="29" t="s">
        <v>3243</v>
      </c>
      <c r="L1332" s="32" t="n">
        <v>11</v>
      </c>
      <c r="M1332" s="33" t="s">
        <v>3244</v>
      </c>
      <c r="N1332" s="34" t="n">
        <v>75016</v>
      </c>
      <c r="O1332" s="35" t="s">
        <v>55</v>
      </c>
      <c r="P1332" s="36" t="s">
        <v>4501</v>
      </c>
      <c r="Q1332" s="36" t="n">
        <v>15</v>
      </c>
      <c r="R1332" s="32" t="n">
        <v>142</v>
      </c>
      <c r="S1332" s="32" t="n">
        <v>1</v>
      </c>
      <c r="T1332" s="32"/>
      <c r="U1332" s="32"/>
      <c r="V1332" s="37"/>
      <c r="W1332" s="32"/>
      <c r="X1332" s="34"/>
      <c r="Y1332" s="34"/>
      <c r="Z1332" s="32"/>
      <c r="AA1332" s="32" t="s">
        <v>7833</v>
      </c>
      <c r="AB1332" s="32"/>
      <c r="AC1332" s="38" t="str">
        <f aca="false">HYPERLINK("https://biocodex6--c.vf.force.com/0014L00000KFmRkQAL", "LE CRANE MARINE")</f>
        <v>LE CRANE MARINE</v>
      </c>
      <c r="AD1332" s="38"/>
      <c r="AE1332" s="39"/>
      <c r="AF1332" s="40"/>
      <c r="AG1332" s="41"/>
      <c r="AH1332" s="32"/>
      <c r="AI1332" s="32"/>
      <c r="AL1332" s="32"/>
      <c r="AM1332" s="32"/>
      <c r="AN1332" s="32"/>
      <c r="AO1332" s="32"/>
      <c r="AP1332" s="32"/>
      <c r="AQ1332" s="32"/>
      <c r="AR1332" s="32"/>
      <c r="AS1332" s="32"/>
      <c r="AT1332" s="32"/>
      <c r="AU1332" s="32"/>
      <c r="XEY1332" s="27"/>
      <c r="XEZ1332" s="27"/>
      <c r="XFA1332" s="27"/>
      <c r="XFB1332" s="27"/>
      <c r="XFC1332" s="27"/>
      <c r="XFD1332" s="27"/>
    </row>
    <row r="1333" s="42" customFormat="true" ht="14.15" hidden="false" customHeight="true" outlineLevel="0" collapsed="false">
      <c r="A1333" s="28" t="s">
        <v>7834</v>
      </c>
      <c r="B1333" s="29" t="s">
        <v>1377</v>
      </c>
      <c r="C1333" s="29" t="s">
        <v>7835</v>
      </c>
      <c r="D1333" s="30" t="s">
        <v>50</v>
      </c>
      <c r="E1333" s="30" t="s">
        <v>255</v>
      </c>
      <c r="F1333" s="32" t="n">
        <v>50</v>
      </c>
      <c r="G1333" s="31"/>
      <c r="H1333" s="31" t="n">
        <v>1</v>
      </c>
      <c r="I1333" s="31" t="s">
        <v>387</v>
      </c>
      <c r="J1333" s="29"/>
      <c r="K1333" s="29" t="s">
        <v>7836</v>
      </c>
      <c r="L1333" s="32" t="n">
        <v>7</v>
      </c>
      <c r="M1333" s="33" t="s">
        <v>7837</v>
      </c>
      <c r="N1333" s="34" t="n">
        <v>75016</v>
      </c>
      <c r="O1333" s="35" t="s">
        <v>55</v>
      </c>
      <c r="P1333" s="36" t="s">
        <v>7838</v>
      </c>
      <c r="Q1333" s="36" t="n">
        <v>1</v>
      </c>
      <c r="R1333" s="32" t="n">
        <v>142</v>
      </c>
      <c r="S1333" s="32" t="n">
        <v>1</v>
      </c>
      <c r="T1333" s="32"/>
      <c r="U1333" s="32"/>
      <c r="V1333" s="37"/>
      <c r="W1333" s="32"/>
      <c r="X1333" s="34"/>
      <c r="Y1333" s="34"/>
      <c r="Z1333" s="36"/>
      <c r="AA1333" s="32" t="s">
        <v>7839</v>
      </c>
      <c r="AB1333" s="32"/>
      <c r="AC1333" s="38" t="str">
        <f aca="false">HYPERLINK("https://biocodex6--c.vf.force.com/0014L00000KG1T1QAL", "SAFAR PAILLARD HELENE")</f>
        <v>SAFAR PAILLARD HELENE</v>
      </c>
      <c r="AD1333" s="38"/>
      <c r="AE1333" s="39"/>
      <c r="AF1333" s="40"/>
      <c r="AG1333" s="41"/>
      <c r="AH1333" s="32" t="s">
        <v>179</v>
      </c>
      <c r="AI1333" s="32"/>
      <c r="AL1333" s="32"/>
      <c r="AM1333" s="32"/>
      <c r="AN1333" s="32"/>
      <c r="AO1333" s="32"/>
      <c r="AP1333" s="32"/>
      <c r="AQ1333" s="32"/>
      <c r="AR1333" s="32"/>
      <c r="AS1333" s="32"/>
      <c r="AT1333" s="32"/>
      <c r="AU1333" s="32"/>
      <c r="XEY1333" s="27"/>
      <c r="XEZ1333" s="27"/>
      <c r="XFA1333" s="27"/>
      <c r="XFB1333" s="27"/>
      <c r="XFC1333" s="27"/>
      <c r="XFD1333" s="27"/>
    </row>
    <row r="1334" s="42" customFormat="true" ht="14.15" hidden="false" customHeight="true" outlineLevel="0" collapsed="false">
      <c r="A1334" s="28" t="s">
        <v>7840</v>
      </c>
      <c r="B1334" s="29" t="s">
        <v>3784</v>
      </c>
      <c r="C1334" s="29" t="s">
        <v>7841</v>
      </c>
      <c r="D1334" s="30" t="s">
        <v>50</v>
      </c>
      <c r="E1334" s="30" t="s">
        <v>245</v>
      </c>
      <c r="F1334" s="32" t="n">
        <v>51</v>
      </c>
      <c r="G1334" s="31"/>
      <c r="H1334" s="31" t="n">
        <v>1</v>
      </c>
      <c r="I1334" s="31" t="s">
        <v>387</v>
      </c>
      <c r="J1334" s="29" t="s">
        <v>777</v>
      </c>
      <c r="K1334" s="29" t="s">
        <v>3138</v>
      </c>
      <c r="L1334" s="32" t="n">
        <v>95</v>
      </c>
      <c r="M1334" s="33" t="s">
        <v>2778</v>
      </c>
      <c r="N1334" s="34" t="n">
        <v>75016</v>
      </c>
      <c r="O1334" s="35" t="s">
        <v>55</v>
      </c>
      <c r="P1334" s="36" t="s">
        <v>6022</v>
      </c>
      <c r="Q1334" s="36" t="n">
        <v>7</v>
      </c>
      <c r="R1334" s="32" t="n">
        <v>142</v>
      </c>
      <c r="S1334" s="32" t="n">
        <v>1</v>
      </c>
      <c r="T1334" s="32"/>
      <c r="U1334" s="32"/>
      <c r="V1334" s="37"/>
      <c r="W1334" s="32"/>
      <c r="X1334" s="34"/>
      <c r="Y1334" s="34"/>
      <c r="Z1334" s="36"/>
      <c r="AA1334" s="32" t="s">
        <v>7842</v>
      </c>
      <c r="AB1334" s="32"/>
      <c r="AC1334" s="38" t="str">
        <f aca="false">HYPERLINK("https://biocodex6--c.vf.force.com/0014L00000KFX75QAH", "DE MONTGOLFIER SEGOLENE")</f>
        <v>DE MONTGOLFIER SEGOLENE</v>
      </c>
      <c r="AD1334" s="38"/>
      <c r="AE1334" s="39"/>
      <c r="AF1334" s="40"/>
      <c r="AG1334" s="41"/>
      <c r="AH1334" s="32" t="s">
        <v>179</v>
      </c>
      <c r="AI1334" s="32"/>
      <c r="AL1334" s="32"/>
      <c r="AM1334" s="32"/>
      <c r="AN1334" s="32"/>
      <c r="AO1334" s="32"/>
      <c r="AP1334" s="32"/>
      <c r="AQ1334" s="32"/>
      <c r="AR1334" s="32"/>
      <c r="AS1334" s="32"/>
      <c r="AT1334" s="32"/>
      <c r="AU1334" s="32"/>
      <c r="XEY1334" s="27"/>
      <c r="XEZ1334" s="27"/>
      <c r="XFA1334" s="27"/>
      <c r="XFB1334" s="27"/>
      <c r="XFC1334" s="27"/>
      <c r="XFD1334" s="27"/>
    </row>
    <row r="1335" s="42" customFormat="true" ht="14.15" hidden="false" customHeight="true" outlineLevel="0" collapsed="false">
      <c r="A1335" s="28" t="s">
        <v>7843</v>
      </c>
      <c r="B1335" s="29" t="s">
        <v>901</v>
      </c>
      <c r="C1335" s="29" t="s">
        <v>7844</v>
      </c>
      <c r="D1335" s="30" t="s">
        <v>50</v>
      </c>
      <c r="E1335" s="30" t="s">
        <v>255</v>
      </c>
      <c r="F1335" s="32" t="n">
        <v>54</v>
      </c>
      <c r="G1335" s="31"/>
      <c r="H1335" s="31" t="n">
        <v>1</v>
      </c>
      <c r="I1335" s="31" t="s">
        <v>387</v>
      </c>
      <c r="J1335" s="29" t="s">
        <v>777</v>
      </c>
      <c r="K1335" s="29" t="s">
        <v>3138</v>
      </c>
      <c r="L1335" s="32" t="n">
        <v>95</v>
      </c>
      <c r="M1335" s="33" t="s">
        <v>2778</v>
      </c>
      <c r="N1335" s="34" t="n">
        <v>75016</v>
      </c>
      <c r="O1335" s="35" t="s">
        <v>55</v>
      </c>
      <c r="P1335" s="36" t="s">
        <v>6022</v>
      </c>
      <c r="Q1335" s="36" t="n">
        <v>7</v>
      </c>
      <c r="R1335" s="32" t="n">
        <v>142</v>
      </c>
      <c r="S1335" s="32" t="n">
        <v>1</v>
      </c>
      <c r="T1335" s="32"/>
      <c r="U1335" s="32"/>
      <c r="V1335" s="37"/>
      <c r="W1335" s="32"/>
      <c r="X1335" s="34"/>
      <c r="Y1335" s="34"/>
      <c r="Z1335" s="36"/>
      <c r="AA1335" s="32" t="s">
        <v>7845</v>
      </c>
      <c r="AB1335" s="32"/>
      <c r="AC1335" s="38" t="str">
        <f aca="false">HYPERLINK("https://biocodex6--c.vf.force.com/0014L00000KFMlQQAX", "NKOUAMOU MYLENE")</f>
        <v>NKOUAMOU MYLENE</v>
      </c>
      <c r="AD1335" s="38"/>
      <c r="AE1335" s="39"/>
      <c r="AF1335" s="40"/>
      <c r="AG1335" s="41"/>
      <c r="AH1335" s="32" t="s">
        <v>179</v>
      </c>
      <c r="AI1335" s="32"/>
      <c r="AL1335" s="32"/>
      <c r="AM1335" s="32"/>
      <c r="AN1335" s="32"/>
      <c r="AO1335" s="32"/>
      <c r="AP1335" s="32"/>
      <c r="AQ1335" s="32"/>
      <c r="AR1335" s="32"/>
      <c r="AS1335" s="32"/>
      <c r="AT1335" s="32"/>
      <c r="AU1335" s="32"/>
      <c r="XEY1335" s="27"/>
      <c r="XEZ1335" s="27"/>
      <c r="XFA1335" s="27"/>
      <c r="XFB1335" s="27"/>
      <c r="XFC1335" s="27"/>
      <c r="XFD1335" s="27"/>
    </row>
    <row r="1336" s="42" customFormat="true" ht="14.15" hidden="false" customHeight="true" outlineLevel="0" collapsed="false">
      <c r="A1336" s="28" t="s">
        <v>7846</v>
      </c>
      <c r="B1336" s="29" t="s">
        <v>7847</v>
      </c>
      <c r="C1336" s="29" t="s">
        <v>7848</v>
      </c>
      <c r="D1336" s="30" t="s">
        <v>50</v>
      </c>
      <c r="E1336" s="30" t="s">
        <v>255</v>
      </c>
      <c r="F1336" s="32" t="n">
        <v>46</v>
      </c>
      <c r="G1336" s="31"/>
      <c r="H1336" s="31" t="n">
        <v>1</v>
      </c>
      <c r="I1336" s="31" t="s">
        <v>387</v>
      </c>
      <c r="J1336" s="29"/>
      <c r="K1336" s="29" t="s">
        <v>7849</v>
      </c>
      <c r="L1336" s="32" t="n">
        <v>29</v>
      </c>
      <c r="M1336" s="33" t="s">
        <v>7850</v>
      </c>
      <c r="N1336" s="34" t="n">
        <v>75016</v>
      </c>
      <c r="O1336" s="35" t="s">
        <v>55</v>
      </c>
      <c r="P1336" s="36" t="s">
        <v>7851</v>
      </c>
      <c r="Q1336" s="36" t="n">
        <v>2</v>
      </c>
      <c r="R1336" s="32" t="n">
        <v>141</v>
      </c>
      <c r="S1336" s="32" t="n">
        <v>1</v>
      </c>
      <c r="T1336" s="32"/>
      <c r="U1336" s="32"/>
      <c r="V1336" s="37"/>
      <c r="W1336" s="32"/>
      <c r="X1336" s="34"/>
      <c r="Y1336" s="34"/>
      <c r="Z1336" s="36"/>
      <c r="AA1336" s="32" t="s">
        <v>7852</v>
      </c>
      <c r="AB1336" s="32"/>
      <c r="AC1336" s="38" t="str">
        <f aca="false">HYPERLINK("https://biocodex6--c.vf.force.com/0014L00000KFppyQAD", "MEKERTA ZOHRA")</f>
        <v>MEKERTA ZOHRA</v>
      </c>
      <c r="AD1336" s="38"/>
      <c r="AE1336" s="39"/>
      <c r="AF1336" s="40"/>
      <c r="AG1336" s="41"/>
      <c r="AH1336" s="32" t="s">
        <v>179</v>
      </c>
      <c r="AI1336" s="32"/>
      <c r="AL1336" s="32"/>
      <c r="AM1336" s="32"/>
      <c r="AN1336" s="32"/>
      <c r="AO1336" s="32"/>
      <c r="AP1336" s="32"/>
      <c r="AQ1336" s="32"/>
      <c r="AR1336" s="32"/>
      <c r="AS1336" s="32"/>
      <c r="AT1336" s="32"/>
      <c r="AU1336" s="32"/>
      <c r="XEY1336" s="27"/>
      <c r="XEZ1336" s="27"/>
      <c r="XFA1336" s="27"/>
      <c r="XFB1336" s="27"/>
      <c r="XFC1336" s="27"/>
      <c r="XFD1336" s="27"/>
    </row>
    <row r="1337" s="42" customFormat="true" ht="14.15" hidden="false" customHeight="true" outlineLevel="0" collapsed="false">
      <c r="A1337" s="28" t="s">
        <v>7853</v>
      </c>
      <c r="B1337" s="29" t="s">
        <v>1403</v>
      </c>
      <c r="C1337" s="29" t="s">
        <v>7854</v>
      </c>
      <c r="D1337" s="30" t="s">
        <v>244</v>
      </c>
      <c r="E1337" s="30" t="s">
        <v>1277</v>
      </c>
      <c r="F1337" s="32" t="n">
        <v>66</v>
      </c>
      <c r="G1337" s="31"/>
      <c r="H1337" s="31" t="n">
        <v>1</v>
      </c>
      <c r="I1337" s="31" t="s">
        <v>572</v>
      </c>
      <c r="J1337" s="29"/>
      <c r="K1337" s="29" t="s">
        <v>7855</v>
      </c>
      <c r="L1337" s="32" t="n">
        <v>36</v>
      </c>
      <c r="M1337" s="33" t="s">
        <v>1379</v>
      </c>
      <c r="N1337" s="34" t="n">
        <v>75008</v>
      </c>
      <c r="O1337" s="35" t="s">
        <v>55</v>
      </c>
      <c r="P1337" s="36" t="s">
        <v>1380</v>
      </c>
      <c r="Q1337" s="36" t="n">
        <v>2</v>
      </c>
      <c r="R1337" s="32" t="n">
        <v>140</v>
      </c>
      <c r="S1337" s="32" t="n">
        <v>1</v>
      </c>
      <c r="T1337" s="32"/>
      <c r="U1337" s="32"/>
      <c r="V1337" s="37"/>
      <c r="W1337" s="32"/>
      <c r="X1337" s="34"/>
      <c r="Y1337" s="34"/>
      <c r="Z1337" s="36" t="s">
        <v>7856</v>
      </c>
      <c r="AA1337" s="32" t="s">
        <v>7857</v>
      </c>
      <c r="AB1337" s="32"/>
      <c r="AC1337" s="38" t="str">
        <f aca="false">HYPERLINK("https://biocodex6--c.vf.force.com/0014L00000KFoDkQAL", "LETOMBE KINOO BRIGITTE")</f>
        <v>LETOMBE KINOO BRIGITTE</v>
      </c>
      <c r="AD1337" s="38"/>
      <c r="AE1337" s="39"/>
      <c r="AF1337" s="40"/>
      <c r="AG1337" s="41"/>
      <c r="AH1337" s="32" t="s">
        <v>179</v>
      </c>
      <c r="AI1337" s="32"/>
      <c r="AL1337" s="32"/>
      <c r="AM1337" s="32"/>
      <c r="AN1337" s="32"/>
      <c r="AO1337" s="32"/>
      <c r="AP1337" s="32"/>
      <c r="AQ1337" s="32"/>
      <c r="AR1337" s="32"/>
      <c r="AS1337" s="32"/>
      <c r="AT1337" s="32"/>
      <c r="AU1337" s="32"/>
      <c r="XEY1337" s="27"/>
      <c r="XEZ1337" s="27"/>
      <c r="XFA1337" s="27"/>
      <c r="XFB1337" s="27"/>
      <c r="XFC1337" s="27"/>
      <c r="XFD1337" s="27"/>
    </row>
    <row r="1338" s="42" customFormat="true" ht="14.15" hidden="false" customHeight="true" outlineLevel="0" collapsed="false">
      <c r="A1338" s="28" t="s">
        <v>7858</v>
      </c>
      <c r="B1338" s="29" t="s">
        <v>2481</v>
      </c>
      <c r="C1338" s="29" t="s">
        <v>7859</v>
      </c>
      <c r="D1338" s="30" t="s">
        <v>112</v>
      </c>
      <c r="E1338" s="31"/>
      <c r="F1338" s="32"/>
      <c r="G1338" s="31"/>
      <c r="H1338" s="31" t="n">
        <v>1</v>
      </c>
      <c r="I1338" s="31" t="s">
        <v>197</v>
      </c>
      <c r="J1338" s="29"/>
      <c r="K1338" s="29" t="s">
        <v>7860</v>
      </c>
      <c r="L1338" s="32" t="n">
        <v>15</v>
      </c>
      <c r="M1338" s="33" t="s">
        <v>2982</v>
      </c>
      <c r="N1338" s="34" t="n">
        <v>75017</v>
      </c>
      <c r="O1338" s="35" t="s">
        <v>55</v>
      </c>
      <c r="P1338" s="36"/>
      <c r="Q1338" s="36" t="n">
        <v>1</v>
      </c>
      <c r="R1338" s="32" t="n">
        <v>139</v>
      </c>
      <c r="S1338" s="32" t="n">
        <v>1</v>
      </c>
      <c r="T1338" s="32"/>
      <c r="U1338" s="32"/>
      <c r="V1338" s="37"/>
      <c r="W1338" s="32"/>
      <c r="X1338" s="34"/>
      <c r="Y1338" s="34"/>
      <c r="Z1338" s="36"/>
      <c r="AA1338" s="32" t="s">
        <v>7861</v>
      </c>
      <c r="AB1338" s="32"/>
      <c r="AC1338" s="38" t="str">
        <f aca="false">HYPERLINK("https://biocodex6--c.vf.force.com/0014L00000KFOxsQAH", "MAECHEL ANNE SOPHIE")</f>
        <v>MAECHEL ANNE SOPHIE</v>
      </c>
      <c r="AD1338" s="38"/>
      <c r="AE1338" s="39" t="n">
        <v>45203.6666666667</v>
      </c>
      <c r="AF1338" s="40"/>
      <c r="AG1338" s="41"/>
      <c r="AH1338" s="32" t="s">
        <v>179</v>
      </c>
      <c r="AI1338" s="32"/>
      <c r="AL1338" s="32"/>
      <c r="AM1338" s="32"/>
      <c r="AN1338" s="32"/>
      <c r="AO1338" s="32"/>
      <c r="AP1338" s="32"/>
      <c r="AQ1338" s="32"/>
      <c r="AR1338" s="32"/>
      <c r="AS1338" s="32"/>
      <c r="AT1338" s="32"/>
      <c r="AU1338" s="32"/>
      <c r="XEY1338" s="27"/>
      <c r="XEZ1338" s="27"/>
      <c r="XFA1338" s="27"/>
      <c r="XFB1338" s="27"/>
      <c r="XFC1338" s="27"/>
      <c r="XFD1338" s="27"/>
    </row>
    <row r="1339" s="42" customFormat="true" ht="14.15" hidden="false" customHeight="true" outlineLevel="0" collapsed="false">
      <c r="A1339" s="28" t="s">
        <v>1942</v>
      </c>
      <c r="B1339" s="29" t="s">
        <v>6807</v>
      </c>
      <c r="C1339" s="29" t="s">
        <v>7862</v>
      </c>
      <c r="D1339" s="30" t="s">
        <v>112</v>
      </c>
      <c r="E1339" s="31"/>
      <c r="F1339" s="32" t="n">
        <v>75</v>
      </c>
      <c r="G1339" s="31" t="s">
        <v>215</v>
      </c>
      <c r="H1339" s="31" t="n">
        <v>1</v>
      </c>
      <c r="I1339" s="31" t="s">
        <v>197</v>
      </c>
      <c r="J1339" s="29"/>
      <c r="K1339" s="29" t="s">
        <v>7863</v>
      </c>
      <c r="L1339" s="32" t="n">
        <v>9</v>
      </c>
      <c r="M1339" s="33" t="s">
        <v>2982</v>
      </c>
      <c r="N1339" s="34" t="n">
        <v>75017</v>
      </c>
      <c r="O1339" s="35" t="s">
        <v>55</v>
      </c>
      <c r="P1339" s="36" t="s">
        <v>7864</v>
      </c>
      <c r="Q1339" s="36" t="n">
        <v>1</v>
      </c>
      <c r="R1339" s="32" t="n">
        <v>139</v>
      </c>
      <c r="S1339" s="32" t="n">
        <v>1</v>
      </c>
      <c r="T1339" s="32"/>
      <c r="U1339" s="32"/>
      <c r="V1339" s="37"/>
      <c r="W1339" s="32"/>
      <c r="X1339" s="34"/>
      <c r="Y1339" s="34"/>
      <c r="Z1339" s="36"/>
      <c r="AA1339" s="32" t="s">
        <v>7865</v>
      </c>
      <c r="AB1339" s="32" t="s">
        <v>7866</v>
      </c>
      <c r="AC1339" s="38" t="str">
        <f aca="false">HYPERLINK("https://biocodex6--c.vf.force.com/0014L00000KFqOmQAL", "MARTIN THERESE")</f>
        <v>MARTIN THERESE</v>
      </c>
      <c r="AD1339" s="38" t="str">
        <f aca="false">HYPERLINK("https://annuairesante.ameli.fr/professionnels-de-sante/recherche/fiche-detaillee-B7c1kTo1NTu3.html", "MARTIN THERESE")</f>
        <v>MARTIN THERESE</v>
      </c>
      <c r="AE1339" s="39"/>
      <c r="AF1339" s="40"/>
      <c r="AG1339" s="41"/>
      <c r="AH1339" s="32" t="s">
        <v>179</v>
      </c>
      <c r="AI1339" s="32"/>
      <c r="AL1339" s="32"/>
      <c r="AM1339" s="32"/>
      <c r="AN1339" s="32"/>
      <c r="AO1339" s="32"/>
      <c r="AP1339" s="32"/>
      <c r="AQ1339" s="32"/>
      <c r="AR1339" s="32"/>
      <c r="AS1339" s="32"/>
      <c r="AT1339" s="32"/>
      <c r="AU1339" s="32"/>
      <c r="XEY1339" s="27"/>
      <c r="XEZ1339" s="27"/>
      <c r="XFA1339" s="27"/>
      <c r="XFB1339" s="27"/>
      <c r="XFC1339" s="27"/>
      <c r="XFD1339" s="27"/>
    </row>
    <row r="1340" s="42" customFormat="true" ht="14.15" hidden="false" customHeight="true" outlineLevel="0" collapsed="false">
      <c r="A1340" s="28" t="s">
        <v>7867</v>
      </c>
      <c r="B1340" s="29" t="s">
        <v>399</v>
      </c>
      <c r="C1340" s="29" t="s">
        <v>7868</v>
      </c>
      <c r="D1340" s="30" t="s">
        <v>75</v>
      </c>
      <c r="E1340" s="30" t="s">
        <v>245</v>
      </c>
      <c r="F1340" s="32" t="n">
        <v>78</v>
      </c>
      <c r="G1340" s="31" t="s">
        <v>98</v>
      </c>
      <c r="H1340" s="31" t="n">
        <v>1</v>
      </c>
      <c r="I1340" s="31" t="s">
        <v>435</v>
      </c>
      <c r="J1340" s="29"/>
      <c r="K1340" s="29" t="s">
        <v>3362</v>
      </c>
      <c r="L1340" s="32" t="n">
        <v>62</v>
      </c>
      <c r="M1340" s="33" t="s">
        <v>1041</v>
      </c>
      <c r="N1340" s="34" t="n">
        <v>75016</v>
      </c>
      <c r="O1340" s="35" t="s">
        <v>55</v>
      </c>
      <c r="P1340" s="36" t="s">
        <v>7869</v>
      </c>
      <c r="Q1340" s="36" t="n">
        <v>4</v>
      </c>
      <c r="R1340" s="32" t="n">
        <v>138</v>
      </c>
      <c r="S1340" s="32" t="n">
        <v>1</v>
      </c>
      <c r="T1340" s="32"/>
      <c r="U1340" s="32"/>
      <c r="V1340" s="37"/>
      <c r="W1340" s="32"/>
      <c r="X1340" s="34"/>
      <c r="Y1340" s="34"/>
      <c r="Z1340" s="36"/>
      <c r="AA1340" s="32" t="s">
        <v>7870</v>
      </c>
      <c r="AB1340" s="32" t="s">
        <v>7871</v>
      </c>
      <c r="AC1340" s="38" t="str">
        <f aca="false">HYPERLINK("https://biocodex6--c.vf.force.com/0014L00000KFZAOQA5", "DE LOUBENS OLIVIER")</f>
        <v>DE LOUBENS OLIVIER</v>
      </c>
      <c r="AD1340" s="38" t="str">
        <f aca="false">HYPERLINK("https://annuairesante.ameli.fr/professionnels-de-sante/recherche/fiche-detaillee-B7c1mjM4NzK1.html", "DE LOUBENS OLIVIER")</f>
        <v>DE LOUBENS OLIVIER</v>
      </c>
      <c r="AE1340" s="39"/>
      <c r="AF1340" s="40"/>
      <c r="AG1340" s="41"/>
      <c r="AH1340" s="32" t="s">
        <v>179</v>
      </c>
      <c r="AI1340" s="32"/>
      <c r="AL1340" s="32"/>
      <c r="AM1340" s="32"/>
      <c r="AN1340" s="32"/>
      <c r="AO1340" s="32"/>
      <c r="AP1340" s="32"/>
      <c r="AQ1340" s="32"/>
      <c r="AR1340" s="32"/>
      <c r="AS1340" s="32"/>
      <c r="AT1340" s="32"/>
      <c r="AU1340" s="32"/>
      <c r="XEY1340" s="27"/>
      <c r="XEZ1340" s="27"/>
      <c r="XFA1340" s="27"/>
      <c r="XFB1340" s="27"/>
      <c r="XFC1340" s="27"/>
      <c r="XFD1340" s="27"/>
    </row>
    <row r="1341" s="42" customFormat="true" ht="14.15" hidden="false" customHeight="true" outlineLevel="0" collapsed="false">
      <c r="A1341" s="28" t="s">
        <v>7872</v>
      </c>
      <c r="B1341" s="29" t="s">
        <v>7873</v>
      </c>
      <c r="C1341" s="29" t="s">
        <v>7874</v>
      </c>
      <c r="D1341" s="30" t="s">
        <v>50</v>
      </c>
      <c r="E1341" s="31"/>
      <c r="F1341" s="32" t="n">
        <v>41</v>
      </c>
      <c r="G1341" s="31"/>
      <c r="H1341" s="31" t="n">
        <v>1</v>
      </c>
      <c r="I1341" s="31" t="s">
        <v>387</v>
      </c>
      <c r="J1341" s="29" t="s">
        <v>3242</v>
      </c>
      <c r="K1341" s="29" t="s">
        <v>3243</v>
      </c>
      <c r="L1341" s="32" t="n">
        <v>11</v>
      </c>
      <c r="M1341" s="33" t="s">
        <v>3244</v>
      </c>
      <c r="N1341" s="34" t="n">
        <v>75016</v>
      </c>
      <c r="O1341" s="35" t="s">
        <v>55</v>
      </c>
      <c r="P1341" s="36" t="s">
        <v>7562</v>
      </c>
      <c r="Q1341" s="36" t="n">
        <v>15</v>
      </c>
      <c r="R1341" s="32" t="n">
        <v>137</v>
      </c>
      <c r="S1341" s="32" t="n">
        <v>1</v>
      </c>
      <c r="T1341" s="32"/>
      <c r="U1341" s="32"/>
      <c r="V1341" s="37"/>
      <c r="W1341" s="32"/>
      <c r="X1341" s="34"/>
      <c r="Y1341" s="34"/>
      <c r="Z1341" s="36"/>
      <c r="AA1341" s="32" t="s">
        <v>7875</v>
      </c>
      <c r="AB1341" s="32"/>
      <c r="AC1341" s="38" t="str">
        <f aca="false">HYPERLINK("https://biocodex6--c.vf.force.com/0014L00000KGI1rQAH", "BOUJDAY CHRIAA LOBNA")</f>
        <v>BOUJDAY CHRIAA LOBNA</v>
      </c>
      <c r="AD1341" s="38"/>
      <c r="AE1341" s="39"/>
      <c r="AF1341" s="40"/>
      <c r="AG1341" s="41"/>
      <c r="AH1341" s="32" t="s">
        <v>179</v>
      </c>
      <c r="AI1341" s="32"/>
      <c r="AL1341" s="32"/>
      <c r="AM1341" s="32"/>
      <c r="AN1341" s="32"/>
      <c r="AO1341" s="32"/>
      <c r="AP1341" s="32"/>
      <c r="AQ1341" s="32"/>
      <c r="AR1341" s="32"/>
      <c r="AS1341" s="32"/>
      <c r="AT1341" s="32"/>
      <c r="AU1341" s="32"/>
      <c r="XEY1341" s="27"/>
      <c r="XEZ1341" s="27"/>
      <c r="XFA1341" s="27"/>
      <c r="XFB1341" s="27"/>
      <c r="XFC1341" s="27"/>
      <c r="XFD1341" s="27"/>
    </row>
    <row r="1342" s="42" customFormat="true" ht="14.15" hidden="false" customHeight="true" outlineLevel="0" collapsed="false">
      <c r="A1342" s="28" t="s">
        <v>7876</v>
      </c>
      <c r="B1342" s="29" t="s">
        <v>182</v>
      </c>
      <c r="C1342" s="29" t="s">
        <v>7877</v>
      </c>
      <c r="D1342" s="30" t="s">
        <v>75</v>
      </c>
      <c r="E1342" s="30" t="s">
        <v>1554</v>
      </c>
      <c r="F1342" s="32" t="n">
        <v>66</v>
      </c>
      <c r="G1342" s="31" t="s">
        <v>215</v>
      </c>
      <c r="H1342" s="31" t="n">
        <v>3</v>
      </c>
      <c r="I1342" s="31" t="s">
        <v>435</v>
      </c>
      <c r="J1342" s="29"/>
      <c r="K1342" s="29" t="s">
        <v>3362</v>
      </c>
      <c r="L1342" s="32" t="n">
        <v>62</v>
      </c>
      <c r="M1342" s="33" t="s">
        <v>1041</v>
      </c>
      <c r="N1342" s="34" t="n">
        <v>75016</v>
      </c>
      <c r="O1342" s="35" t="s">
        <v>55</v>
      </c>
      <c r="P1342" s="36" t="s">
        <v>7869</v>
      </c>
      <c r="Q1342" s="36" t="n">
        <v>4</v>
      </c>
      <c r="R1342" s="32" t="n">
        <v>137</v>
      </c>
      <c r="S1342" s="32" t="n">
        <v>1</v>
      </c>
      <c r="T1342" s="32"/>
      <c r="U1342" s="32"/>
      <c r="V1342" s="37"/>
      <c r="W1342" s="32"/>
      <c r="X1342" s="34"/>
      <c r="Y1342" s="34"/>
      <c r="Z1342" s="36"/>
      <c r="AA1342" s="32" t="s">
        <v>7878</v>
      </c>
      <c r="AB1342" s="32" t="s">
        <v>7879</v>
      </c>
      <c r="AC1342" s="38" t="str">
        <f aca="false">HYPERLINK("https://biocodex6--c.vf.force.com/0014L00000KFuSOQA1", "PALAZZO LAURENT")</f>
        <v>PALAZZO LAURENT</v>
      </c>
      <c r="AD1342" s="38" t="str">
        <f aca="false">HYPERLINK("https://annuairesante.ameli.fr/professionnels-de-sante/recherche/fiche-detaillee-B7c1lzAwMzew.html", "PALAZZO LAURENT")</f>
        <v>PALAZZO LAURENT</v>
      </c>
      <c r="AE1342" s="39"/>
      <c r="AF1342" s="40"/>
      <c r="AG1342" s="41"/>
      <c r="AH1342" s="32" t="s">
        <v>179</v>
      </c>
      <c r="AI1342" s="32"/>
      <c r="AL1342" s="32"/>
      <c r="AM1342" s="32"/>
      <c r="AN1342" s="32"/>
      <c r="AO1342" s="32"/>
      <c r="AP1342" s="32"/>
      <c r="AQ1342" s="32"/>
      <c r="AR1342" s="32"/>
      <c r="AS1342" s="32"/>
      <c r="AT1342" s="32"/>
      <c r="AU1342" s="32"/>
      <c r="XEY1342" s="27"/>
      <c r="XEZ1342" s="27"/>
      <c r="XFA1342" s="27"/>
      <c r="XFB1342" s="27"/>
      <c r="XFC1342" s="27"/>
      <c r="XFD1342" s="27"/>
    </row>
    <row r="1343" s="42" customFormat="true" ht="14.15" hidden="false" customHeight="true" outlineLevel="0" collapsed="false">
      <c r="A1343" s="28" t="s">
        <v>7880</v>
      </c>
      <c r="B1343" s="29" t="s">
        <v>1568</v>
      </c>
      <c r="C1343" s="29" t="s">
        <v>7881</v>
      </c>
      <c r="D1343" s="30" t="s">
        <v>50</v>
      </c>
      <c r="E1343" s="31"/>
      <c r="F1343" s="32" t="n">
        <v>37</v>
      </c>
      <c r="G1343" s="31"/>
      <c r="H1343" s="31" t="n">
        <v>1</v>
      </c>
      <c r="I1343" s="31" t="s">
        <v>387</v>
      </c>
      <c r="J1343" s="29"/>
      <c r="K1343" s="29" t="s">
        <v>7849</v>
      </c>
      <c r="L1343" s="32" t="n">
        <v>29</v>
      </c>
      <c r="M1343" s="33" t="s">
        <v>7850</v>
      </c>
      <c r="N1343" s="34" t="n">
        <v>75016</v>
      </c>
      <c r="O1343" s="35" t="s">
        <v>55</v>
      </c>
      <c r="P1343" s="36" t="s">
        <v>7882</v>
      </c>
      <c r="Q1343" s="36" t="n">
        <v>2</v>
      </c>
      <c r="R1343" s="32" t="n">
        <v>135</v>
      </c>
      <c r="S1343" s="32" t="n">
        <v>1</v>
      </c>
      <c r="T1343" s="32"/>
      <c r="U1343" s="32"/>
      <c r="V1343" s="37"/>
      <c r="W1343" s="32"/>
      <c r="X1343" s="34"/>
      <c r="Y1343" s="34"/>
      <c r="Z1343" s="36"/>
      <c r="AA1343" s="32" t="s">
        <v>7883</v>
      </c>
      <c r="AB1343" s="32"/>
      <c r="AC1343" s="38" t="str">
        <f aca="false">HYPERLINK("https://biocodex6--c.vf.force.com/0014L00000KFPBmQAP", "SPINELLI JULIETTE")</f>
        <v>SPINELLI JULIETTE</v>
      </c>
      <c r="AD1343" s="38"/>
      <c r="AE1343" s="39"/>
      <c r="AF1343" s="40"/>
      <c r="AG1343" s="41"/>
      <c r="AH1343" s="32" t="s">
        <v>179</v>
      </c>
      <c r="AI1343" s="32"/>
      <c r="AL1343" s="32"/>
      <c r="AM1343" s="32"/>
      <c r="AN1343" s="32"/>
      <c r="AO1343" s="32"/>
      <c r="AP1343" s="32"/>
      <c r="AQ1343" s="32"/>
      <c r="AR1343" s="32"/>
      <c r="AS1343" s="32"/>
      <c r="AT1343" s="32"/>
      <c r="AU1343" s="32"/>
      <c r="XEY1343" s="27"/>
      <c r="XEZ1343" s="27"/>
      <c r="XFA1343" s="27"/>
      <c r="XFB1343" s="27"/>
      <c r="XFC1343" s="27"/>
      <c r="XFD1343" s="27"/>
    </row>
    <row r="1344" s="42" customFormat="true" ht="14.15" hidden="false" customHeight="true" outlineLevel="0" collapsed="false">
      <c r="A1344" s="28" t="s">
        <v>7884</v>
      </c>
      <c r="B1344" s="29" t="s">
        <v>1600</v>
      </c>
      <c r="C1344" s="29" t="s">
        <v>7885</v>
      </c>
      <c r="D1344" s="30" t="s">
        <v>112</v>
      </c>
      <c r="E1344" s="30" t="s">
        <v>421</v>
      </c>
      <c r="F1344" s="32" t="n">
        <v>43</v>
      </c>
      <c r="G1344" s="31"/>
      <c r="H1344" s="31" t="n">
        <v>1</v>
      </c>
      <c r="I1344" s="31" t="s">
        <v>51</v>
      </c>
      <c r="J1344" s="29" t="s">
        <v>52</v>
      </c>
      <c r="K1344" s="29" t="s">
        <v>53</v>
      </c>
      <c r="L1344" s="32" t="n">
        <v>149</v>
      </c>
      <c r="M1344" s="33" t="s">
        <v>54</v>
      </c>
      <c r="N1344" s="34" t="n">
        <v>75015</v>
      </c>
      <c r="O1344" s="35" t="s">
        <v>55</v>
      </c>
      <c r="P1344" s="36" t="s">
        <v>2723</v>
      </c>
      <c r="Q1344" s="36" t="n">
        <v>236</v>
      </c>
      <c r="R1344" s="32" t="n">
        <v>135</v>
      </c>
      <c r="S1344" s="32" t="n">
        <v>1</v>
      </c>
      <c r="T1344" s="32"/>
      <c r="U1344" s="32"/>
      <c r="V1344" s="37"/>
      <c r="W1344" s="32"/>
      <c r="X1344" s="34"/>
      <c r="Y1344" s="34"/>
      <c r="Z1344" s="36"/>
      <c r="AA1344" s="32" t="s">
        <v>7886</v>
      </c>
      <c r="AB1344" s="32"/>
      <c r="AC1344" s="38" t="str">
        <f aca="false">HYPERLINK("https://biocodex6--c.vf.force.com/0014L00000KFu8hQAD", "NGUYEN SON CAROLINE")</f>
        <v>NGUYEN SON CAROLINE</v>
      </c>
      <c r="AD1344" s="38"/>
      <c r="AE1344" s="39"/>
      <c r="AF1344" s="40"/>
      <c r="AG1344" s="41"/>
      <c r="AH1344" s="32" t="s">
        <v>179</v>
      </c>
      <c r="AI1344" s="32"/>
      <c r="AL1344" s="32"/>
      <c r="AM1344" s="32"/>
      <c r="AN1344" s="32"/>
      <c r="AO1344" s="32"/>
      <c r="AP1344" s="32"/>
      <c r="AQ1344" s="32"/>
      <c r="AR1344" s="32"/>
      <c r="AS1344" s="32"/>
      <c r="AT1344" s="32"/>
      <c r="AU1344" s="32"/>
      <c r="XEY1344" s="27"/>
      <c r="XEZ1344" s="27"/>
      <c r="XFA1344" s="27"/>
      <c r="XFB1344" s="27"/>
      <c r="XFC1344" s="27"/>
      <c r="XFD1344" s="27"/>
    </row>
    <row r="1345" s="42" customFormat="true" ht="14.15" hidden="false" customHeight="true" outlineLevel="0" collapsed="false">
      <c r="A1345" s="28" t="s">
        <v>7887</v>
      </c>
      <c r="B1345" s="29" t="s">
        <v>1438</v>
      </c>
      <c r="C1345" s="29" t="s">
        <v>7888</v>
      </c>
      <c r="D1345" s="30" t="s">
        <v>112</v>
      </c>
      <c r="E1345" s="31"/>
      <c r="F1345" s="32" t="n">
        <v>48</v>
      </c>
      <c r="G1345" s="31"/>
      <c r="H1345" s="31" t="n">
        <v>1</v>
      </c>
      <c r="I1345" s="31" t="s">
        <v>51</v>
      </c>
      <c r="J1345" s="29" t="s">
        <v>52</v>
      </c>
      <c r="K1345" s="29" t="s">
        <v>53</v>
      </c>
      <c r="L1345" s="32" t="n">
        <v>149</v>
      </c>
      <c r="M1345" s="33" t="s">
        <v>54</v>
      </c>
      <c r="N1345" s="34" t="n">
        <v>75015</v>
      </c>
      <c r="O1345" s="35" t="s">
        <v>55</v>
      </c>
      <c r="P1345" s="36" t="s">
        <v>1807</v>
      </c>
      <c r="Q1345" s="36" t="n">
        <v>236</v>
      </c>
      <c r="R1345" s="32" t="n">
        <v>135</v>
      </c>
      <c r="S1345" s="32" t="n">
        <v>1</v>
      </c>
      <c r="T1345" s="32"/>
      <c r="U1345" s="32"/>
      <c r="V1345" s="37"/>
      <c r="W1345" s="32"/>
      <c r="X1345" s="34"/>
      <c r="Y1345" s="34"/>
      <c r="Z1345" s="36"/>
      <c r="AA1345" s="32" t="s">
        <v>7889</v>
      </c>
      <c r="AB1345" s="32"/>
      <c r="AC1345" s="38" t="str">
        <f aca="false">HYPERLINK("https://biocodex6--c.vf.force.com/0014L00000KFZMTQA5", "SALOMON JULIE")</f>
        <v>SALOMON JULIE</v>
      </c>
      <c r="AD1345" s="38"/>
      <c r="AE1345" s="39"/>
      <c r="AF1345" s="40"/>
      <c r="AG1345" s="41"/>
      <c r="AH1345" s="32" t="s">
        <v>179</v>
      </c>
      <c r="AI1345" s="32"/>
      <c r="AJ1345" s="42" t="s">
        <v>1809</v>
      </c>
      <c r="AL1345" s="32"/>
      <c r="AM1345" s="32"/>
      <c r="AN1345" s="32"/>
      <c r="AO1345" s="32"/>
      <c r="AP1345" s="32"/>
      <c r="AQ1345" s="32"/>
      <c r="AR1345" s="32"/>
      <c r="AS1345" s="32"/>
      <c r="AT1345" s="32"/>
      <c r="AU1345" s="32"/>
      <c r="XEY1345" s="27"/>
      <c r="XEZ1345" s="27"/>
      <c r="XFA1345" s="27"/>
      <c r="XFB1345" s="27"/>
      <c r="XFC1345" s="27"/>
      <c r="XFD1345" s="27"/>
    </row>
    <row r="1346" s="42" customFormat="true" ht="14.15" hidden="false" customHeight="true" outlineLevel="0" collapsed="false">
      <c r="A1346" s="28" t="s">
        <v>7890</v>
      </c>
      <c r="B1346" s="29" t="s">
        <v>1218</v>
      </c>
      <c r="C1346" s="29" t="s">
        <v>7891</v>
      </c>
      <c r="D1346" s="30" t="s">
        <v>112</v>
      </c>
      <c r="E1346" s="30" t="s">
        <v>1709</v>
      </c>
      <c r="F1346" s="32" t="n">
        <v>70</v>
      </c>
      <c r="G1346" s="31"/>
      <c r="H1346" s="31" t="n">
        <v>1</v>
      </c>
      <c r="I1346" s="31" t="s">
        <v>51</v>
      </c>
      <c r="J1346" s="29" t="s">
        <v>52</v>
      </c>
      <c r="K1346" s="29" t="s">
        <v>53</v>
      </c>
      <c r="L1346" s="32" t="n">
        <v>149</v>
      </c>
      <c r="M1346" s="33" t="s">
        <v>54</v>
      </c>
      <c r="N1346" s="34" t="n">
        <v>75015</v>
      </c>
      <c r="O1346" s="35" t="s">
        <v>55</v>
      </c>
      <c r="P1346" s="36" t="s">
        <v>1815</v>
      </c>
      <c r="Q1346" s="36" t="n">
        <v>236</v>
      </c>
      <c r="R1346" s="32" t="n">
        <v>134</v>
      </c>
      <c r="S1346" s="32" t="n">
        <v>1</v>
      </c>
      <c r="T1346" s="32"/>
      <c r="U1346" s="32"/>
      <c r="V1346" s="37"/>
      <c r="W1346" s="32"/>
      <c r="X1346" s="34"/>
      <c r="Y1346" s="34"/>
      <c r="Z1346" s="32"/>
      <c r="AA1346" s="32" t="s">
        <v>7892</v>
      </c>
      <c r="AB1346" s="32"/>
      <c r="AC1346" s="38" t="str">
        <f aca="false">HYPERLINK("https://biocodex6--c.vf.force.com/0014L00000KFucWQAT", "LARDEUX CLAUDE")</f>
        <v>LARDEUX CLAUDE</v>
      </c>
      <c r="AD1346" s="38"/>
      <c r="AE1346" s="39" t="n">
        <v>45260.6666666667</v>
      </c>
      <c r="AF1346" s="40"/>
      <c r="AG1346" s="41"/>
      <c r="AH1346" s="32"/>
      <c r="AI1346" s="32"/>
      <c r="AJ1346" s="42" t="s">
        <v>1817</v>
      </c>
      <c r="AL1346" s="32"/>
      <c r="AM1346" s="32"/>
      <c r="AN1346" s="32"/>
      <c r="AO1346" s="32"/>
      <c r="AP1346" s="32"/>
      <c r="AQ1346" s="32"/>
      <c r="AR1346" s="32"/>
      <c r="AS1346" s="32"/>
      <c r="AT1346" s="32"/>
      <c r="AU1346" s="32"/>
      <c r="XEY1346" s="27"/>
      <c r="XEZ1346" s="27"/>
      <c r="XFA1346" s="27"/>
      <c r="XFB1346" s="27"/>
      <c r="XFC1346" s="27"/>
      <c r="XFD1346" s="27"/>
    </row>
    <row r="1347" s="42" customFormat="true" ht="14.15" hidden="false" customHeight="true" outlineLevel="0" collapsed="false">
      <c r="A1347" s="28" t="s">
        <v>7893</v>
      </c>
      <c r="B1347" s="29" t="s">
        <v>7894</v>
      </c>
      <c r="C1347" s="29" t="s">
        <v>7895</v>
      </c>
      <c r="D1347" s="30" t="s">
        <v>112</v>
      </c>
      <c r="E1347" s="31"/>
      <c r="F1347" s="32" t="n">
        <v>37</v>
      </c>
      <c r="G1347" s="31" t="s">
        <v>215</v>
      </c>
      <c r="H1347" s="31" t="n">
        <v>1</v>
      </c>
      <c r="I1347" s="31" t="s">
        <v>119</v>
      </c>
      <c r="J1347" s="29"/>
      <c r="K1347" s="29" t="s">
        <v>553</v>
      </c>
      <c r="L1347" s="32" t="n">
        <v>2</v>
      </c>
      <c r="M1347" s="33" t="s">
        <v>554</v>
      </c>
      <c r="N1347" s="34" t="n">
        <v>75007</v>
      </c>
      <c r="O1347" s="35" t="s">
        <v>55</v>
      </c>
      <c r="P1347" s="36" t="s">
        <v>7166</v>
      </c>
      <c r="Q1347" s="36" t="n">
        <v>5</v>
      </c>
      <c r="R1347" s="32" t="n">
        <v>134</v>
      </c>
      <c r="S1347" s="32" t="n">
        <v>1</v>
      </c>
      <c r="T1347" s="32"/>
      <c r="U1347" s="32"/>
      <c r="V1347" s="37"/>
      <c r="W1347" s="32"/>
      <c r="X1347" s="34"/>
      <c r="Y1347" s="34"/>
      <c r="Z1347" s="36"/>
      <c r="AA1347" s="32" t="s">
        <v>7896</v>
      </c>
      <c r="AB1347" s="32" t="s">
        <v>7897</v>
      </c>
      <c r="AC1347" s="38" t="str">
        <f aca="false">HYPERLINK("https://biocodex6--c.vf.force.com/0014L00000KFOXfQAP", "MATCZAK SORAYA")</f>
        <v>MATCZAK SORAYA</v>
      </c>
      <c r="AD1347" s="38" t="str">
        <f aca="false">HYPERLINK("https://annuairesante.ameli.fr/professionnels-de-sante/recherche/fiche-detaillee-B7c1kjc3ODG7.html", "MATCZAK SORAYA")</f>
        <v>MATCZAK SORAYA</v>
      </c>
      <c r="AE1347" s="39"/>
      <c r="AF1347" s="40"/>
      <c r="AG1347" s="41"/>
      <c r="AH1347" s="32" t="s">
        <v>179</v>
      </c>
      <c r="AI1347" s="32"/>
      <c r="AL1347" s="32"/>
      <c r="AM1347" s="32"/>
      <c r="AN1347" s="32"/>
      <c r="AO1347" s="32"/>
      <c r="AP1347" s="32"/>
      <c r="AQ1347" s="32"/>
      <c r="AR1347" s="32"/>
      <c r="AS1347" s="32"/>
      <c r="AT1347" s="32"/>
      <c r="AU1347" s="32"/>
      <c r="XEY1347" s="27"/>
      <c r="XEZ1347" s="27"/>
      <c r="XFA1347" s="27"/>
      <c r="XFB1347" s="27"/>
      <c r="XFC1347" s="27"/>
      <c r="XFD1347" s="27"/>
    </row>
    <row r="1348" s="42" customFormat="true" ht="14.15" hidden="false" customHeight="true" outlineLevel="0" collapsed="false">
      <c r="A1348" s="28" t="s">
        <v>7898</v>
      </c>
      <c r="B1348" s="29" t="s">
        <v>7899</v>
      </c>
      <c r="C1348" s="29" t="s">
        <v>7900</v>
      </c>
      <c r="D1348" s="30" t="s">
        <v>112</v>
      </c>
      <c r="E1348" s="31"/>
      <c r="F1348" s="32" t="n">
        <v>0</v>
      </c>
      <c r="G1348" s="31"/>
      <c r="H1348" s="31" t="n">
        <v>1</v>
      </c>
      <c r="I1348" s="31" t="s">
        <v>51</v>
      </c>
      <c r="J1348" s="29" t="s">
        <v>52</v>
      </c>
      <c r="K1348" s="29" t="s">
        <v>53</v>
      </c>
      <c r="L1348" s="32" t="n">
        <v>149</v>
      </c>
      <c r="M1348" s="33" t="s">
        <v>54</v>
      </c>
      <c r="N1348" s="34" t="n">
        <v>75015</v>
      </c>
      <c r="O1348" s="35" t="s">
        <v>55</v>
      </c>
      <c r="P1348" s="36" t="s">
        <v>269</v>
      </c>
      <c r="Q1348" s="36" t="n">
        <v>236</v>
      </c>
      <c r="R1348" s="32" t="n">
        <v>134</v>
      </c>
      <c r="S1348" s="32" t="n">
        <v>1</v>
      </c>
      <c r="T1348" s="32"/>
      <c r="U1348" s="32"/>
      <c r="V1348" s="37"/>
      <c r="W1348" s="32" t="n">
        <v>3</v>
      </c>
      <c r="X1348" s="34"/>
      <c r="Y1348" s="34" t="n">
        <v>1</v>
      </c>
      <c r="Z1348" s="36"/>
      <c r="AA1348" s="32" t="s">
        <v>7901</v>
      </c>
      <c r="AB1348" s="44"/>
      <c r="AC1348" s="38" t="str">
        <f aca="false">HYPERLINK("https://biocodex6--c.vf.force.com/0014L00000KFuiNQAT", "AUBART MELODIE")</f>
        <v>AUBART MELODIE</v>
      </c>
      <c r="AD1348" s="38"/>
      <c r="AE1348" s="39"/>
      <c r="AF1348" s="40"/>
      <c r="AG1348" s="41"/>
      <c r="AH1348" s="32" t="s">
        <v>179</v>
      </c>
      <c r="AI1348" s="32"/>
      <c r="AL1348" s="32"/>
      <c r="AM1348" s="32"/>
      <c r="AN1348" s="32"/>
      <c r="AO1348" s="32"/>
      <c r="AP1348" s="32"/>
      <c r="AQ1348" s="32"/>
      <c r="AR1348" s="32"/>
      <c r="AS1348" s="32"/>
      <c r="AT1348" s="32"/>
      <c r="AU1348" s="32"/>
      <c r="XEY1348" s="27"/>
      <c r="XEZ1348" s="27"/>
      <c r="XFA1348" s="27"/>
      <c r="XFB1348" s="27"/>
      <c r="XFC1348" s="27"/>
      <c r="XFD1348" s="27"/>
    </row>
    <row r="1349" s="42" customFormat="true" ht="14.15" hidden="false" customHeight="true" outlineLevel="0" collapsed="false">
      <c r="A1349" s="28" t="s">
        <v>7902</v>
      </c>
      <c r="B1349" s="29" t="s">
        <v>811</v>
      </c>
      <c r="C1349" s="29" t="s">
        <v>7903</v>
      </c>
      <c r="D1349" s="30" t="s">
        <v>112</v>
      </c>
      <c r="E1349" s="31"/>
      <c r="F1349" s="32" t="n">
        <v>63</v>
      </c>
      <c r="G1349" s="31"/>
      <c r="H1349" s="31" t="n">
        <v>2</v>
      </c>
      <c r="I1349" s="31" t="s">
        <v>51</v>
      </c>
      <c r="J1349" s="29" t="s">
        <v>52</v>
      </c>
      <c r="K1349" s="29" t="s">
        <v>53</v>
      </c>
      <c r="L1349" s="32" t="n">
        <v>149</v>
      </c>
      <c r="M1349" s="33" t="s">
        <v>54</v>
      </c>
      <c r="N1349" s="34" t="n">
        <v>75015</v>
      </c>
      <c r="O1349" s="35" t="s">
        <v>55</v>
      </c>
      <c r="P1349" s="36"/>
      <c r="Q1349" s="36" t="n">
        <v>236</v>
      </c>
      <c r="R1349" s="32" t="n">
        <v>134</v>
      </c>
      <c r="S1349" s="32" t="n">
        <v>1</v>
      </c>
      <c r="T1349" s="32"/>
      <c r="U1349" s="32"/>
      <c r="V1349" s="37"/>
      <c r="W1349" s="32"/>
      <c r="X1349" s="34"/>
      <c r="Y1349" s="34"/>
      <c r="Z1349" s="36"/>
      <c r="AA1349" s="32" t="s">
        <v>7904</v>
      </c>
      <c r="AB1349" s="32"/>
      <c r="AC1349" s="38" t="str">
        <f aca="false">HYPERLINK("https://biocodex6--c.vf.force.com/0014L00000KFKUuQAP", "ABADIE VERONIQUE")</f>
        <v>ABADIE VERONIQUE</v>
      </c>
      <c r="AD1349" s="38"/>
      <c r="AE1349" s="39"/>
      <c r="AF1349" s="40"/>
      <c r="AG1349" s="41"/>
      <c r="AH1349" s="32" t="s">
        <v>179</v>
      </c>
      <c r="AI1349" s="32"/>
      <c r="AL1349" s="32"/>
      <c r="AM1349" s="32"/>
      <c r="AN1349" s="32"/>
      <c r="AO1349" s="32"/>
      <c r="AP1349" s="32"/>
      <c r="AQ1349" s="32"/>
      <c r="AR1349" s="32"/>
      <c r="AS1349" s="32"/>
      <c r="AT1349" s="32"/>
      <c r="AU1349" s="32"/>
      <c r="XEY1349" s="27"/>
      <c r="XEZ1349" s="27"/>
      <c r="XFA1349" s="27"/>
      <c r="XFB1349" s="27"/>
      <c r="XFC1349" s="27"/>
      <c r="XFD1349" s="27"/>
    </row>
    <row r="1350" s="42" customFormat="true" ht="14.15" hidden="false" customHeight="true" outlineLevel="0" collapsed="false">
      <c r="A1350" s="28" t="s">
        <v>7905</v>
      </c>
      <c r="B1350" s="29" t="s">
        <v>7906</v>
      </c>
      <c r="C1350" s="29" t="s">
        <v>7907</v>
      </c>
      <c r="D1350" s="30" t="s">
        <v>112</v>
      </c>
      <c r="E1350" s="31"/>
      <c r="F1350" s="32" t="n">
        <v>43</v>
      </c>
      <c r="G1350" s="31"/>
      <c r="H1350" s="31" t="n">
        <v>1</v>
      </c>
      <c r="I1350" s="31" t="s">
        <v>51</v>
      </c>
      <c r="J1350" s="29" t="s">
        <v>52</v>
      </c>
      <c r="K1350" s="29" t="s">
        <v>53</v>
      </c>
      <c r="L1350" s="32" t="n">
        <v>149</v>
      </c>
      <c r="M1350" s="33" t="s">
        <v>54</v>
      </c>
      <c r="N1350" s="34" t="n">
        <v>75015</v>
      </c>
      <c r="O1350" s="35" t="s">
        <v>55</v>
      </c>
      <c r="P1350" s="36" t="s">
        <v>2769</v>
      </c>
      <c r="Q1350" s="36" t="n">
        <v>236</v>
      </c>
      <c r="R1350" s="32" t="n">
        <v>134</v>
      </c>
      <c r="S1350" s="32" t="n">
        <v>1</v>
      </c>
      <c r="T1350" s="32"/>
      <c r="U1350" s="32"/>
      <c r="V1350" s="37"/>
      <c r="W1350" s="32"/>
      <c r="X1350" s="34"/>
      <c r="Y1350" s="34"/>
      <c r="Z1350" s="36"/>
      <c r="AA1350" s="32" t="s">
        <v>7908</v>
      </c>
      <c r="AB1350" s="32"/>
      <c r="AC1350" s="38" t="str">
        <f aca="false">HYPERLINK("https://biocodex6--c.vf.force.com/0014L00000KFRRLQA5", "ALLALI SLIMANE")</f>
        <v>ALLALI SLIMANE</v>
      </c>
      <c r="AD1350" s="38"/>
      <c r="AE1350" s="39"/>
      <c r="AF1350" s="40"/>
      <c r="AG1350" s="41"/>
      <c r="AH1350" s="32" t="s">
        <v>179</v>
      </c>
      <c r="AI1350" s="32"/>
      <c r="AL1350" s="32"/>
      <c r="AM1350" s="32"/>
      <c r="AN1350" s="32"/>
      <c r="AO1350" s="32"/>
      <c r="AP1350" s="32"/>
      <c r="AQ1350" s="32"/>
      <c r="AR1350" s="32"/>
      <c r="AS1350" s="32"/>
      <c r="AT1350" s="32"/>
      <c r="AU1350" s="32"/>
      <c r="XEY1350" s="27"/>
      <c r="XEZ1350" s="27"/>
      <c r="XFA1350" s="27"/>
      <c r="XFB1350" s="27"/>
      <c r="XFC1350" s="27"/>
      <c r="XFD1350" s="27"/>
    </row>
    <row r="1351" s="42" customFormat="true" ht="14.15" hidden="false" customHeight="true" outlineLevel="0" collapsed="false">
      <c r="A1351" s="28" t="s">
        <v>7909</v>
      </c>
      <c r="B1351" s="29" t="s">
        <v>7910</v>
      </c>
      <c r="C1351" s="29" t="s">
        <v>7911</v>
      </c>
      <c r="D1351" s="30" t="s">
        <v>112</v>
      </c>
      <c r="E1351" s="30" t="s">
        <v>1709</v>
      </c>
      <c r="F1351" s="32" t="n">
        <v>64</v>
      </c>
      <c r="G1351" s="31"/>
      <c r="H1351" s="31" t="n">
        <v>1</v>
      </c>
      <c r="I1351" s="31" t="s">
        <v>51</v>
      </c>
      <c r="J1351" s="29" t="s">
        <v>52</v>
      </c>
      <c r="K1351" s="29" t="s">
        <v>53</v>
      </c>
      <c r="L1351" s="32" t="n">
        <v>149</v>
      </c>
      <c r="M1351" s="33" t="s">
        <v>54</v>
      </c>
      <c r="N1351" s="34" t="n">
        <v>75015</v>
      </c>
      <c r="O1351" s="35" t="s">
        <v>55</v>
      </c>
      <c r="P1351" s="36" t="s">
        <v>1815</v>
      </c>
      <c r="Q1351" s="36" t="n">
        <v>236</v>
      </c>
      <c r="R1351" s="32" t="n">
        <v>134</v>
      </c>
      <c r="S1351" s="32" t="n">
        <v>1</v>
      </c>
      <c r="T1351" s="32"/>
      <c r="U1351" s="32"/>
      <c r="V1351" s="37"/>
      <c r="W1351" s="32"/>
      <c r="X1351" s="34"/>
      <c r="Y1351" s="34"/>
      <c r="Z1351" s="36"/>
      <c r="AA1351" s="32" t="s">
        <v>7912</v>
      </c>
      <c r="AB1351" s="32"/>
      <c r="AC1351" s="38" t="str">
        <f aca="false">HYPERLINK("https://biocodex6--c.vf.force.com/0014L00000KFiGBQA1", "ASSAF ZIAD")</f>
        <v>ASSAF ZIAD</v>
      </c>
      <c r="AD1351" s="38"/>
      <c r="AE1351" s="39"/>
      <c r="AF1351" s="40"/>
      <c r="AG1351" s="41"/>
      <c r="AH1351" s="32" t="s">
        <v>179</v>
      </c>
      <c r="AI1351" s="32"/>
      <c r="AJ1351" s="42" t="s">
        <v>1817</v>
      </c>
      <c r="AL1351" s="32"/>
      <c r="AM1351" s="32"/>
      <c r="AN1351" s="32"/>
      <c r="AO1351" s="32"/>
      <c r="AP1351" s="32"/>
      <c r="AQ1351" s="32"/>
      <c r="AR1351" s="32"/>
      <c r="AS1351" s="32"/>
      <c r="AT1351" s="32"/>
      <c r="AU1351" s="32"/>
      <c r="XEY1351" s="27"/>
      <c r="XEZ1351" s="27"/>
      <c r="XFA1351" s="27"/>
      <c r="XFB1351" s="27"/>
      <c r="XFC1351" s="27"/>
      <c r="XFD1351" s="27"/>
    </row>
    <row r="1352" s="42" customFormat="true" ht="14.15" hidden="false" customHeight="true" outlineLevel="0" collapsed="false">
      <c r="A1352" s="28" t="s">
        <v>7913</v>
      </c>
      <c r="B1352" s="29" t="s">
        <v>1403</v>
      </c>
      <c r="C1352" s="29" t="s">
        <v>7914</v>
      </c>
      <c r="D1352" s="30" t="s">
        <v>112</v>
      </c>
      <c r="E1352" s="30" t="s">
        <v>7666</v>
      </c>
      <c r="F1352" s="32" t="n">
        <v>65</v>
      </c>
      <c r="G1352" s="31"/>
      <c r="H1352" s="31" t="n">
        <v>1</v>
      </c>
      <c r="I1352" s="31" t="s">
        <v>51</v>
      </c>
      <c r="J1352" s="29" t="s">
        <v>52</v>
      </c>
      <c r="K1352" s="29" t="s">
        <v>53</v>
      </c>
      <c r="L1352" s="32" t="n">
        <v>149</v>
      </c>
      <c r="M1352" s="33" t="s">
        <v>54</v>
      </c>
      <c r="N1352" s="34" t="n">
        <v>75015</v>
      </c>
      <c r="O1352" s="35" t="s">
        <v>55</v>
      </c>
      <c r="P1352" s="36" t="s">
        <v>1821</v>
      </c>
      <c r="Q1352" s="36" t="n">
        <v>236</v>
      </c>
      <c r="R1352" s="32" t="n">
        <v>134</v>
      </c>
      <c r="S1352" s="32" t="n">
        <v>1</v>
      </c>
      <c r="T1352" s="32"/>
      <c r="U1352" s="32"/>
      <c r="V1352" s="37"/>
      <c r="W1352" s="32"/>
      <c r="X1352" s="34"/>
      <c r="Y1352" s="34"/>
      <c r="Z1352" s="36"/>
      <c r="AA1352" s="32" t="s">
        <v>7915</v>
      </c>
      <c r="AB1352" s="32"/>
      <c r="AC1352" s="38" t="str">
        <f aca="false">HYPERLINK("https://biocodex6--c.vf.force.com/0014L00000KFrZJQA1", "BADER MEUNIER BRIGITTE")</f>
        <v>BADER MEUNIER BRIGITTE</v>
      </c>
      <c r="AD1352" s="38"/>
      <c r="AE1352" s="39"/>
      <c r="AF1352" s="40"/>
      <c r="AG1352" s="41"/>
      <c r="AH1352" s="32" t="s">
        <v>179</v>
      </c>
      <c r="AI1352" s="32"/>
      <c r="AL1352" s="32"/>
      <c r="AM1352" s="32"/>
      <c r="AN1352" s="32"/>
      <c r="AO1352" s="32"/>
      <c r="AP1352" s="32"/>
      <c r="AQ1352" s="32"/>
      <c r="AR1352" s="32"/>
      <c r="AS1352" s="32"/>
      <c r="AT1352" s="32"/>
      <c r="AU1352" s="32"/>
      <c r="XEY1352" s="27"/>
      <c r="XEZ1352" s="27"/>
      <c r="XFA1352" s="27"/>
      <c r="XFB1352" s="27"/>
      <c r="XFC1352" s="27"/>
      <c r="XFD1352" s="27"/>
    </row>
    <row r="1353" s="42" customFormat="true" ht="14.15" hidden="false" customHeight="true" outlineLevel="0" collapsed="false">
      <c r="A1353" s="28" t="s">
        <v>7916</v>
      </c>
      <c r="B1353" s="29" t="s">
        <v>7917</v>
      </c>
      <c r="C1353" s="29" t="s">
        <v>7918</v>
      </c>
      <c r="D1353" s="30" t="s">
        <v>112</v>
      </c>
      <c r="E1353" s="31"/>
      <c r="F1353" s="32" t="n">
        <v>51</v>
      </c>
      <c r="G1353" s="31"/>
      <c r="H1353" s="31" t="n">
        <v>1</v>
      </c>
      <c r="I1353" s="31" t="s">
        <v>51</v>
      </c>
      <c r="J1353" s="29" t="s">
        <v>52</v>
      </c>
      <c r="K1353" s="29" t="s">
        <v>53</v>
      </c>
      <c r="L1353" s="32" t="n">
        <v>149</v>
      </c>
      <c r="M1353" s="33" t="s">
        <v>54</v>
      </c>
      <c r="N1353" s="34" t="n">
        <v>75015</v>
      </c>
      <c r="O1353" s="35" t="s">
        <v>55</v>
      </c>
      <c r="P1353" s="36" t="s">
        <v>1949</v>
      </c>
      <c r="Q1353" s="36" t="n">
        <v>236</v>
      </c>
      <c r="R1353" s="32" t="n">
        <v>134</v>
      </c>
      <c r="S1353" s="32" t="n">
        <v>1</v>
      </c>
      <c r="T1353" s="32"/>
      <c r="U1353" s="32"/>
      <c r="V1353" s="37"/>
      <c r="W1353" s="32"/>
      <c r="X1353" s="34"/>
      <c r="Y1353" s="34"/>
      <c r="Z1353" s="36"/>
      <c r="AA1353" s="32" t="s">
        <v>7919</v>
      </c>
      <c r="AB1353" s="32"/>
      <c r="AC1353" s="38" t="str">
        <f aca="false">HYPERLINK("https://biocodex6--c.vf.force.com/0014L00000KFTkLQAX", "BAJOLLE FANNY")</f>
        <v>BAJOLLE FANNY</v>
      </c>
      <c r="AD1353" s="38"/>
      <c r="AE1353" s="39"/>
      <c r="AF1353" s="40"/>
      <c r="AG1353" s="41"/>
      <c r="AH1353" s="32" t="s">
        <v>179</v>
      </c>
      <c r="AI1353" s="32"/>
      <c r="AL1353" s="32"/>
      <c r="AM1353" s="32"/>
      <c r="AN1353" s="32"/>
      <c r="AO1353" s="32"/>
      <c r="AP1353" s="32"/>
      <c r="AQ1353" s="32"/>
      <c r="AR1353" s="32"/>
      <c r="AS1353" s="32"/>
      <c r="AT1353" s="32"/>
      <c r="AU1353" s="32"/>
      <c r="XEY1353" s="27"/>
      <c r="XEZ1353" s="27"/>
      <c r="XFA1353" s="27"/>
      <c r="XFB1353" s="27"/>
      <c r="XFC1353" s="27"/>
      <c r="XFD1353" s="27"/>
    </row>
    <row r="1354" s="42" customFormat="true" ht="14.15" hidden="false" customHeight="true" outlineLevel="0" collapsed="false">
      <c r="A1354" s="28" t="s">
        <v>7920</v>
      </c>
      <c r="B1354" s="29" t="s">
        <v>2794</v>
      </c>
      <c r="C1354" s="29" t="s">
        <v>7921</v>
      </c>
      <c r="D1354" s="30" t="s">
        <v>112</v>
      </c>
      <c r="E1354" s="31"/>
      <c r="F1354" s="32" t="n">
        <v>37</v>
      </c>
      <c r="G1354" s="31"/>
      <c r="H1354" s="31" t="n">
        <v>1</v>
      </c>
      <c r="I1354" s="31" t="s">
        <v>51</v>
      </c>
      <c r="J1354" s="29" t="s">
        <v>52</v>
      </c>
      <c r="K1354" s="29" t="s">
        <v>53</v>
      </c>
      <c r="L1354" s="32" t="n">
        <v>149</v>
      </c>
      <c r="M1354" s="33" t="s">
        <v>54</v>
      </c>
      <c r="N1354" s="34" t="n">
        <v>75015</v>
      </c>
      <c r="O1354" s="35" t="s">
        <v>55</v>
      </c>
      <c r="P1354" s="36" t="s">
        <v>4640</v>
      </c>
      <c r="Q1354" s="36" t="n">
        <v>236</v>
      </c>
      <c r="R1354" s="32" t="n">
        <v>134</v>
      </c>
      <c r="S1354" s="32" t="n">
        <v>1</v>
      </c>
      <c r="T1354" s="32"/>
      <c r="U1354" s="32"/>
      <c r="V1354" s="37"/>
      <c r="W1354" s="32"/>
      <c r="X1354" s="34"/>
      <c r="Y1354" s="34"/>
      <c r="Z1354" s="36"/>
      <c r="AA1354" s="32" t="s">
        <v>7922</v>
      </c>
      <c r="AB1354" s="32"/>
      <c r="AC1354" s="38" t="str">
        <f aca="false">HYPERLINK("https://biocodex6--c.vf.force.com/0014L00000KFNrNQAX", "BELLANGER CLAIRE")</f>
        <v>BELLANGER CLAIRE</v>
      </c>
      <c r="AD1354" s="38"/>
      <c r="AE1354" s="39"/>
      <c r="AF1354" s="40"/>
      <c r="AG1354" s="41"/>
      <c r="AH1354" s="32" t="s">
        <v>179</v>
      </c>
      <c r="AI1354" s="32"/>
      <c r="AL1354" s="32"/>
      <c r="AM1354" s="32"/>
      <c r="AN1354" s="32"/>
      <c r="AO1354" s="32"/>
      <c r="AP1354" s="32"/>
      <c r="AQ1354" s="32"/>
      <c r="AR1354" s="32"/>
      <c r="AS1354" s="32"/>
      <c r="AT1354" s="32"/>
      <c r="AU1354" s="32"/>
      <c r="XEY1354" s="27"/>
      <c r="XEZ1354" s="27"/>
      <c r="XFA1354" s="27"/>
      <c r="XFB1354" s="27"/>
      <c r="XFC1354" s="27"/>
      <c r="XFD1354" s="27"/>
    </row>
    <row r="1355" s="42" customFormat="true" ht="14.15" hidden="false" customHeight="true" outlineLevel="0" collapsed="false">
      <c r="A1355" s="28" t="s">
        <v>7923</v>
      </c>
      <c r="B1355" s="29" t="s">
        <v>204</v>
      </c>
      <c r="C1355" s="29" t="s">
        <v>7924</v>
      </c>
      <c r="D1355" s="30" t="s">
        <v>112</v>
      </c>
      <c r="E1355" s="31"/>
      <c r="F1355" s="32" t="n">
        <v>55</v>
      </c>
      <c r="G1355" s="31" t="s">
        <v>215</v>
      </c>
      <c r="H1355" s="31" t="n">
        <v>3</v>
      </c>
      <c r="I1355" s="31" t="s">
        <v>51</v>
      </c>
      <c r="J1355" s="29" t="s">
        <v>52</v>
      </c>
      <c r="K1355" s="29" t="s">
        <v>53</v>
      </c>
      <c r="L1355" s="32" t="n">
        <v>149</v>
      </c>
      <c r="M1355" s="33" t="s">
        <v>54</v>
      </c>
      <c r="N1355" s="34" t="n">
        <v>75015</v>
      </c>
      <c r="O1355" s="35" t="s">
        <v>55</v>
      </c>
      <c r="P1355" s="36" t="s">
        <v>7925</v>
      </c>
      <c r="Q1355" s="36" t="n">
        <v>236</v>
      </c>
      <c r="R1355" s="32" t="n">
        <v>134</v>
      </c>
      <c r="S1355" s="32" t="n">
        <v>1</v>
      </c>
      <c r="T1355" s="32"/>
      <c r="U1355" s="32"/>
      <c r="V1355" s="37"/>
      <c r="W1355" s="32"/>
      <c r="X1355" s="34"/>
      <c r="Y1355" s="34"/>
      <c r="Z1355" s="36"/>
      <c r="AA1355" s="32" t="s">
        <v>7926</v>
      </c>
      <c r="AB1355" s="32" t="s">
        <v>7927</v>
      </c>
      <c r="AC1355" s="38" t="str">
        <f aca="false">HYPERLINK("https://biocodex6--c.vf.force.com/0014L00000KFUgQQAX", "BOCQUET NATHALIE")</f>
        <v>BOCQUET NATHALIE</v>
      </c>
      <c r="AD1355" s="38" t="str">
        <f aca="false">HYPERLINK("https://annuairesante.ameli.fr/professionnels-de-sante/recherche/fiche-detaillee-B7c1lDE3Njq7.html", "BOCQUET NATHALIE")</f>
        <v>BOCQUET NATHALIE</v>
      </c>
      <c r="AE1355" s="39"/>
      <c r="AF1355" s="40"/>
      <c r="AG1355" s="41"/>
      <c r="AH1355" s="32" t="s">
        <v>179</v>
      </c>
      <c r="AI1355" s="32"/>
      <c r="AL1355" s="43" t="s">
        <v>85</v>
      </c>
      <c r="AM1355" s="43" t="s">
        <v>262</v>
      </c>
      <c r="AN1355" s="32"/>
      <c r="AO1355" s="32"/>
      <c r="AP1355" s="43" t="s">
        <v>657</v>
      </c>
      <c r="AQ1355" s="43" t="s">
        <v>476</v>
      </c>
      <c r="AR1355" s="32"/>
      <c r="AS1355" s="32"/>
      <c r="AT1355" s="43" t="s">
        <v>657</v>
      </c>
      <c r="AU1355" s="43" t="s">
        <v>476</v>
      </c>
      <c r="XEY1355" s="27"/>
      <c r="XEZ1355" s="27"/>
      <c r="XFA1355" s="27"/>
      <c r="XFB1355" s="27"/>
      <c r="XFC1355" s="27"/>
      <c r="XFD1355" s="27"/>
    </row>
    <row r="1356" s="42" customFormat="true" ht="14.15" hidden="false" customHeight="true" outlineLevel="0" collapsed="false">
      <c r="A1356" s="28" t="s">
        <v>7928</v>
      </c>
      <c r="B1356" s="29" t="s">
        <v>7929</v>
      </c>
      <c r="C1356" s="29" t="s">
        <v>7930</v>
      </c>
      <c r="D1356" s="30" t="s">
        <v>112</v>
      </c>
      <c r="E1356" s="30" t="s">
        <v>401</v>
      </c>
      <c r="F1356" s="32" t="n">
        <v>59</v>
      </c>
      <c r="G1356" s="31"/>
      <c r="H1356" s="31" t="n">
        <v>1</v>
      </c>
      <c r="I1356" s="31" t="s">
        <v>51</v>
      </c>
      <c r="J1356" s="29" t="s">
        <v>52</v>
      </c>
      <c r="K1356" s="29" t="s">
        <v>53</v>
      </c>
      <c r="L1356" s="32" t="n">
        <v>149</v>
      </c>
      <c r="M1356" s="33" t="s">
        <v>54</v>
      </c>
      <c r="N1356" s="34" t="n">
        <v>75015</v>
      </c>
      <c r="O1356" s="35" t="s">
        <v>55</v>
      </c>
      <c r="P1356" s="36" t="s">
        <v>1949</v>
      </c>
      <c r="Q1356" s="36" t="n">
        <v>236</v>
      </c>
      <c r="R1356" s="32" t="n">
        <v>134</v>
      </c>
      <c r="S1356" s="32" t="n">
        <v>1</v>
      </c>
      <c r="T1356" s="32"/>
      <c r="U1356" s="32"/>
      <c r="V1356" s="37"/>
      <c r="W1356" s="32"/>
      <c r="X1356" s="34"/>
      <c r="Y1356" s="34"/>
      <c r="Z1356" s="36"/>
      <c r="AA1356" s="32" t="s">
        <v>7931</v>
      </c>
      <c r="AB1356" s="32"/>
      <c r="AC1356" s="38" t="str">
        <f aca="false">HYPERLINK("https://biocodex6--c.vf.force.com/0014L00000KFUG5QAP", "BONNET DAMIEN")</f>
        <v>BONNET DAMIEN</v>
      </c>
      <c r="AD1356" s="38"/>
      <c r="AE1356" s="39"/>
      <c r="AF1356" s="40"/>
      <c r="AG1356" s="41"/>
      <c r="AH1356" s="32" t="s">
        <v>179</v>
      </c>
      <c r="AI1356" s="32"/>
      <c r="AL1356" s="32"/>
      <c r="AM1356" s="32"/>
      <c r="AN1356" s="32"/>
      <c r="AO1356" s="32"/>
      <c r="AP1356" s="32"/>
      <c r="AQ1356" s="32"/>
      <c r="AR1356" s="32"/>
      <c r="AS1356" s="32"/>
      <c r="AT1356" s="32"/>
      <c r="AU1356" s="32"/>
      <c r="XEY1356" s="27"/>
      <c r="XEZ1356" s="27"/>
      <c r="XFA1356" s="27"/>
      <c r="XFB1356" s="27"/>
      <c r="XFC1356" s="27"/>
      <c r="XFD1356" s="27"/>
    </row>
    <row r="1357" s="42" customFormat="true" ht="14.15" hidden="false" customHeight="true" outlineLevel="0" collapsed="false">
      <c r="A1357" s="28" t="s">
        <v>7932</v>
      </c>
      <c r="B1357" s="29" t="s">
        <v>7933</v>
      </c>
      <c r="C1357" s="29" t="s">
        <v>7934</v>
      </c>
      <c r="D1357" s="30" t="s">
        <v>112</v>
      </c>
      <c r="E1357" s="31"/>
      <c r="F1357" s="32" t="n">
        <v>38</v>
      </c>
      <c r="G1357" s="31"/>
      <c r="H1357" s="31" t="n">
        <v>1</v>
      </c>
      <c r="I1357" s="31" t="s">
        <v>51</v>
      </c>
      <c r="J1357" s="29" t="s">
        <v>52</v>
      </c>
      <c r="K1357" s="29" t="s">
        <v>53</v>
      </c>
      <c r="L1357" s="32" t="n">
        <v>149</v>
      </c>
      <c r="M1357" s="33" t="s">
        <v>54</v>
      </c>
      <c r="N1357" s="34" t="n">
        <v>75015</v>
      </c>
      <c r="O1357" s="35" t="s">
        <v>55</v>
      </c>
      <c r="P1357" s="36" t="s">
        <v>2769</v>
      </c>
      <c r="Q1357" s="36" t="n">
        <v>236</v>
      </c>
      <c r="R1357" s="32" t="n">
        <v>134</v>
      </c>
      <c r="S1357" s="32" t="n">
        <v>1</v>
      </c>
      <c r="T1357" s="32"/>
      <c r="U1357" s="32"/>
      <c r="V1357" s="37"/>
      <c r="W1357" s="32"/>
      <c r="X1357" s="34"/>
      <c r="Y1357" s="34"/>
      <c r="Z1357" s="36"/>
      <c r="AA1357" s="32" t="s">
        <v>7935</v>
      </c>
      <c r="AB1357" s="32"/>
      <c r="AC1357" s="38" t="str">
        <f aca="false">HYPERLINK("https://biocodex6--c.vf.force.com/0014L00000KFNoRQAX", "BRICE JOSEPHINE")</f>
        <v>BRICE JOSEPHINE</v>
      </c>
      <c r="AD1357" s="38"/>
      <c r="AE1357" s="39"/>
      <c r="AF1357" s="40"/>
      <c r="AG1357" s="41"/>
      <c r="AH1357" s="32" t="s">
        <v>179</v>
      </c>
      <c r="AI1357" s="32"/>
      <c r="AL1357" s="32"/>
      <c r="AM1357" s="32"/>
      <c r="AN1357" s="32"/>
      <c r="AO1357" s="32"/>
      <c r="AP1357" s="32"/>
      <c r="AQ1357" s="32"/>
      <c r="AR1357" s="32"/>
      <c r="AS1357" s="32"/>
      <c r="AT1357" s="32"/>
      <c r="AU1357" s="32"/>
      <c r="XEY1357" s="27"/>
      <c r="XEZ1357" s="27"/>
      <c r="XFA1357" s="27"/>
      <c r="XFB1357" s="27"/>
      <c r="XFC1357" s="27"/>
      <c r="XFD1357" s="27"/>
    </row>
    <row r="1358" s="42" customFormat="true" ht="14.15" hidden="false" customHeight="true" outlineLevel="0" collapsed="false">
      <c r="A1358" s="28" t="s">
        <v>7936</v>
      </c>
      <c r="B1358" s="29" t="s">
        <v>1942</v>
      </c>
      <c r="C1358" s="29" t="s">
        <v>7937</v>
      </c>
      <c r="D1358" s="30" t="s">
        <v>112</v>
      </c>
      <c r="E1358" s="31"/>
      <c r="F1358" s="32" t="n">
        <v>42</v>
      </c>
      <c r="G1358" s="31"/>
      <c r="H1358" s="31" t="n">
        <v>1</v>
      </c>
      <c r="I1358" s="31" t="s">
        <v>51</v>
      </c>
      <c r="J1358" s="29" t="s">
        <v>52</v>
      </c>
      <c r="K1358" s="29" t="s">
        <v>53</v>
      </c>
      <c r="L1358" s="32" t="n">
        <v>149</v>
      </c>
      <c r="M1358" s="33" t="s">
        <v>54</v>
      </c>
      <c r="N1358" s="34" t="n">
        <v>75015</v>
      </c>
      <c r="O1358" s="35" t="s">
        <v>55</v>
      </c>
      <c r="P1358" s="36" t="s">
        <v>1821</v>
      </c>
      <c r="Q1358" s="36" t="n">
        <v>236</v>
      </c>
      <c r="R1358" s="32" t="n">
        <v>134</v>
      </c>
      <c r="S1358" s="32" t="n">
        <v>1</v>
      </c>
      <c r="T1358" s="32"/>
      <c r="U1358" s="32"/>
      <c r="V1358" s="37"/>
      <c r="W1358" s="32"/>
      <c r="X1358" s="34"/>
      <c r="Y1358" s="34"/>
      <c r="Z1358" s="36"/>
      <c r="AA1358" s="32" t="s">
        <v>7938</v>
      </c>
      <c r="AB1358" s="32"/>
      <c r="AC1358" s="38" t="str">
        <f aca="false">HYPERLINK("https://biocodex6--c.vf.force.com/0014L00000KFj9CQAT", "CASTELLE MARTIN")</f>
        <v>CASTELLE MARTIN</v>
      </c>
      <c r="AD1358" s="38"/>
      <c r="AE1358" s="39"/>
      <c r="AF1358" s="40"/>
      <c r="AG1358" s="41"/>
      <c r="AH1358" s="32" t="s">
        <v>179</v>
      </c>
      <c r="AI1358" s="32"/>
      <c r="AL1358" s="32"/>
      <c r="AM1358" s="32"/>
      <c r="AN1358" s="32"/>
      <c r="AO1358" s="32"/>
      <c r="AP1358" s="32"/>
      <c r="AQ1358" s="32"/>
      <c r="AR1358" s="32"/>
      <c r="AS1358" s="32"/>
      <c r="AT1358" s="32"/>
      <c r="AU1358" s="32"/>
      <c r="XEY1358" s="27"/>
      <c r="XEZ1358" s="27"/>
      <c r="XFA1358" s="27"/>
      <c r="XFB1358" s="27"/>
      <c r="XFC1358" s="27"/>
      <c r="XFD1358" s="27"/>
    </row>
    <row r="1359" s="42" customFormat="true" ht="14.15" hidden="false" customHeight="true" outlineLevel="0" collapsed="false">
      <c r="A1359" s="28" t="s">
        <v>7939</v>
      </c>
      <c r="B1359" s="29" t="s">
        <v>1942</v>
      </c>
      <c r="C1359" s="29" t="s">
        <v>7940</v>
      </c>
      <c r="D1359" s="30" t="s">
        <v>112</v>
      </c>
      <c r="E1359" s="31"/>
      <c r="F1359" s="32" t="n">
        <v>56</v>
      </c>
      <c r="G1359" s="31"/>
      <c r="H1359" s="31" t="n">
        <v>1</v>
      </c>
      <c r="I1359" s="31" t="s">
        <v>51</v>
      </c>
      <c r="J1359" s="29" t="s">
        <v>52</v>
      </c>
      <c r="K1359" s="29" t="s">
        <v>53</v>
      </c>
      <c r="L1359" s="32" t="n">
        <v>149</v>
      </c>
      <c r="M1359" s="33" t="s">
        <v>54</v>
      </c>
      <c r="N1359" s="34" t="n">
        <v>75015</v>
      </c>
      <c r="O1359" s="35" t="s">
        <v>55</v>
      </c>
      <c r="P1359" s="36" t="s">
        <v>2769</v>
      </c>
      <c r="Q1359" s="36" t="n">
        <v>236</v>
      </c>
      <c r="R1359" s="32" t="n">
        <v>134</v>
      </c>
      <c r="S1359" s="32" t="n">
        <v>1</v>
      </c>
      <c r="T1359" s="32"/>
      <c r="U1359" s="32"/>
      <c r="V1359" s="37"/>
      <c r="W1359" s="32"/>
      <c r="X1359" s="34"/>
      <c r="Y1359" s="34"/>
      <c r="Z1359" s="36"/>
      <c r="AA1359" s="32" t="s">
        <v>7941</v>
      </c>
      <c r="AB1359" s="32"/>
      <c r="AC1359" s="38" t="str">
        <f aca="false">HYPERLINK("https://biocodex6--c.vf.force.com/0014L00000KFf9hQAD", "CHALUMEAU MARTIN")</f>
        <v>CHALUMEAU MARTIN</v>
      </c>
      <c r="AD1359" s="38"/>
      <c r="AE1359" s="39"/>
      <c r="AF1359" s="40"/>
      <c r="AG1359" s="41"/>
      <c r="AH1359" s="32" t="s">
        <v>179</v>
      </c>
      <c r="AI1359" s="32"/>
      <c r="AL1359" s="32"/>
      <c r="AM1359" s="32"/>
      <c r="AN1359" s="32"/>
      <c r="AO1359" s="32"/>
      <c r="AP1359" s="32"/>
      <c r="AQ1359" s="32"/>
      <c r="AR1359" s="32"/>
      <c r="AS1359" s="32"/>
      <c r="AT1359" s="32"/>
      <c r="AU1359" s="32"/>
      <c r="XEY1359" s="27"/>
      <c r="XEZ1359" s="27"/>
      <c r="XFA1359" s="27"/>
      <c r="XFB1359" s="27"/>
      <c r="XFC1359" s="27"/>
      <c r="XFD1359" s="27"/>
    </row>
    <row r="1360" s="42" customFormat="true" ht="14.15" hidden="false" customHeight="true" outlineLevel="0" collapsed="false">
      <c r="A1360" s="28" t="s">
        <v>7942</v>
      </c>
      <c r="B1360" s="29" t="s">
        <v>1534</v>
      </c>
      <c r="C1360" s="29" t="s">
        <v>7943</v>
      </c>
      <c r="D1360" s="30" t="s">
        <v>112</v>
      </c>
      <c r="E1360" s="31"/>
      <c r="F1360" s="32" t="n">
        <v>70</v>
      </c>
      <c r="G1360" s="31"/>
      <c r="H1360" s="31" t="n">
        <v>1</v>
      </c>
      <c r="I1360" s="31" t="s">
        <v>51</v>
      </c>
      <c r="J1360" s="29" t="s">
        <v>52</v>
      </c>
      <c r="K1360" s="29" t="s">
        <v>53</v>
      </c>
      <c r="L1360" s="32" t="n">
        <v>149</v>
      </c>
      <c r="M1360" s="33" t="s">
        <v>54</v>
      </c>
      <c r="N1360" s="34" t="n">
        <v>75015</v>
      </c>
      <c r="O1360" s="35" t="s">
        <v>55</v>
      </c>
      <c r="P1360" s="36" t="s">
        <v>2723</v>
      </c>
      <c r="Q1360" s="36" t="n">
        <v>236</v>
      </c>
      <c r="R1360" s="32" t="n">
        <v>134</v>
      </c>
      <c r="S1360" s="32" t="n">
        <v>1</v>
      </c>
      <c r="T1360" s="32"/>
      <c r="U1360" s="32"/>
      <c r="V1360" s="37"/>
      <c r="W1360" s="32"/>
      <c r="X1360" s="34"/>
      <c r="Y1360" s="34"/>
      <c r="Z1360" s="36"/>
      <c r="AA1360" s="32" t="s">
        <v>7944</v>
      </c>
      <c r="AB1360" s="32"/>
      <c r="AC1360" s="38" t="str">
        <f aca="false">HYPERLINK("https://biocodex6--c.vf.force.com/0014L00000KFWPuQAP", "CHERON GERARD")</f>
        <v>CHERON GERARD</v>
      </c>
      <c r="AD1360" s="38"/>
      <c r="AE1360" s="39"/>
      <c r="AF1360" s="40"/>
      <c r="AG1360" s="41"/>
      <c r="AH1360" s="32" t="s">
        <v>179</v>
      </c>
      <c r="AI1360" s="32"/>
      <c r="AL1360" s="32"/>
      <c r="AM1360" s="32"/>
      <c r="AN1360" s="32"/>
      <c r="AO1360" s="32"/>
      <c r="AP1360" s="32"/>
      <c r="AQ1360" s="32"/>
      <c r="AR1360" s="32"/>
      <c r="AS1360" s="32"/>
      <c r="AT1360" s="32"/>
      <c r="AU1360" s="32"/>
      <c r="XEY1360" s="27"/>
      <c r="XEZ1360" s="27"/>
      <c r="XFA1360" s="27"/>
      <c r="XFB1360" s="27"/>
      <c r="XFC1360" s="27"/>
      <c r="XFD1360" s="27"/>
    </row>
    <row r="1361" s="42" customFormat="true" ht="14.15" hidden="false" customHeight="true" outlineLevel="0" collapsed="false">
      <c r="A1361" s="28" t="s">
        <v>7945</v>
      </c>
      <c r="B1361" s="29" t="s">
        <v>1777</v>
      </c>
      <c r="C1361" s="29" t="s">
        <v>7946</v>
      </c>
      <c r="D1361" s="30" t="s">
        <v>112</v>
      </c>
      <c r="E1361" s="30" t="s">
        <v>75</v>
      </c>
      <c r="F1361" s="32" t="n">
        <v>63</v>
      </c>
      <c r="G1361" s="31"/>
      <c r="H1361" s="31" t="n">
        <v>1</v>
      </c>
      <c r="I1361" s="31" t="s">
        <v>51</v>
      </c>
      <c r="J1361" s="29" t="s">
        <v>52</v>
      </c>
      <c r="K1361" s="29" t="s">
        <v>53</v>
      </c>
      <c r="L1361" s="32" t="n">
        <v>149</v>
      </c>
      <c r="M1361" s="33" t="s">
        <v>54</v>
      </c>
      <c r="N1361" s="34" t="n">
        <v>75015</v>
      </c>
      <c r="O1361" s="35" t="s">
        <v>55</v>
      </c>
      <c r="P1361" s="36" t="s">
        <v>7947</v>
      </c>
      <c r="Q1361" s="36" t="n">
        <v>236</v>
      </c>
      <c r="R1361" s="32" t="n">
        <v>134</v>
      </c>
      <c r="S1361" s="32" t="n">
        <v>1</v>
      </c>
      <c r="T1361" s="32"/>
      <c r="U1361" s="32"/>
      <c r="V1361" s="37"/>
      <c r="W1361" s="32"/>
      <c r="X1361" s="34"/>
      <c r="Y1361" s="34"/>
      <c r="Z1361" s="36"/>
      <c r="AA1361" s="32" t="s">
        <v>7948</v>
      </c>
      <c r="AB1361" s="32"/>
      <c r="AC1361" s="38" t="str">
        <f aca="false">HYPERLINK("https://biocodex6--c.vf.force.com/0014L00000KFkKXQA1", "CORMIER DAIRE VALERIE")</f>
        <v>CORMIER DAIRE VALERIE</v>
      </c>
      <c r="AD1361" s="38"/>
      <c r="AE1361" s="39"/>
      <c r="AF1361" s="40"/>
      <c r="AG1361" s="41"/>
      <c r="AH1361" s="32" t="s">
        <v>179</v>
      </c>
      <c r="AI1361" s="32"/>
      <c r="AL1361" s="32"/>
      <c r="AM1361" s="32"/>
      <c r="AN1361" s="32"/>
      <c r="AO1361" s="32"/>
      <c r="AP1361" s="32"/>
      <c r="AQ1361" s="32"/>
      <c r="AR1361" s="32"/>
      <c r="AS1361" s="32"/>
      <c r="AT1361" s="32"/>
      <c r="AU1361" s="32"/>
      <c r="XEY1361" s="27"/>
      <c r="XEZ1361" s="27"/>
      <c r="XFA1361" s="27"/>
      <c r="XFB1361" s="27"/>
      <c r="XFC1361" s="27"/>
      <c r="XFD1361" s="27"/>
    </row>
    <row r="1362" s="42" customFormat="true" ht="14.15" hidden="false" customHeight="true" outlineLevel="0" collapsed="false">
      <c r="A1362" s="28" t="s">
        <v>7949</v>
      </c>
      <c r="B1362" s="29" t="s">
        <v>1455</v>
      </c>
      <c r="C1362" s="29" t="s">
        <v>7950</v>
      </c>
      <c r="D1362" s="30" t="s">
        <v>112</v>
      </c>
      <c r="E1362" s="30" t="s">
        <v>916</v>
      </c>
      <c r="F1362" s="32" t="n">
        <v>55</v>
      </c>
      <c r="G1362" s="31"/>
      <c r="H1362" s="31" t="n">
        <v>1</v>
      </c>
      <c r="I1362" s="31" t="s">
        <v>51</v>
      </c>
      <c r="J1362" s="29" t="s">
        <v>52</v>
      </c>
      <c r="K1362" s="29" t="s">
        <v>53</v>
      </c>
      <c r="L1362" s="32" t="n">
        <v>149</v>
      </c>
      <c r="M1362" s="33" t="s">
        <v>54</v>
      </c>
      <c r="N1362" s="34" t="n">
        <v>75015</v>
      </c>
      <c r="O1362" s="35" t="s">
        <v>55</v>
      </c>
      <c r="P1362" s="36" t="s">
        <v>7951</v>
      </c>
      <c r="Q1362" s="36" t="n">
        <v>236</v>
      </c>
      <c r="R1362" s="32" t="n">
        <v>134</v>
      </c>
      <c r="S1362" s="32" t="n">
        <v>1</v>
      </c>
      <c r="T1362" s="32"/>
      <c r="U1362" s="32"/>
      <c r="V1362" s="37"/>
      <c r="W1362" s="32"/>
      <c r="X1362" s="34"/>
      <c r="Y1362" s="34"/>
      <c r="Z1362" s="36"/>
      <c r="AA1362" s="32" t="s">
        <v>7952</v>
      </c>
      <c r="AB1362" s="32"/>
      <c r="AC1362" s="38" t="str">
        <f aca="false">HYPERLINK("https://biocodex6--c.vf.force.com/0014L00000KFYMbQAP", "DABBAS TYAN MYRIAM")</f>
        <v>DABBAS TYAN MYRIAM</v>
      </c>
      <c r="AD1362" s="38"/>
      <c r="AE1362" s="39"/>
      <c r="AF1362" s="40"/>
      <c r="AG1362" s="41"/>
      <c r="AH1362" s="32" t="s">
        <v>179</v>
      </c>
      <c r="AI1362" s="32"/>
      <c r="AL1362" s="32"/>
      <c r="AM1362" s="32"/>
      <c r="AN1362" s="32"/>
      <c r="AO1362" s="32"/>
      <c r="AP1362" s="32"/>
      <c r="AQ1362" s="32"/>
      <c r="AR1362" s="32"/>
      <c r="AS1362" s="32"/>
      <c r="AT1362" s="32"/>
      <c r="AU1362" s="32"/>
      <c r="XEY1362" s="27"/>
      <c r="XEZ1362" s="27"/>
      <c r="XFA1362" s="27"/>
      <c r="XFB1362" s="27"/>
      <c r="XFC1362" s="27"/>
      <c r="XFD1362" s="27"/>
    </row>
    <row r="1363" s="42" customFormat="true" ht="14.15" hidden="false" customHeight="true" outlineLevel="0" collapsed="false">
      <c r="A1363" s="28" t="s">
        <v>7953</v>
      </c>
      <c r="B1363" s="29" t="s">
        <v>3439</v>
      </c>
      <c r="C1363" s="29" t="s">
        <v>7954</v>
      </c>
      <c r="D1363" s="30" t="s">
        <v>112</v>
      </c>
      <c r="E1363" s="31"/>
      <c r="F1363" s="32" t="n">
        <v>59</v>
      </c>
      <c r="G1363" s="31"/>
      <c r="H1363" s="31" t="n">
        <v>1</v>
      </c>
      <c r="I1363" s="31" t="s">
        <v>51</v>
      </c>
      <c r="J1363" s="29" t="s">
        <v>52</v>
      </c>
      <c r="K1363" s="29" t="s">
        <v>53</v>
      </c>
      <c r="L1363" s="32" t="n">
        <v>149</v>
      </c>
      <c r="M1363" s="33" t="s">
        <v>54</v>
      </c>
      <c r="N1363" s="34" t="n">
        <v>75015</v>
      </c>
      <c r="O1363" s="35" t="s">
        <v>55</v>
      </c>
      <c r="P1363" s="36" t="s">
        <v>114</v>
      </c>
      <c r="Q1363" s="36" t="n">
        <v>236</v>
      </c>
      <c r="R1363" s="32" t="n">
        <v>134</v>
      </c>
      <c r="S1363" s="32" t="n">
        <v>1</v>
      </c>
      <c r="T1363" s="32"/>
      <c r="U1363" s="32"/>
      <c r="V1363" s="37"/>
      <c r="W1363" s="32"/>
      <c r="X1363" s="34"/>
      <c r="Y1363" s="34"/>
      <c r="Z1363" s="36"/>
      <c r="AA1363" s="32" t="s">
        <v>7955</v>
      </c>
      <c r="AB1363" s="32"/>
      <c r="AC1363" s="38" t="str">
        <f aca="false">HYPERLINK("https://biocodex6--c.vf.force.com/0014L00000KFZAJQA5", "DEBENEY DE LONLAY PASCALE")</f>
        <v>DEBENEY DE LONLAY PASCALE</v>
      </c>
      <c r="AD1363" s="38"/>
      <c r="AE1363" s="39"/>
      <c r="AF1363" s="40"/>
      <c r="AG1363" s="41"/>
      <c r="AH1363" s="32" t="s">
        <v>179</v>
      </c>
      <c r="AI1363" s="32"/>
      <c r="AL1363" s="32"/>
      <c r="AM1363" s="32"/>
      <c r="AN1363" s="32"/>
      <c r="AO1363" s="32"/>
      <c r="AP1363" s="32"/>
      <c r="AQ1363" s="32"/>
      <c r="AR1363" s="32"/>
      <c r="AS1363" s="32"/>
      <c r="AT1363" s="32"/>
      <c r="AU1363" s="32"/>
      <c r="XEY1363" s="27"/>
      <c r="XEZ1363" s="27"/>
      <c r="XFA1363" s="27"/>
      <c r="XFB1363" s="27"/>
      <c r="XFC1363" s="27"/>
      <c r="XFD1363" s="27"/>
    </row>
    <row r="1364" s="42" customFormat="true" ht="14.15" hidden="false" customHeight="true" outlineLevel="0" collapsed="false">
      <c r="A1364" s="28" t="s">
        <v>7956</v>
      </c>
      <c r="B1364" s="29" t="s">
        <v>7957</v>
      </c>
      <c r="C1364" s="29" t="s">
        <v>7958</v>
      </c>
      <c r="D1364" s="30" t="s">
        <v>112</v>
      </c>
      <c r="E1364" s="30" t="s">
        <v>972</v>
      </c>
      <c r="F1364" s="32" t="n">
        <v>61</v>
      </c>
      <c r="G1364" s="31"/>
      <c r="H1364" s="31" t="n">
        <v>1</v>
      </c>
      <c r="I1364" s="31" t="s">
        <v>51</v>
      </c>
      <c r="J1364" s="29" t="s">
        <v>52</v>
      </c>
      <c r="K1364" s="29" t="s">
        <v>53</v>
      </c>
      <c r="L1364" s="32" t="n">
        <v>149</v>
      </c>
      <c r="M1364" s="33" t="s">
        <v>54</v>
      </c>
      <c r="N1364" s="34" t="n">
        <v>75015</v>
      </c>
      <c r="O1364" s="35" t="s">
        <v>55</v>
      </c>
      <c r="P1364" s="36" t="s">
        <v>2030</v>
      </c>
      <c r="Q1364" s="36" t="n">
        <v>236</v>
      </c>
      <c r="R1364" s="32" t="n">
        <v>134</v>
      </c>
      <c r="S1364" s="32" t="n">
        <v>1</v>
      </c>
      <c r="T1364" s="32"/>
      <c r="U1364" s="32"/>
      <c r="V1364" s="37"/>
      <c r="W1364" s="32"/>
      <c r="X1364" s="34"/>
      <c r="Y1364" s="34"/>
      <c r="Z1364" s="36"/>
      <c r="AA1364" s="32" t="s">
        <v>7959</v>
      </c>
      <c r="AB1364" s="32"/>
      <c r="AC1364" s="38" t="str">
        <f aca="false">HYPERLINK("https://biocodex6--c.vf.force.com/0014L00000KFSOeQAP", "EISERMANN MONIKA")</f>
        <v>EISERMANN MONIKA</v>
      </c>
      <c r="AD1364" s="38"/>
      <c r="AE1364" s="39"/>
      <c r="AF1364" s="40"/>
      <c r="AG1364" s="41"/>
      <c r="AH1364" s="32" t="s">
        <v>179</v>
      </c>
      <c r="AI1364" s="32"/>
      <c r="AL1364" s="32"/>
      <c r="AM1364" s="32"/>
      <c r="AN1364" s="32"/>
      <c r="AO1364" s="32"/>
      <c r="AP1364" s="32"/>
      <c r="AQ1364" s="32"/>
      <c r="AR1364" s="32"/>
      <c r="AS1364" s="32"/>
      <c r="AT1364" s="32"/>
      <c r="AU1364" s="32"/>
      <c r="XEY1364" s="27"/>
      <c r="XEZ1364" s="27"/>
      <c r="XFA1364" s="27"/>
      <c r="XFB1364" s="27"/>
      <c r="XFC1364" s="27"/>
      <c r="XFD1364" s="27"/>
    </row>
    <row r="1365" s="42" customFormat="true" ht="14.15" hidden="false" customHeight="true" outlineLevel="0" collapsed="false">
      <c r="A1365" s="28" t="s">
        <v>7960</v>
      </c>
      <c r="B1365" s="29" t="s">
        <v>6752</v>
      </c>
      <c r="C1365" s="29" t="s">
        <v>7961</v>
      </c>
      <c r="D1365" s="30" t="s">
        <v>112</v>
      </c>
      <c r="E1365" s="31"/>
      <c r="F1365" s="32" t="n">
        <v>61</v>
      </c>
      <c r="G1365" s="31"/>
      <c r="H1365" s="31" t="n">
        <v>1</v>
      </c>
      <c r="I1365" s="31" t="s">
        <v>51</v>
      </c>
      <c r="J1365" s="29" t="s">
        <v>52</v>
      </c>
      <c r="K1365" s="29" t="s">
        <v>53</v>
      </c>
      <c r="L1365" s="32" t="n">
        <v>149</v>
      </c>
      <c r="M1365" s="33" t="s">
        <v>54</v>
      </c>
      <c r="N1365" s="34" t="n">
        <v>75015</v>
      </c>
      <c r="O1365" s="35" t="s">
        <v>55</v>
      </c>
      <c r="P1365" s="36" t="s">
        <v>885</v>
      </c>
      <c r="Q1365" s="36" t="n">
        <v>236</v>
      </c>
      <c r="R1365" s="32" t="n">
        <v>134</v>
      </c>
      <c r="S1365" s="32" t="n">
        <v>1</v>
      </c>
      <c r="T1365" s="32"/>
      <c r="U1365" s="32"/>
      <c r="V1365" s="37"/>
      <c r="W1365" s="32"/>
      <c r="X1365" s="34"/>
      <c r="Y1365" s="34"/>
      <c r="Z1365" s="36"/>
      <c r="AA1365" s="32" t="s">
        <v>7962</v>
      </c>
      <c r="AB1365" s="32"/>
      <c r="AC1365" s="38" t="str">
        <f aca="false">HYPERLINK("https://biocodex6--c.vf.force.com/0014L00000KFdBjQAL", "FARKAS DIANE")</f>
        <v>FARKAS DIANE</v>
      </c>
      <c r="AD1365" s="38"/>
      <c r="AE1365" s="39"/>
      <c r="AF1365" s="40"/>
      <c r="AG1365" s="41"/>
      <c r="AH1365" s="32" t="s">
        <v>179</v>
      </c>
      <c r="AI1365" s="32"/>
      <c r="AL1365" s="32"/>
      <c r="AM1365" s="32"/>
      <c r="AN1365" s="32"/>
      <c r="AO1365" s="32"/>
      <c r="AP1365" s="32"/>
      <c r="AQ1365" s="32"/>
      <c r="AR1365" s="32"/>
      <c r="AS1365" s="32"/>
      <c r="AT1365" s="32"/>
      <c r="AU1365" s="32"/>
      <c r="XEY1365" s="27"/>
      <c r="XEZ1365" s="27"/>
      <c r="XFA1365" s="27"/>
      <c r="XFB1365" s="27"/>
      <c r="XFC1365" s="27"/>
      <c r="XFD1365" s="27"/>
    </row>
    <row r="1366" s="42" customFormat="true" ht="14.15" hidden="false" customHeight="true" outlineLevel="0" collapsed="false">
      <c r="A1366" s="28" t="s">
        <v>7963</v>
      </c>
      <c r="B1366" s="29" t="s">
        <v>709</v>
      </c>
      <c r="C1366" s="29" t="s">
        <v>7964</v>
      </c>
      <c r="D1366" s="30" t="s">
        <v>112</v>
      </c>
      <c r="E1366" s="30" t="s">
        <v>1709</v>
      </c>
      <c r="F1366" s="32" t="n">
        <v>41</v>
      </c>
      <c r="G1366" s="31"/>
      <c r="H1366" s="31" t="n">
        <v>2</v>
      </c>
      <c r="I1366" s="31" t="s">
        <v>51</v>
      </c>
      <c r="J1366" s="29" t="s">
        <v>52</v>
      </c>
      <c r="K1366" s="29" t="s">
        <v>53</v>
      </c>
      <c r="L1366" s="32" t="n">
        <v>149</v>
      </c>
      <c r="M1366" s="33" t="s">
        <v>54</v>
      </c>
      <c r="N1366" s="34" t="n">
        <v>75015</v>
      </c>
      <c r="O1366" s="35" t="s">
        <v>55</v>
      </c>
      <c r="P1366" s="36" t="s">
        <v>4610</v>
      </c>
      <c r="Q1366" s="36" t="n">
        <v>236</v>
      </c>
      <c r="R1366" s="32" t="n">
        <v>134</v>
      </c>
      <c r="S1366" s="32" t="n">
        <v>1</v>
      </c>
      <c r="T1366" s="32"/>
      <c r="U1366" s="32"/>
      <c r="V1366" s="37"/>
      <c r="W1366" s="32"/>
      <c r="X1366" s="34"/>
      <c r="Y1366" s="34"/>
      <c r="Z1366" s="36"/>
      <c r="AA1366" s="32" t="s">
        <v>7965</v>
      </c>
      <c r="AB1366" s="32"/>
      <c r="AC1366" s="38" t="str">
        <f aca="false">HYPERLINK("https://biocodex6--c.vf.force.com/0014L00000KFeCpQAL", "GRIMAUD MARION")</f>
        <v>GRIMAUD MARION</v>
      </c>
      <c r="AD1366" s="38"/>
      <c r="AE1366" s="39"/>
      <c r="AF1366" s="40"/>
      <c r="AG1366" s="41"/>
      <c r="AH1366" s="32" t="s">
        <v>179</v>
      </c>
      <c r="AI1366" s="32"/>
      <c r="AL1366" s="32"/>
      <c r="AM1366" s="32"/>
      <c r="AN1366" s="32"/>
      <c r="AO1366" s="32"/>
      <c r="AP1366" s="32"/>
      <c r="AQ1366" s="32"/>
      <c r="AR1366" s="32"/>
      <c r="AS1366" s="32"/>
      <c r="AT1366" s="32"/>
      <c r="AU1366" s="32"/>
      <c r="XEY1366" s="27"/>
      <c r="XEZ1366" s="27"/>
      <c r="XFA1366" s="27"/>
      <c r="XFB1366" s="27"/>
      <c r="XFC1366" s="27"/>
      <c r="XFD1366" s="27"/>
    </row>
    <row r="1367" s="42" customFormat="true" ht="14.15" hidden="false" customHeight="true" outlineLevel="0" collapsed="false">
      <c r="A1367" s="28" t="s">
        <v>7966</v>
      </c>
      <c r="B1367" s="29" t="s">
        <v>7967</v>
      </c>
      <c r="C1367" s="29" t="s">
        <v>7968</v>
      </c>
      <c r="D1367" s="30" t="s">
        <v>112</v>
      </c>
      <c r="E1367" s="31"/>
      <c r="F1367" s="32" t="n">
        <v>43</v>
      </c>
      <c r="G1367" s="31"/>
      <c r="H1367" s="31" t="n">
        <v>1</v>
      </c>
      <c r="I1367" s="31" t="s">
        <v>51</v>
      </c>
      <c r="J1367" s="29" t="s">
        <v>52</v>
      </c>
      <c r="K1367" s="29" t="s">
        <v>53</v>
      </c>
      <c r="L1367" s="32" t="n">
        <v>149</v>
      </c>
      <c r="M1367" s="33" t="s">
        <v>54</v>
      </c>
      <c r="N1367" s="34" t="n">
        <v>75015</v>
      </c>
      <c r="O1367" s="35" t="s">
        <v>55</v>
      </c>
      <c r="P1367" s="36" t="s">
        <v>1815</v>
      </c>
      <c r="Q1367" s="36" t="n">
        <v>236</v>
      </c>
      <c r="R1367" s="32" t="n">
        <v>134</v>
      </c>
      <c r="S1367" s="32" t="n">
        <v>1</v>
      </c>
      <c r="T1367" s="32"/>
      <c r="U1367" s="32"/>
      <c r="V1367" s="37"/>
      <c r="W1367" s="32"/>
      <c r="X1367" s="34"/>
      <c r="Y1367" s="34"/>
      <c r="Z1367" s="36"/>
      <c r="AA1367" s="32" t="s">
        <v>7969</v>
      </c>
      <c r="AB1367" s="32"/>
      <c r="AC1367" s="38" t="str">
        <f aca="false">HYPERLINK("https://biocodex6--c.vf.force.com/0014L00000KFRFXQA5", "HACHEM TAYMME")</f>
        <v>HACHEM TAYMME</v>
      </c>
      <c r="AD1367" s="38"/>
      <c r="AE1367" s="39"/>
      <c r="AF1367" s="40"/>
      <c r="AG1367" s="41"/>
      <c r="AH1367" s="32" t="s">
        <v>179</v>
      </c>
      <c r="AI1367" s="32"/>
      <c r="AJ1367" s="42" t="s">
        <v>1817</v>
      </c>
      <c r="AL1367" s="32"/>
      <c r="AM1367" s="32"/>
      <c r="AN1367" s="32"/>
      <c r="AO1367" s="32"/>
      <c r="AP1367" s="32"/>
      <c r="AQ1367" s="32"/>
      <c r="AR1367" s="32"/>
      <c r="AS1367" s="32"/>
      <c r="AT1367" s="32"/>
      <c r="AU1367" s="32"/>
      <c r="XEY1367" s="27"/>
      <c r="XEZ1367" s="27"/>
      <c r="XFA1367" s="27"/>
      <c r="XFB1367" s="27"/>
      <c r="XFC1367" s="27"/>
      <c r="XFD1367" s="27"/>
    </row>
    <row r="1368" s="42" customFormat="true" ht="14.15" hidden="false" customHeight="true" outlineLevel="0" collapsed="false">
      <c r="A1368" s="28" t="s">
        <v>7970</v>
      </c>
      <c r="B1368" s="29" t="s">
        <v>1101</v>
      </c>
      <c r="C1368" s="29" t="s">
        <v>7971</v>
      </c>
      <c r="D1368" s="30" t="s">
        <v>112</v>
      </c>
      <c r="E1368" s="31"/>
      <c r="F1368" s="32" t="n">
        <v>47</v>
      </c>
      <c r="G1368" s="31"/>
      <c r="H1368" s="31" t="n">
        <v>1</v>
      </c>
      <c r="I1368" s="31" t="s">
        <v>51</v>
      </c>
      <c r="J1368" s="29" t="s">
        <v>52</v>
      </c>
      <c r="K1368" s="29" t="s">
        <v>53</v>
      </c>
      <c r="L1368" s="32" t="n">
        <v>149</v>
      </c>
      <c r="M1368" s="33" t="s">
        <v>54</v>
      </c>
      <c r="N1368" s="34" t="n">
        <v>75015</v>
      </c>
      <c r="O1368" s="35" t="s">
        <v>55</v>
      </c>
      <c r="P1368" s="36" t="s">
        <v>2723</v>
      </c>
      <c r="Q1368" s="36" t="n">
        <v>236</v>
      </c>
      <c r="R1368" s="32" t="n">
        <v>134</v>
      </c>
      <c r="S1368" s="32" t="n">
        <v>1</v>
      </c>
      <c r="T1368" s="32"/>
      <c r="U1368" s="32"/>
      <c r="V1368" s="37"/>
      <c r="W1368" s="32"/>
      <c r="X1368" s="34"/>
      <c r="Y1368" s="34"/>
      <c r="Z1368" s="36"/>
      <c r="AA1368" s="32" t="s">
        <v>7972</v>
      </c>
      <c r="AB1368" s="32"/>
      <c r="AC1368" s="38" t="str">
        <f aca="false">HYPERLINK("https://biocodex6--c.vf.force.com/0014L00000KFRWsQAP", "HALPHEN ISABELLE")</f>
        <v>HALPHEN ISABELLE</v>
      </c>
      <c r="AD1368" s="38"/>
      <c r="AE1368" s="39"/>
      <c r="AF1368" s="40"/>
      <c r="AG1368" s="41"/>
      <c r="AH1368" s="32" t="s">
        <v>179</v>
      </c>
      <c r="AI1368" s="32"/>
      <c r="AL1368" s="32"/>
      <c r="AM1368" s="32"/>
      <c r="AN1368" s="32"/>
      <c r="AO1368" s="32"/>
      <c r="AP1368" s="32"/>
      <c r="AQ1368" s="32"/>
      <c r="AR1368" s="32"/>
      <c r="AS1368" s="32"/>
      <c r="AT1368" s="32"/>
      <c r="AU1368" s="32"/>
      <c r="XEY1368" s="27"/>
      <c r="XEZ1368" s="27"/>
      <c r="XFA1368" s="27"/>
      <c r="XFB1368" s="27"/>
      <c r="XFC1368" s="27"/>
      <c r="XFD1368" s="27"/>
    </row>
    <row r="1369" s="42" customFormat="true" ht="14.15" hidden="false" customHeight="true" outlineLevel="0" collapsed="false">
      <c r="A1369" s="28" t="s">
        <v>7973</v>
      </c>
      <c r="B1369" s="29" t="s">
        <v>2794</v>
      </c>
      <c r="C1369" s="29" t="s">
        <v>7974</v>
      </c>
      <c r="D1369" s="30" t="s">
        <v>112</v>
      </c>
      <c r="E1369" s="30" t="s">
        <v>1709</v>
      </c>
      <c r="F1369" s="32" t="n">
        <v>49</v>
      </c>
      <c r="G1369" s="31"/>
      <c r="H1369" s="31" t="n">
        <v>1</v>
      </c>
      <c r="I1369" s="31" t="s">
        <v>51</v>
      </c>
      <c r="J1369" s="29" t="s">
        <v>52</v>
      </c>
      <c r="K1369" s="29" t="s">
        <v>53</v>
      </c>
      <c r="L1369" s="32" t="n">
        <v>149</v>
      </c>
      <c r="M1369" s="33" t="s">
        <v>54</v>
      </c>
      <c r="N1369" s="34" t="n">
        <v>75015</v>
      </c>
      <c r="O1369" s="35" t="s">
        <v>55</v>
      </c>
      <c r="P1369" s="36" t="s">
        <v>7975</v>
      </c>
      <c r="Q1369" s="36" t="n">
        <v>236</v>
      </c>
      <c r="R1369" s="32" t="n">
        <v>134</v>
      </c>
      <c r="S1369" s="32" t="n">
        <v>1</v>
      </c>
      <c r="T1369" s="32"/>
      <c r="U1369" s="32"/>
      <c r="V1369" s="37"/>
      <c r="W1369" s="32"/>
      <c r="X1369" s="34"/>
      <c r="Y1369" s="34"/>
      <c r="Z1369" s="36"/>
      <c r="AA1369" s="32" t="s">
        <v>7976</v>
      </c>
      <c r="AB1369" s="32"/>
      <c r="AC1369" s="38" t="str">
        <f aca="false">HYPERLINK("https://biocodex6--c.vf.force.com/0014L00000KFSMuQAP", "HEILBRONNER CLAIRE")</f>
        <v>HEILBRONNER CLAIRE</v>
      </c>
      <c r="AD1369" s="38"/>
      <c r="AE1369" s="39"/>
      <c r="AF1369" s="40"/>
      <c r="AG1369" s="41"/>
      <c r="AH1369" s="32" t="s">
        <v>179</v>
      </c>
      <c r="AI1369" s="32"/>
      <c r="AL1369" s="32"/>
      <c r="AM1369" s="32"/>
      <c r="AN1369" s="32"/>
      <c r="AO1369" s="32"/>
      <c r="AP1369" s="32"/>
      <c r="AQ1369" s="32"/>
      <c r="AR1369" s="32"/>
      <c r="AS1369" s="32"/>
      <c r="AT1369" s="32"/>
      <c r="AU1369" s="32"/>
      <c r="XEY1369" s="27"/>
      <c r="XEZ1369" s="27"/>
      <c r="XFA1369" s="27"/>
      <c r="XFB1369" s="27"/>
      <c r="XFC1369" s="27"/>
      <c r="XFD1369" s="27"/>
    </row>
    <row r="1370" s="42" customFormat="true" ht="14.15" hidden="false" customHeight="true" outlineLevel="0" collapsed="false">
      <c r="A1370" s="28" t="s">
        <v>7977</v>
      </c>
      <c r="B1370" s="29" t="s">
        <v>7978</v>
      </c>
      <c r="C1370" s="29" t="s">
        <v>7979</v>
      </c>
      <c r="D1370" s="30" t="s">
        <v>112</v>
      </c>
      <c r="E1370" s="31"/>
      <c r="F1370" s="32" t="n">
        <v>56</v>
      </c>
      <c r="G1370" s="31"/>
      <c r="H1370" s="31" t="n">
        <v>2</v>
      </c>
      <c r="I1370" s="31" t="s">
        <v>51</v>
      </c>
      <c r="J1370" s="29" t="s">
        <v>52</v>
      </c>
      <c r="K1370" s="29" t="s">
        <v>53</v>
      </c>
      <c r="L1370" s="32" t="n">
        <v>149</v>
      </c>
      <c r="M1370" s="33" t="s">
        <v>54</v>
      </c>
      <c r="N1370" s="34" t="n">
        <v>75015</v>
      </c>
      <c r="O1370" s="35" t="s">
        <v>55</v>
      </c>
      <c r="P1370" s="36" t="s">
        <v>1815</v>
      </c>
      <c r="Q1370" s="36" t="n">
        <v>236</v>
      </c>
      <c r="R1370" s="32" t="n">
        <v>134</v>
      </c>
      <c r="S1370" s="32" t="n">
        <v>1</v>
      </c>
      <c r="T1370" s="32"/>
      <c r="U1370" s="32"/>
      <c r="V1370" s="37"/>
      <c r="W1370" s="32"/>
      <c r="X1370" s="34"/>
      <c r="Y1370" s="34"/>
      <c r="Z1370" s="36"/>
      <c r="AA1370" s="32" t="s">
        <v>7980</v>
      </c>
      <c r="AB1370" s="32"/>
      <c r="AC1370" s="38" t="str">
        <f aca="false">HYPERLINK("https://biocodex6--c.vf.force.com/0014L00000KFvNYQA1", "HOVHANNISYAN SHUSHANIK")</f>
        <v>HOVHANNISYAN SHUSHANIK</v>
      </c>
      <c r="AD1370" s="38"/>
      <c r="AE1370" s="39"/>
      <c r="AF1370" s="40"/>
      <c r="AG1370" s="41"/>
      <c r="AH1370" s="32" t="s">
        <v>179</v>
      </c>
      <c r="AI1370" s="32"/>
      <c r="AJ1370" s="42" t="s">
        <v>1817</v>
      </c>
      <c r="AL1370" s="32"/>
      <c r="AM1370" s="32"/>
      <c r="AN1370" s="32"/>
      <c r="AO1370" s="32"/>
      <c r="AP1370" s="32"/>
      <c r="AQ1370" s="32"/>
      <c r="AR1370" s="32"/>
      <c r="AS1370" s="32"/>
      <c r="AT1370" s="32"/>
      <c r="AU1370" s="32"/>
      <c r="XEY1370" s="27"/>
      <c r="XEZ1370" s="27"/>
      <c r="XFA1370" s="27"/>
      <c r="XFB1370" s="27"/>
      <c r="XFC1370" s="27"/>
      <c r="XFD1370" s="27"/>
    </row>
    <row r="1371" s="42" customFormat="true" ht="14.15" hidden="false" customHeight="true" outlineLevel="0" collapsed="false">
      <c r="A1371" s="28" t="s">
        <v>7981</v>
      </c>
      <c r="B1371" s="29" t="s">
        <v>1114</v>
      </c>
      <c r="C1371" s="29" t="s">
        <v>7982</v>
      </c>
      <c r="D1371" s="30" t="s">
        <v>112</v>
      </c>
      <c r="E1371" s="31"/>
      <c r="F1371" s="32" t="n">
        <v>50</v>
      </c>
      <c r="G1371" s="31"/>
      <c r="H1371" s="31" t="n">
        <v>1</v>
      </c>
      <c r="I1371" s="31" t="s">
        <v>51</v>
      </c>
      <c r="J1371" s="29" t="s">
        <v>52</v>
      </c>
      <c r="K1371" s="29" t="s">
        <v>53</v>
      </c>
      <c r="L1371" s="32" t="n">
        <v>149</v>
      </c>
      <c r="M1371" s="33" t="s">
        <v>54</v>
      </c>
      <c r="N1371" s="34" t="n">
        <v>75015</v>
      </c>
      <c r="O1371" s="35" t="s">
        <v>55</v>
      </c>
      <c r="P1371" s="36" t="s">
        <v>4554</v>
      </c>
      <c r="Q1371" s="36" t="n">
        <v>236</v>
      </c>
      <c r="R1371" s="32" t="n">
        <v>134</v>
      </c>
      <c r="S1371" s="32" t="n">
        <v>1</v>
      </c>
      <c r="T1371" s="32"/>
      <c r="U1371" s="32"/>
      <c r="V1371" s="37"/>
      <c r="W1371" s="32"/>
      <c r="X1371" s="34"/>
      <c r="Y1371" s="34"/>
      <c r="Z1371" s="36"/>
      <c r="AA1371" s="32" t="s">
        <v>7983</v>
      </c>
      <c r="AB1371" s="32"/>
      <c r="AC1371" s="38" t="str">
        <f aca="false">HYPERLINK("https://biocodex6--c.vf.force.com/0014L00000KFZMKQA5", "KERMORVANT ELSA")</f>
        <v>KERMORVANT ELSA</v>
      </c>
      <c r="AD1371" s="38"/>
      <c r="AE1371" s="39"/>
      <c r="AF1371" s="40"/>
      <c r="AG1371" s="41"/>
      <c r="AH1371" s="32" t="s">
        <v>179</v>
      </c>
      <c r="AI1371" s="32"/>
      <c r="AL1371" s="32"/>
      <c r="AM1371" s="32"/>
      <c r="AN1371" s="32"/>
      <c r="AO1371" s="32"/>
      <c r="AP1371" s="32"/>
      <c r="AQ1371" s="32"/>
      <c r="AR1371" s="32"/>
      <c r="AS1371" s="32"/>
      <c r="AT1371" s="32"/>
      <c r="AU1371" s="32"/>
      <c r="XEY1371" s="27"/>
      <c r="XEZ1371" s="27"/>
      <c r="XFA1371" s="27"/>
      <c r="XFB1371" s="27"/>
      <c r="XFC1371" s="27"/>
      <c r="XFD1371" s="27"/>
    </row>
    <row r="1372" s="42" customFormat="true" ht="14.15" hidden="false" customHeight="true" outlineLevel="0" collapsed="false">
      <c r="A1372" s="28" t="s">
        <v>7984</v>
      </c>
      <c r="B1372" s="29" t="s">
        <v>4169</v>
      </c>
      <c r="C1372" s="29" t="s">
        <v>7985</v>
      </c>
      <c r="D1372" s="30" t="s">
        <v>112</v>
      </c>
      <c r="E1372" s="31"/>
      <c r="F1372" s="32" t="n">
        <v>39</v>
      </c>
      <c r="G1372" s="31"/>
      <c r="H1372" s="31" t="n">
        <v>1</v>
      </c>
      <c r="I1372" s="31" t="s">
        <v>51</v>
      </c>
      <c r="J1372" s="29" t="s">
        <v>52</v>
      </c>
      <c r="K1372" s="29" t="s">
        <v>53</v>
      </c>
      <c r="L1372" s="32" t="n">
        <v>149</v>
      </c>
      <c r="M1372" s="33" t="s">
        <v>54</v>
      </c>
      <c r="N1372" s="34" t="n">
        <v>75015</v>
      </c>
      <c r="O1372" s="35" t="s">
        <v>55</v>
      </c>
      <c r="P1372" s="36" t="s">
        <v>1815</v>
      </c>
      <c r="Q1372" s="36" t="n">
        <v>236</v>
      </c>
      <c r="R1372" s="32" t="n">
        <v>134</v>
      </c>
      <c r="S1372" s="32" t="n">
        <v>1</v>
      </c>
      <c r="T1372" s="32"/>
      <c r="U1372" s="32"/>
      <c r="V1372" s="37"/>
      <c r="W1372" s="32"/>
      <c r="X1372" s="34"/>
      <c r="Y1372" s="34"/>
      <c r="Z1372" s="36"/>
      <c r="AA1372" s="32" t="s">
        <v>7986</v>
      </c>
      <c r="AB1372" s="32"/>
      <c r="AC1372" s="38" t="str">
        <f aca="false">HYPERLINK("https://biocodex6--c.vf.force.com/0014L00000KFMLpQAP", "LEROY TERQUEM ELISE")</f>
        <v>LEROY TERQUEM ELISE</v>
      </c>
      <c r="AD1372" s="38"/>
      <c r="AE1372" s="39"/>
      <c r="AF1372" s="40"/>
      <c r="AG1372" s="41"/>
      <c r="AH1372" s="32" t="s">
        <v>179</v>
      </c>
      <c r="AI1372" s="32"/>
      <c r="AJ1372" s="42" t="s">
        <v>1817</v>
      </c>
      <c r="AL1372" s="32"/>
      <c r="AM1372" s="32"/>
      <c r="AN1372" s="32"/>
      <c r="AO1372" s="32"/>
      <c r="AP1372" s="32"/>
      <c r="AQ1372" s="32"/>
      <c r="AR1372" s="32"/>
      <c r="AS1372" s="32"/>
      <c r="AT1372" s="32"/>
      <c r="AU1372" s="32"/>
      <c r="XEY1372" s="27"/>
      <c r="XEZ1372" s="27"/>
      <c r="XFA1372" s="27"/>
      <c r="XFB1372" s="27"/>
      <c r="XFC1372" s="27"/>
      <c r="XFD1372" s="27"/>
    </row>
    <row r="1373" s="42" customFormat="true" ht="14.15" hidden="false" customHeight="true" outlineLevel="0" collapsed="false">
      <c r="A1373" s="28" t="s">
        <v>7987</v>
      </c>
      <c r="B1373" s="29" t="s">
        <v>3788</v>
      </c>
      <c r="C1373" s="29" t="s">
        <v>7988</v>
      </c>
      <c r="D1373" s="30" t="s">
        <v>112</v>
      </c>
      <c r="E1373" s="30" t="s">
        <v>1709</v>
      </c>
      <c r="F1373" s="32" t="n">
        <v>53</v>
      </c>
      <c r="G1373" s="31"/>
      <c r="H1373" s="31" t="n">
        <v>1</v>
      </c>
      <c r="I1373" s="31" t="s">
        <v>51</v>
      </c>
      <c r="J1373" s="29" t="s">
        <v>52</v>
      </c>
      <c r="K1373" s="29" t="s">
        <v>53</v>
      </c>
      <c r="L1373" s="32" t="n">
        <v>149</v>
      </c>
      <c r="M1373" s="33" t="s">
        <v>54</v>
      </c>
      <c r="N1373" s="34" t="n">
        <v>75015</v>
      </c>
      <c r="O1373" s="35" t="s">
        <v>55</v>
      </c>
      <c r="P1373" s="36" t="s">
        <v>4610</v>
      </c>
      <c r="Q1373" s="36" t="n">
        <v>236</v>
      </c>
      <c r="R1373" s="32" t="n">
        <v>134</v>
      </c>
      <c r="S1373" s="32" t="n">
        <v>1</v>
      </c>
      <c r="T1373" s="32"/>
      <c r="U1373" s="32"/>
      <c r="V1373" s="37"/>
      <c r="W1373" s="32"/>
      <c r="X1373" s="34"/>
      <c r="Y1373" s="34"/>
      <c r="Z1373" s="36"/>
      <c r="AA1373" s="32" t="s">
        <v>7989</v>
      </c>
      <c r="AB1373" s="32"/>
      <c r="AC1373" s="38" t="str">
        <f aca="false">HYPERLINK("https://biocodex6--c.vf.force.com/0014L00000KFnSpQAL", "LESAGE FABRICE")</f>
        <v>LESAGE FABRICE</v>
      </c>
      <c r="AD1373" s="38"/>
      <c r="AE1373" s="39"/>
      <c r="AF1373" s="40"/>
      <c r="AG1373" s="41"/>
      <c r="AH1373" s="32" t="s">
        <v>179</v>
      </c>
      <c r="AI1373" s="32"/>
      <c r="AL1373" s="32"/>
      <c r="AM1373" s="32"/>
      <c r="AN1373" s="32"/>
      <c r="AO1373" s="32"/>
      <c r="AP1373" s="32"/>
      <c r="AQ1373" s="32"/>
      <c r="AR1373" s="32"/>
      <c r="AS1373" s="32"/>
      <c r="AT1373" s="32"/>
      <c r="AU1373" s="32"/>
      <c r="XEY1373" s="27"/>
      <c r="XEZ1373" s="27"/>
      <c r="XFA1373" s="27"/>
      <c r="XFB1373" s="27"/>
      <c r="XFC1373" s="27"/>
      <c r="XFD1373" s="27"/>
    </row>
    <row r="1374" s="42" customFormat="true" ht="14.15" hidden="false" customHeight="true" outlineLevel="0" collapsed="false">
      <c r="A1374" s="28" t="s">
        <v>7990</v>
      </c>
      <c r="B1374" s="29" t="s">
        <v>7991</v>
      </c>
      <c r="C1374" s="29" t="s">
        <v>7992</v>
      </c>
      <c r="D1374" s="30" t="s">
        <v>112</v>
      </c>
      <c r="E1374" s="31"/>
      <c r="F1374" s="32" t="n">
        <v>45</v>
      </c>
      <c r="G1374" s="31"/>
      <c r="H1374" s="31" t="n">
        <v>1</v>
      </c>
      <c r="I1374" s="31" t="s">
        <v>51</v>
      </c>
      <c r="J1374" s="29" t="s">
        <v>52</v>
      </c>
      <c r="K1374" s="29" t="s">
        <v>53</v>
      </c>
      <c r="L1374" s="32" t="n">
        <v>149</v>
      </c>
      <c r="M1374" s="33" t="s">
        <v>54</v>
      </c>
      <c r="N1374" s="34" t="n">
        <v>75015</v>
      </c>
      <c r="O1374" s="35" t="s">
        <v>55</v>
      </c>
      <c r="P1374" s="36" t="s">
        <v>7993</v>
      </c>
      <c r="Q1374" s="36" t="n">
        <v>236</v>
      </c>
      <c r="R1374" s="32" t="n">
        <v>134</v>
      </c>
      <c r="S1374" s="32" t="n">
        <v>1</v>
      </c>
      <c r="T1374" s="32"/>
      <c r="U1374" s="32"/>
      <c r="V1374" s="37"/>
      <c r="W1374" s="32"/>
      <c r="X1374" s="34"/>
      <c r="Y1374" s="34"/>
      <c r="Z1374" s="36"/>
      <c r="AA1374" s="32" t="s">
        <v>7994</v>
      </c>
      <c r="AB1374" s="32"/>
      <c r="AC1374" s="38" t="str">
        <f aca="false">HYPERLINK("https://biocodex6--c.vf.force.com/0014L00000KGFwKQAX", "MAGNANI ALESSANDRA")</f>
        <v>MAGNANI ALESSANDRA</v>
      </c>
      <c r="AD1374" s="38"/>
      <c r="AE1374" s="39"/>
      <c r="AF1374" s="40"/>
      <c r="AG1374" s="41"/>
      <c r="AH1374" s="32" t="s">
        <v>179</v>
      </c>
      <c r="AI1374" s="32"/>
      <c r="AL1374" s="32"/>
      <c r="AM1374" s="32"/>
      <c r="AN1374" s="32"/>
      <c r="AO1374" s="32"/>
      <c r="AP1374" s="32"/>
      <c r="AQ1374" s="32"/>
      <c r="AR1374" s="32"/>
      <c r="AS1374" s="32"/>
      <c r="AT1374" s="32"/>
      <c r="AU1374" s="32"/>
      <c r="XEY1374" s="27"/>
      <c r="XEZ1374" s="27"/>
      <c r="XFA1374" s="27"/>
      <c r="XFB1374" s="27"/>
      <c r="XFC1374" s="27"/>
      <c r="XFD1374" s="27"/>
    </row>
    <row r="1375" s="42" customFormat="true" ht="14.15" hidden="false" customHeight="true" outlineLevel="0" collapsed="false">
      <c r="A1375" s="28" t="s">
        <v>7995</v>
      </c>
      <c r="B1375" s="29" t="s">
        <v>2640</v>
      </c>
      <c r="C1375" s="29" t="s">
        <v>7996</v>
      </c>
      <c r="D1375" s="30" t="s">
        <v>112</v>
      </c>
      <c r="E1375" s="30" t="s">
        <v>1709</v>
      </c>
      <c r="F1375" s="32" t="n">
        <v>69</v>
      </c>
      <c r="G1375" s="31"/>
      <c r="H1375" s="31" t="n">
        <v>1</v>
      </c>
      <c r="I1375" s="31" t="s">
        <v>51</v>
      </c>
      <c r="J1375" s="29" t="s">
        <v>52</v>
      </c>
      <c r="K1375" s="29" t="s">
        <v>53</v>
      </c>
      <c r="L1375" s="32" t="n">
        <v>149</v>
      </c>
      <c r="M1375" s="33" t="s">
        <v>54</v>
      </c>
      <c r="N1375" s="34" t="n">
        <v>75015</v>
      </c>
      <c r="O1375" s="35" t="s">
        <v>55</v>
      </c>
      <c r="P1375" s="36" t="s">
        <v>1815</v>
      </c>
      <c r="Q1375" s="36" t="n">
        <v>236</v>
      </c>
      <c r="R1375" s="32" t="n">
        <v>134</v>
      </c>
      <c r="S1375" s="32" t="n">
        <v>1</v>
      </c>
      <c r="T1375" s="32"/>
      <c r="U1375" s="32"/>
      <c r="V1375" s="37"/>
      <c r="W1375" s="32"/>
      <c r="X1375" s="34"/>
      <c r="Y1375" s="34"/>
      <c r="Z1375" s="36"/>
      <c r="AA1375" s="32" t="s">
        <v>7997</v>
      </c>
      <c r="AB1375" s="32"/>
      <c r="AC1375" s="38" t="str">
        <f aca="false">HYPERLINK("https://biocodex6--c.vf.force.com/0014L00000KFpHuQAL", "MAGNY JEAN FRANCOIS")</f>
        <v>MAGNY JEAN FRANCOIS</v>
      </c>
      <c r="AD1375" s="38"/>
      <c r="AE1375" s="39"/>
      <c r="AF1375" s="40"/>
      <c r="AG1375" s="41"/>
      <c r="AH1375" s="32" t="s">
        <v>179</v>
      </c>
      <c r="AI1375" s="32"/>
      <c r="AJ1375" s="42" t="s">
        <v>1817</v>
      </c>
      <c r="AL1375" s="32"/>
      <c r="AM1375" s="32"/>
      <c r="AN1375" s="32"/>
      <c r="AO1375" s="32"/>
      <c r="AP1375" s="32"/>
      <c r="AQ1375" s="32"/>
      <c r="AR1375" s="32"/>
      <c r="AS1375" s="32"/>
      <c r="AT1375" s="32"/>
      <c r="AU1375" s="32"/>
      <c r="XEY1375" s="27"/>
      <c r="XEZ1375" s="27"/>
      <c r="XFA1375" s="27"/>
      <c r="XFB1375" s="27"/>
      <c r="XFC1375" s="27"/>
      <c r="XFD1375" s="27"/>
    </row>
    <row r="1376" s="42" customFormat="true" ht="14.15" hidden="false" customHeight="true" outlineLevel="0" collapsed="false">
      <c r="A1376" s="28" t="s">
        <v>7998</v>
      </c>
      <c r="B1376" s="29" t="s">
        <v>7991</v>
      </c>
      <c r="C1376" s="29" t="s">
        <v>7999</v>
      </c>
      <c r="D1376" s="30" t="s">
        <v>112</v>
      </c>
      <c r="E1376" s="31"/>
      <c r="F1376" s="32" t="n">
        <v>0</v>
      </c>
      <c r="G1376" s="31"/>
      <c r="H1376" s="31" t="n">
        <v>1</v>
      </c>
      <c r="I1376" s="31" t="s">
        <v>51</v>
      </c>
      <c r="J1376" s="29" t="s">
        <v>52</v>
      </c>
      <c r="K1376" s="29" t="s">
        <v>53</v>
      </c>
      <c r="L1376" s="32" t="n">
        <v>149</v>
      </c>
      <c r="M1376" s="33" t="s">
        <v>54</v>
      </c>
      <c r="N1376" s="34" t="n">
        <v>75015</v>
      </c>
      <c r="O1376" s="35" t="s">
        <v>55</v>
      </c>
      <c r="P1376" s="36" t="s">
        <v>8000</v>
      </c>
      <c r="Q1376" s="36" t="n">
        <v>236</v>
      </c>
      <c r="R1376" s="32" t="n">
        <v>134</v>
      </c>
      <c r="S1376" s="32" t="n">
        <v>1</v>
      </c>
      <c r="T1376" s="32"/>
      <c r="U1376" s="32"/>
      <c r="V1376" s="37"/>
      <c r="W1376" s="32"/>
      <c r="X1376" s="34"/>
      <c r="Y1376" s="34"/>
      <c r="Z1376" s="36"/>
      <c r="AA1376" s="32" t="s">
        <v>8001</v>
      </c>
      <c r="AB1376" s="32"/>
      <c r="AC1376" s="38" t="str">
        <f aca="false">HYPERLINK("https://biocodex6--c.vf.force.com/0014L00000KGHPPQA5", "MAZZOLA ALESSANDRA")</f>
        <v>MAZZOLA ALESSANDRA</v>
      </c>
      <c r="AD1376" s="38"/>
      <c r="AE1376" s="39"/>
      <c r="AF1376" s="40"/>
      <c r="AG1376" s="41"/>
      <c r="AH1376" s="32" t="s">
        <v>179</v>
      </c>
      <c r="AI1376" s="32"/>
      <c r="AL1376" s="32"/>
      <c r="AM1376" s="32"/>
      <c r="AN1376" s="32"/>
      <c r="AO1376" s="32"/>
      <c r="AP1376" s="32"/>
      <c r="AQ1376" s="32"/>
      <c r="AR1376" s="32"/>
      <c r="AS1376" s="32"/>
      <c r="AT1376" s="32"/>
      <c r="AU1376" s="32"/>
      <c r="XEY1376" s="27"/>
      <c r="XEZ1376" s="27"/>
      <c r="XFA1376" s="27"/>
      <c r="XFB1376" s="27"/>
      <c r="XFC1376" s="27"/>
      <c r="XFD1376" s="27"/>
    </row>
    <row r="1377" s="42" customFormat="true" ht="14.15" hidden="false" customHeight="true" outlineLevel="0" collapsed="false">
      <c r="A1377" s="28" t="s">
        <v>8002</v>
      </c>
      <c r="B1377" s="29" t="s">
        <v>419</v>
      </c>
      <c r="C1377" s="29" t="s">
        <v>8003</v>
      </c>
      <c r="D1377" s="30" t="s">
        <v>112</v>
      </c>
      <c r="E1377" s="31"/>
      <c r="F1377" s="32" t="n">
        <v>63</v>
      </c>
      <c r="G1377" s="31"/>
      <c r="H1377" s="31" t="n">
        <v>1</v>
      </c>
      <c r="I1377" s="31" t="s">
        <v>51</v>
      </c>
      <c r="J1377" s="29" t="s">
        <v>52</v>
      </c>
      <c r="K1377" s="29" t="s">
        <v>53</v>
      </c>
      <c r="L1377" s="32" t="n">
        <v>149</v>
      </c>
      <c r="M1377" s="33" t="s">
        <v>54</v>
      </c>
      <c r="N1377" s="34" t="n">
        <v>75015</v>
      </c>
      <c r="O1377" s="35" t="s">
        <v>55</v>
      </c>
      <c r="P1377" s="36" t="s">
        <v>7975</v>
      </c>
      <c r="Q1377" s="36" t="n">
        <v>236</v>
      </c>
      <c r="R1377" s="32" t="n">
        <v>134</v>
      </c>
      <c r="S1377" s="32" t="n">
        <v>1</v>
      </c>
      <c r="T1377" s="32"/>
      <c r="U1377" s="32"/>
      <c r="V1377" s="37"/>
      <c r="W1377" s="32"/>
      <c r="X1377" s="34"/>
      <c r="Y1377" s="34"/>
      <c r="Z1377" s="36"/>
      <c r="AA1377" s="32" t="s">
        <v>8004</v>
      </c>
      <c r="AB1377" s="32"/>
      <c r="AC1377" s="38" t="str">
        <f aca="false">HYPERLINK("https://biocodex6--c.vf.force.com/0014L00000KFstNQAT", "MOULIN FLORENCE")</f>
        <v>MOULIN FLORENCE</v>
      </c>
      <c r="AD1377" s="38"/>
      <c r="AE1377" s="39"/>
      <c r="AF1377" s="40"/>
      <c r="AG1377" s="41"/>
      <c r="AH1377" s="32" t="s">
        <v>179</v>
      </c>
      <c r="AI1377" s="32"/>
      <c r="AL1377" s="32"/>
      <c r="AM1377" s="32"/>
      <c r="AN1377" s="32"/>
      <c r="AO1377" s="32"/>
      <c r="AP1377" s="32"/>
      <c r="AQ1377" s="32"/>
      <c r="AR1377" s="32"/>
      <c r="AS1377" s="32"/>
      <c r="AT1377" s="32"/>
      <c r="AU1377" s="32"/>
      <c r="XEY1377" s="27"/>
      <c r="XEZ1377" s="27"/>
      <c r="XFA1377" s="27"/>
      <c r="XFB1377" s="27"/>
      <c r="XFC1377" s="27"/>
      <c r="XFD1377" s="27"/>
    </row>
    <row r="1378" s="42" customFormat="true" ht="14.15" hidden="false" customHeight="true" outlineLevel="0" collapsed="false">
      <c r="A1378" s="28" t="s">
        <v>8005</v>
      </c>
      <c r="B1378" s="29" t="s">
        <v>1973</v>
      </c>
      <c r="C1378" s="29" t="s">
        <v>8006</v>
      </c>
      <c r="D1378" s="30" t="s">
        <v>112</v>
      </c>
      <c r="E1378" s="30" t="s">
        <v>1709</v>
      </c>
      <c r="F1378" s="32" t="n">
        <v>47</v>
      </c>
      <c r="G1378" s="31"/>
      <c r="H1378" s="31" t="n">
        <v>1</v>
      </c>
      <c r="I1378" s="31" t="s">
        <v>51</v>
      </c>
      <c r="J1378" s="29" t="s">
        <v>52</v>
      </c>
      <c r="K1378" s="29" t="s">
        <v>53</v>
      </c>
      <c r="L1378" s="32" t="n">
        <v>149</v>
      </c>
      <c r="M1378" s="33" t="s">
        <v>54</v>
      </c>
      <c r="N1378" s="34" t="n">
        <v>75015</v>
      </c>
      <c r="O1378" s="35" t="s">
        <v>55</v>
      </c>
      <c r="P1378" s="36" t="s">
        <v>7975</v>
      </c>
      <c r="Q1378" s="36" t="n">
        <v>236</v>
      </c>
      <c r="R1378" s="32" t="n">
        <v>134</v>
      </c>
      <c r="S1378" s="32" t="n">
        <v>1</v>
      </c>
      <c r="T1378" s="32"/>
      <c r="U1378" s="32"/>
      <c r="V1378" s="37"/>
      <c r="W1378" s="32"/>
      <c r="X1378" s="34"/>
      <c r="Y1378" s="34"/>
      <c r="Z1378" s="36"/>
      <c r="AA1378" s="32" t="s">
        <v>8007</v>
      </c>
      <c r="AB1378" s="32"/>
      <c r="AC1378" s="38" t="str">
        <f aca="false">HYPERLINK("https://biocodex6--c.vf.force.com/0014L00000KG6m0QAD", "OUALHA MEHDI")</f>
        <v>OUALHA MEHDI</v>
      </c>
      <c r="AD1378" s="38"/>
      <c r="AE1378" s="39"/>
      <c r="AF1378" s="40"/>
      <c r="AG1378" s="41"/>
      <c r="AH1378" s="32" t="s">
        <v>179</v>
      </c>
      <c r="AI1378" s="32"/>
      <c r="AL1378" s="32"/>
      <c r="AM1378" s="32"/>
      <c r="AN1378" s="32"/>
      <c r="AO1378" s="32"/>
      <c r="AP1378" s="32"/>
      <c r="AQ1378" s="32"/>
      <c r="AR1378" s="32"/>
      <c r="AS1378" s="32"/>
      <c r="AT1378" s="32"/>
      <c r="AU1378" s="32"/>
      <c r="XEY1378" s="27"/>
      <c r="XEZ1378" s="27"/>
      <c r="XFA1378" s="27"/>
      <c r="XFB1378" s="27"/>
      <c r="XFC1378" s="27"/>
      <c r="XFD1378" s="27"/>
    </row>
    <row r="1379" s="42" customFormat="true" ht="14.15" hidden="false" customHeight="true" outlineLevel="0" collapsed="false">
      <c r="A1379" s="28" t="s">
        <v>8008</v>
      </c>
      <c r="B1379" s="29" t="s">
        <v>1130</v>
      </c>
      <c r="C1379" s="29" t="s">
        <v>8009</v>
      </c>
      <c r="D1379" s="30" t="s">
        <v>112</v>
      </c>
      <c r="E1379" s="30" t="s">
        <v>401</v>
      </c>
      <c r="F1379" s="32" t="n">
        <v>79</v>
      </c>
      <c r="G1379" s="31"/>
      <c r="H1379" s="31" t="n">
        <v>1</v>
      </c>
      <c r="I1379" s="31" t="s">
        <v>51</v>
      </c>
      <c r="J1379" s="29" t="s">
        <v>52</v>
      </c>
      <c r="K1379" s="29" t="s">
        <v>53</v>
      </c>
      <c r="L1379" s="32" t="n">
        <v>149</v>
      </c>
      <c r="M1379" s="33" t="s">
        <v>54</v>
      </c>
      <c r="N1379" s="34" t="n">
        <v>75015</v>
      </c>
      <c r="O1379" s="35" t="s">
        <v>55</v>
      </c>
      <c r="P1379" s="36" t="s">
        <v>1949</v>
      </c>
      <c r="Q1379" s="36" t="n">
        <v>236</v>
      </c>
      <c r="R1379" s="32" t="n">
        <v>134</v>
      </c>
      <c r="S1379" s="32" t="n">
        <v>1</v>
      </c>
      <c r="T1379" s="32"/>
      <c r="U1379" s="32"/>
      <c r="V1379" s="37"/>
      <c r="W1379" s="32"/>
      <c r="X1379" s="34"/>
      <c r="Y1379" s="34"/>
      <c r="Z1379" s="36"/>
      <c r="AA1379" s="32" t="s">
        <v>8010</v>
      </c>
      <c r="AB1379" s="32"/>
      <c r="AC1379" s="38" t="str">
        <f aca="false">HYPERLINK("https://biocodex6--c.vf.force.com/0014L00000KG1USQA1", "SIDI DANIEL")</f>
        <v>SIDI DANIEL</v>
      </c>
      <c r="AD1379" s="38"/>
      <c r="AE1379" s="39"/>
      <c r="AF1379" s="40"/>
      <c r="AG1379" s="41"/>
      <c r="AH1379" s="32" t="s">
        <v>179</v>
      </c>
      <c r="AI1379" s="32"/>
      <c r="AL1379" s="32"/>
      <c r="AM1379" s="32"/>
      <c r="AN1379" s="32"/>
      <c r="AO1379" s="32"/>
      <c r="AP1379" s="32"/>
      <c r="AQ1379" s="32"/>
      <c r="AR1379" s="32"/>
      <c r="AS1379" s="32"/>
      <c r="AT1379" s="32"/>
      <c r="AU1379" s="32"/>
      <c r="XEY1379" s="27"/>
      <c r="XEZ1379" s="27"/>
      <c r="XFA1379" s="27"/>
      <c r="XFB1379" s="27"/>
      <c r="XFC1379" s="27"/>
      <c r="XFD1379" s="27"/>
    </row>
    <row r="1380" s="42" customFormat="true" ht="14.15" hidden="false" customHeight="true" outlineLevel="0" collapsed="false">
      <c r="A1380" s="28" t="s">
        <v>8011</v>
      </c>
      <c r="B1380" s="29" t="s">
        <v>5389</v>
      </c>
      <c r="C1380" s="29" t="s">
        <v>8012</v>
      </c>
      <c r="D1380" s="30" t="s">
        <v>112</v>
      </c>
      <c r="E1380" s="31"/>
      <c r="F1380" s="32" t="n">
        <v>54</v>
      </c>
      <c r="G1380" s="31"/>
      <c r="H1380" s="31" t="n">
        <v>1</v>
      </c>
      <c r="I1380" s="31" t="s">
        <v>51</v>
      </c>
      <c r="J1380" s="29" t="s">
        <v>52</v>
      </c>
      <c r="K1380" s="29" t="s">
        <v>53</v>
      </c>
      <c r="L1380" s="32" t="n">
        <v>149</v>
      </c>
      <c r="M1380" s="33" t="s">
        <v>54</v>
      </c>
      <c r="N1380" s="34" t="n">
        <v>75015</v>
      </c>
      <c r="O1380" s="35" t="s">
        <v>55</v>
      </c>
      <c r="P1380" s="36" t="s">
        <v>2723</v>
      </c>
      <c r="Q1380" s="36" t="n">
        <v>236</v>
      </c>
      <c r="R1380" s="32" t="n">
        <v>134</v>
      </c>
      <c r="S1380" s="32" t="n">
        <v>1</v>
      </c>
      <c r="T1380" s="32"/>
      <c r="U1380" s="32"/>
      <c r="V1380" s="37"/>
      <c r="W1380" s="32"/>
      <c r="X1380" s="34"/>
      <c r="Y1380" s="34"/>
      <c r="Z1380" s="36"/>
      <c r="AA1380" s="32" t="s">
        <v>8013</v>
      </c>
      <c r="AB1380" s="32"/>
      <c r="AC1380" s="38" t="str">
        <f aca="false">HYPERLINK("https://biocodex6--c.vf.force.com/0014L00000KG4jxQAD", "TIMSIT SANDRA")</f>
        <v>TIMSIT SANDRA</v>
      </c>
      <c r="AD1380" s="38"/>
      <c r="AE1380" s="39"/>
      <c r="AF1380" s="40"/>
      <c r="AG1380" s="41"/>
      <c r="AH1380" s="32" t="s">
        <v>179</v>
      </c>
      <c r="AI1380" s="32"/>
      <c r="AL1380" s="32"/>
      <c r="AM1380" s="32"/>
      <c r="AN1380" s="32"/>
      <c r="AO1380" s="32"/>
      <c r="AP1380" s="32"/>
      <c r="AQ1380" s="32"/>
      <c r="AR1380" s="32"/>
      <c r="AS1380" s="32"/>
      <c r="AT1380" s="32"/>
      <c r="AU1380" s="32"/>
      <c r="XEY1380" s="27"/>
      <c r="XEZ1380" s="27"/>
      <c r="XFA1380" s="27"/>
      <c r="XFB1380" s="27"/>
      <c r="XFC1380" s="27"/>
      <c r="XFD1380" s="27"/>
    </row>
    <row r="1381" s="42" customFormat="true" ht="14.15" hidden="false" customHeight="true" outlineLevel="0" collapsed="false">
      <c r="A1381" s="28" t="s">
        <v>8014</v>
      </c>
      <c r="B1381" s="29" t="s">
        <v>3749</v>
      </c>
      <c r="C1381" s="29" t="s">
        <v>8015</v>
      </c>
      <c r="D1381" s="30" t="s">
        <v>112</v>
      </c>
      <c r="E1381" s="31"/>
      <c r="F1381" s="32" t="n">
        <v>38</v>
      </c>
      <c r="G1381" s="31"/>
      <c r="H1381" s="31" t="n">
        <v>1</v>
      </c>
      <c r="I1381" s="31" t="s">
        <v>51</v>
      </c>
      <c r="J1381" s="29" t="s">
        <v>52</v>
      </c>
      <c r="K1381" s="29" t="s">
        <v>53</v>
      </c>
      <c r="L1381" s="32" t="n">
        <v>149</v>
      </c>
      <c r="M1381" s="33" t="s">
        <v>54</v>
      </c>
      <c r="N1381" s="34" t="n">
        <v>75015</v>
      </c>
      <c r="O1381" s="35" t="s">
        <v>55</v>
      </c>
      <c r="P1381" s="36" t="s">
        <v>4610</v>
      </c>
      <c r="Q1381" s="36" t="n">
        <v>236</v>
      </c>
      <c r="R1381" s="32" t="n">
        <v>134</v>
      </c>
      <c r="S1381" s="32" t="n">
        <v>1</v>
      </c>
      <c r="T1381" s="32"/>
      <c r="U1381" s="32"/>
      <c r="V1381" s="37"/>
      <c r="W1381" s="32"/>
      <c r="X1381" s="34"/>
      <c r="Y1381" s="34"/>
      <c r="Z1381" s="36"/>
      <c r="AA1381" s="32" t="s">
        <v>8016</v>
      </c>
      <c r="AB1381" s="32"/>
      <c r="AC1381" s="38" t="str">
        <f aca="false">HYPERLINK("https://biocodex6--c.vf.force.com/0014L00000KFKTVQA5", "VEDRENNE CLOQUET MERYL")</f>
        <v>VEDRENNE CLOQUET MERYL</v>
      </c>
      <c r="AD1381" s="38"/>
      <c r="AE1381" s="39"/>
      <c r="AF1381" s="40"/>
      <c r="AG1381" s="41"/>
      <c r="AH1381" s="32" t="s">
        <v>179</v>
      </c>
      <c r="AI1381" s="32"/>
      <c r="AL1381" s="32"/>
      <c r="AM1381" s="32"/>
      <c r="AN1381" s="32"/>
      <c r="AO1381" s="32"/>
      <c r="AP1381" s="32"/>
      <c r="AQ1381" s="32"/>
      <c r="AR1381" s="32"/>
      <c r="AS1381" s="32"/>
      <c r="AT1381" s="32"/>
      <c r="AU1381" s="32"/>
      <c r="XEY1381" s="27"/>
      <c r="XEZ1381" s="27"/>
      <c r="XFA1381" s="27"/>
      <c r="XFB1381" s="27"/>
      <c r="XFC1381" s="27"/>
      <c r="XFD1381" s="27"/>
    </row>
    <row r="1382" s="42" customFormat="true" ht="14.15" hidden="false" customHeight="true" outlineLevel="0" collapsed="false">
      <c r="A1382" s="28" t="s">
        <v>5044</v>
      </c>
      <c r="B1382" s="29" t="s">
        <v>685</v>
      </c>
      <c r="C1382" s="29" t="s">
        <v>8017</v>
      </c>
      <c r="D1382" s="30" t="s">
        <v>112</v>
      </c>
      <c r="E1382" s="30" t="s">
        <v>75</v>
      </c>
      <c r="F1382" s="32" t="n">
        <v>53</v>
      </c>
      <c r="G1382" s="31"/>
      <c r="H1382" s="31" t="n">
        <v>1</v>
      </c>
      <c r="I1382" s="31" t="s">
        <v>51</v>
      </c>
      <c r="J1382" s="29" t="s">
        <v>52</v>
      </c>
      <c r="K1382" s="29" t="s">
        <v>53</v>
      </c>
      <c r="L1382" s="32" t="n">
        <v>149</v>
      </c>
      <c r="M1382" s="33" t="s">
        <v>54</v>
      </c>
      <c r="N1382" s="34" t="n">
        <v>75015</v>
      </c>
      <c r="O1382" s="35" t="s">
        <v>55</v>
      </c>
      <c r="P1382" s="36" t="s">
        <v>1807</v>
      </c>
      <c r="Q1382" s="36" t="n">
        <v>236</v>
      </c>
      <c r="R1382" s="32" t="n">
        <v>134</v>
      </c>
      <c r="S1382" s="32" t="n">
        <v>1</v>
      </c>
      <c r="T1382" s="32"/>
      <c r="U1382" s="32"/>
      <c r="V1382" s="37"/>
      <c r="W1382" s="32"/>
      <c r="X1382" s="34"/>
      <c r="Y1382" s="34"/>
      <c r="Z1382" s="32"/>
      <c r="AA1382" s="32" t="s">
        <v>8018</v>
      </c>
      <c r="AB1382" s="32"/>
      <c r="AC1382" s="38" t="str">
        <f aca="false">HYPERLINK("https://biocodex6--c.vf.force.com/0014L00000KFh87QAD", "GIRARD MURIEL")</f>
        <v>GIRARD MURIEL</v>
      </c>
      <c r="AD1382" s="38"/>
      <c r="AE1382" s="39"/>
      <c r="AF1382" s="40"/>
      <c r="AG1382" s="41"/>
      <c r="AH1382" s="32"/>
      <c r="AI1382" s="32"/>
      <c r="AJ1382" s="42" t="s">
        <v>1809</v>
      </c>
      <c r="AL1382" s="32"/>
      <c r="AM1382" s="32"/>
      <c r="AN1382" s="32"/>
      <c r="AO1382" s="32"/>
      <c r="AP1382" s="32"/>
      <c r="AQ1382" s="32"/>
      <c r="AR1382" s="32"/>
      <c r="AS1382" s="32"/>
      <c r="AT1382" s="32"/>
      <c r="AU1382" s="32"/>
      <c r="XEY1382" s="27"/>
      <c r="XEZ1382" s="27"/>
      <c r="XFA1382" s="27"/>
      <c r="XFB1382" s="27"/>
      <c r="XFC1382" s="27"/>
      <c r="XFD1382" s="27"/>
    </row>
    <row r="1383" s="42" customFormat="true" ht="14.15" hidden="false" customHeight="true" outlineLevel="0" collapsed="false">
      <c r="A1383" s="28" t="s">
        <v>8019</v>
      </c>
      <c r="B1383" s="29" t="s">
        <v>2038</v>
      </c>
      <c r="C1383" s="29" t="s">
        <v>8020</v>
      </c>
      <c r="D1383" s="30" t="s">
        <v>112</v>
      </c>
      <c r="E1383" s="31"/>
      <c r="F1383" s="32" t="n">
        <v>45</v>
      </c>
      <c r="G1383" s="31"/>
      <c r="H1383" s="31" t="n">
        <v>1</v>
      </c>
      <c r="I1383" s="31" t="s">
        <v>51</v>
      </c>
      <c r="J1383" s="29" t="s">
        <v>52</v>
      </c>
      <c r="K1383" s="29" t="s">
        <v>53</v>
      </c>
      <c r="L1383" s="32" t="n">
        <v>149</v>
      </c>
      <c r="M1383" s="33" t="s">
        <v>54</v>
      </c>
      <c r="N1383" s="34" t="n">
        <v>75015</v>
      </c>
      <c r="O1383" s="35" t="s">
        <v>55</v>
      </c>
      <c r="P1383" s="36" t="s">
        <v>3721</v>
      </c>
      <c r="Q1383" s="36" t="n">
        <v>236</v>
      </c>
      <c r="R1383" s="32" t="n">
        <v>134</v>
      </c>
      <c r="S1383" s="32" t="n">
        <v>1</v>
      </c>
      <c r="T1383" s="32"/>
      <c r="U1383" s="32"/>
      <c r="V1383" s="37"/>
      <c r="W1383" s="32"/>
      <c r="X1383" s="34"/>
      <c r="Y1383" s="34"/>
      <c r="Z1383" s="32"/>
      <c r="AA1383" s="32" t="s">
        <v>8021</v>
      </c>
      <c r="AB1383" s="32"/>
      <c r="AC1383" s="38" t="str">
        <f aca="false">HYPERLINK("https://biocodex6--c.vf.force.com/0014L00000KFS3iQAH", "HARROCHE ANNIE")</f>
        <v>HARROCHE ANNIE</v>
      </c>
      <c r="AD1383" s="38"/>
      <c r="AE1383" s="39"/>
      <c r="AF1383" s="40"/>
      <c r="AG1383" s="41"/>
      <c r="AH1383" s="32"/>
      <c r="AI1383" s="32"/>
      <c r="AL1383" s="32"/>
      <c r="AM1383" s="32"/>
      <c r="AN1383" s="32"/>
      <c r="AO1383" s="32"/>
      <c r="AP1383" s="32"/>
      <c r="AQ1383" s="32"/>
      <c r="AR1383" s="32"/>
      <c r="AS1383" s="32"/>
      <c r="AT1383" s="32"/>
      <c r="AU1383" s="32"/>
      <c r="XEY1383" s="27"/>
      <c r="XEZ1383" s="27"/>
      <c r="XFA1383" s="27"/>
      <c r="XFB1383" s="27"/>
      <c r="XFC1383" s="27"/>
      <c r="XFD1383" s="27"/>
    </row>
    <row r="1384" s="42" customFormat="true" ht="14.15" hidden="false" customHeight="true" outlineLevel="0" collapsed="false">
      <c r="A1384" s="28" t="s">
        <v>8022</v>
      </c>
      <c r="B1384" s="29" t="s">
        <v>450</v>
      </c>
      <c r="C1384" s="29" t="s">
        <v>8023</v>
      </c>
      <c r="D1384" s="30" t="s">
        <v>112</v>
      </c>
      <c r="E1384" s="31"/>
      <c r="F1384" s="32" t="n">
        <v>47</v>
      </c>
      <c r="G1384" s="31"/>
      <c r="H1384" s="31" t="n">
        <v>1</v>
      </c>
      <c r="I1384" s="31" t="s">
        <v>51</v>
      </c>
      <c r="J1384" s="29" t="s">
        <v>52</v>
      </c>
      <c r="K1384" s="29" t="s">
        <v>53</v>
      </c>
      <c r="L1384" s="32" t="n">
        <v>149</v>
      </c>
      <c r="M1384" s="33" t="s">
        <v>54</v>
      </c>
      <c r="N1384" s="34" t="n">
        <v>75015</v>
      </c>
      <c r="O1384" s="35" t="s">
        <v>55</v>
      </c>
      <c r="P1384" s="36" t="s">
        <v>1807</v>
      </c>
      <c r="Q1384" s="36" t="n">
        <v>236</v>
      </c>
      <c r="R1384" s="32" t="n">
        <v>134</v>
      </c>
      <c r="S1384" s="32" t="n">
        <v>1</v>
      </c>
      <c r="T1384" s="32"/>
      <c r="U1384" s="32"/>
      <c r="V1384" s="37"/>
      <c r="W1384" s="32"/>
      <c r="X1384" s="34"/>
      <c r="Y1384" s="34"/>
      <c r="Z1384" s="32"/>
      <c r="AA1384" s="32" t="s">
        <v>8024</v>
      </c>
      <c r="AB1384" s="32"/>
      <c r="AC1384" s="38" t="str">
        <f aca="false">HYPERLINK("https://biocodex6--c.vf.force.com/0014L00000KFS1gQAH", "PIGNEUR ARNAUD BENEDICTE")</f>
        <v>PIGNEUR ARNAUD BENEDICTE</v>
      </c>
      <c r="AD1384" s="38"/>
      <c r="AE1384" s="39"/>
      <c r="AF1384" s="40"/>
      <c r="AG1384" s="41"/>
      <c r="AH1384" s="32"/>
      <c r="AI1384" s="32"/>
      <c r="AJ1384" s="42" t="s">
        <v>1809</v>
      </c>
      <c r="AL1384" s="32"/>
      <c r="AM1384" s="32"/>
      <c r="AN1384" s="32"/>
      <c r="AO1384" s="32"/>
      <c r="AP1384" s="32"/>
      <c r="AQ1384" s="32"/>
      <c r="AR1384" s="32"/>
      <c r="AS1384" s="32"/>
      <c r="AT1384" s="32"/>
      <c r="AU1384" s="32"/>
      <c r="XEY1384" s="27"/>
      <c r="XEZ1384" s="27"/>
      <c r="XFA1384" s="27"/>
      <c r="XFB1384" s="27"/>
      <c r="XFC1384" s="27"/>
      <c r="XFD1384" s="27"/>
    </row>
    <row r="1385" s="42" customFormat="true" ht="14.15" hidden="false" customHeight="true" outlineLevel="0" collapsed="false">
      <c r="A1385" s="28" t="s">
        <v>8025</v>
      </c>
      <c r="B1385" s="29" t="s">
        <v>1932</v>
      </c>
      <c r="C1385" s="29" t="s">
        <v>8026</v>
      </c>
      <c r="D1385" s="30" t="s">
        <v>112</v>
      </c>
      <c r="E1385" s="31"/>
      <c r="F1385" s="32" t="n">
        <v>69</v>
      </c>
      <c r="G1385" s="31"/>
      <c r="H1385" s="31" t="n">
        <v>1</v>
      </c>
      <c r="I1385" s="31" t="s">
        <v>51</v>
      </c>
      <c r="J1385" s="29" t="s">
        <v>52</v>
      </c>
      <c r="K1385" s="29" t="s">
        <v>53</v>
      </c>
      <c r="L1385" s="32" t="n">
        <v>149</v>
      </c>
      <c r="M1385" s="33" t="s">
        <v>54</v>
      </c>
      <c r="N1385" s="34" t="n">
        <v>75015</v>
      </c>
      <c r="O1385" s="35" t="s">
        <v>55</v>
      </c>
      <c r="P1385" s="36" t="s">
        <v>687</v>
      </c>
      <c r="Q1385" s="36" t="n">
        <v>236</v>
      </c>
      <c r="R1385" s="32" t="n">
        <v>134</v>
      </c>
      <c r="S1385" s="32" t="n">
        <v>1</v>
      </c>
      <c r="T1385" s="32"/>
      <c r="U1385" s="32"/>
      <c r="V1385" s="37"/>
      <c r="W1385" s="32"/>
      <c r="X1385" s="34"/>
      <c r="Y1385" s="34"/>
      <c r="Z1385" s="32"/>
      <c r="AA1385" s="32" t="s">
        <v>8027</v>
      </c>
      <c r="AB1385" s="32"/>
      <c r="AC1385" s="38" t="str">
        <f aca="false">HYPERLINK("https://biocodex6--c.vf.force.com/0014L00000KG491QAD", "VALDES LYDIA")</f>
        <v>VALDES LYDIA</v>
      </c>
      <c r="AD1385" s="38"/>
      <c r="AE1385" s="39"/>
      <c r="AF1385" s="40"/>
      <c r="AG1385" s="41"/>
      <c r="AH1385" s="32"/>
      <c r="AI1385" s="32"/>
      <c r="AL1385" s="32"/>
      <c r="AM1385" s="32"/>
      <c r="AN1385" s="32"/>
      <c r="AO1385" s="32"/>
      <c r="AP1385" s="32"/>
      <c r="AQ1385" s="32"/>
      <c r="AR1385" s="32"/>
      <c r="AS1385" s="32"/>
      <c r="AT1385" s="32"/>
      <c r="AU1385" s="32"/>
      <c r="XEY1385" s="27"/>
      <c r="XEZ1385" s="27"/>
      <c r="XFA1385" s="27"/>
      <c r="XFB1385" s="27"/>
      <c r="XFC1385" s="27"/>
      <c r="XFD1385" s="27"/>
    </row>
    <row r="1386" s="42" customFormat="true" ht="14.15" hidden="false" customHeight="true" outlineLevel="0" collapsed="false">
      <c r="A1386" s="28" t="s">
        <v>8028</v>
      </c>
      <c r="B1386" s="29" t="s">
        <v>117</v>
      </c>
      <c r="C1386" s="29" t="s">
        <v>8029</v>
      </c>
      <c r="D1386" s="30" t="s">
        <v>112</v>
      </c>
      <c r="E1386" s="31"/>
      <c r="F1386" s="32" t="n">
        <v>72</v>
      </c>
      <c r="G1386" s="31"/>
      <c r="H1386" s="31" t="n">
        <v>2</v>
      </c>
      <c r="I1386" s="31" t="s">
        <v>51</v>
      </c>
      <c r="J1386" s="29" t="s">
        <v>52</v>
      </c>
      <c r="K1386" s="29" t="s">
        <v>53</v>
      </c>
      <c r="L1386" s="32" t="n">
        <v>36</v>
      </c>
      <c r="M1386" s="33" t="s">
        <v>1450</v>
      </c>
      <c r="N1386" s="34" t="n">
        <v>75015</v>
      </c>
      <c r="O1386" s="35" t="s">
        <v>55</v>
      </c>
      <c r="P1386" s="36" t="s">
        <v>8030</v>
      </c>
      <c r="Q1386" s="36" t="n">
        <v>1</v>
      </c>
      <c r="R1386" s="32" t="n">
        <v>134</v>
      </c>
      <c r="S1386" s="32" t="n">
        <v>1</v>
      </c>
      <c r="T1386" s="32"/>
      <c r="U1386" s="32"/>
      <c r="V1386" s="37"/>
      <c r="W1386" s="32"/>
      <c r="X1386" s="34"/>
      <c r="Y1386" s="34"/>
      <c r="Z1386" s="32"/>
      <c r="AA1386" s="32" t="s">
        <v>8031</v>
      </c>
      <c r="AB1386" s="32"/>
      <c r="AC1386" s="38" t="str">
        <f aca="false">HYPERLINK("https://biocodex6--c.vf.force.com/0014L00000KFZR6QAP", "DEBRAY DOMINIQUE")</f>
        <v>DEBRAY DOMINIQUE</v>
      </c>
      <c r="AD1386" s="38"/>
      <c r="AE1386" s="39"/>
      <c r="AF1386" s="40"/>
      <c r="AG1386" s="41"/>
      <c r="AH1386" s="32"/>
      <c r="AI1386" s="32"/>
      <c r="AL1386" s="32"/>
      <c r="AM1386" s="32"/>
      <c r="AN1386" s="32"/>
      <c r="AO1386" s="32"/>
      <c r="AP1386" s="32"/>
      <c r="AQ1386" s="32"/>
      <c r="AR1386" s="32"/>
      <c r="AS1386" s="32"/>
      <c r="AT1386" s="32"/>
      <c r="AU1386" s="32"/>
      <c r="XEY1386" s="27"/>
      <c r="XEZ1386" s="27"/>
      <c r="XFA1386" s="27"/>
      <c r="XFB1386" s="27"/>
      <c r="XFC1386" s="27"/>
      <c r="XFD1386" s="27"/>
    </row>
    <row r="1387" s="42" customFormat="true" ht="14.15" hidden="false" customHeight="true" outlineLevel="0" collapsed="false">
      <c r="A1387" s="28" t="s">
        <v>8028</v>
      </c>
      <c r="B1387" s="29" t="s">
        <v>117</v>
      </c>
      <c r="C1387" s="29" t="s">
        <v>8029</v>
      </c>
      <c r="D1387" s="30" t="s">
        <v>75</v>
      </c>
      <c r="E1387" s="31"/>
      <c r="F1387" s="32" t="n">
        <v>72</v>
      </c>
      <c r="G1387" s="31"/>
      <c r="H1387" s="31" t="n">
        <v>2</v>
      </c>
      <c r="I1387" s="31" t="s">
        <v>435</v>
      </c>
      <c r="J1387" s="29"/>
      <c r="K1387" s="29" t="s">
        <v>8032</v>
      </c>
      <c r="L1387" s="32" t="n">
        <v>36</v>
      </c>
      <c r="M1387" s="33" t="s">
        <v>1450</v>
      </c>
      <c r="N1387" s="34" t="n">
        <v>75016</v>
      </c>
      <c r="O1387" s="35" t="s">
        <v>55</v>
      </c>
      <c r="P1387" s="36" t="s">
        <v>8033</v>
      </c>
      <c r="Q1387" s="36" t="n">
        <v>1</v>
      </c>
      <c r="R1387" s="32" t="n">
        <v>134</v>
      </c>
      <c r="S1387" s="32" t="n">
        <v>1</v>
      </c>
      <c r="T1387" s="32"/>
      <c r="U1387" s="32"/>
      <c r="V1387" s="37"/>
      <c r="W1387" s="32"/>
      <c r="X1387" s="34"/>
      <c r="Y1387" s="34"/>
      <c r="Z1387" s="36"/>
      <c r="AA1387" s="32" t="s">
        <v>8031</v>
      </c>
      <c r="AB1387" s="32"/>
      <c r="AC1387" s="38" t="str">
        <f aca="false">HYPERLINK("https://biocodex6--c.vf.force.com/0014L00000KFZR6QAP", "DEBRAY DOMINIQUE")</f>
        <v>DEBRAY DOMINIQUE</v>
      </c>
      <c r="AD1387" s="38"/>
      <c r="AE1387" s="39"/>
      <c r="AF1387" s="40"/>
      <c r="AG1387" s="41"/>
      <c r="AH1387" s="32" t="s">
        <v>179</v>
      </c>
      <c r="AI1387" s="32"/>
      <c r="AL1387" s="32"/>
      <c r="AM1387" s="32"/>
      <c r="AN1387" s="32"/>
      <c r="AO1387" s="32"/>
      <c r="AP1387" s="32"/>
      <c r="AQ1387" s="32"/>
      <c r="AR1387" s="32"/>
      <c r="AS1387" s="32"/>
      <c r="AT1387" s="32"/>
      <c r="AU1387" s="32"/>
      <c r="XEY1387" s="27"/>
      <c r="XEZ1387" s="27"/>
      <c r="XFA1387" s="27"/>
      <c r="XFB1387" s="27"/>
      <c r="XFC1387" s="27"/>
      <c r="XFD1387" s="27"/>
    </row>
    <row r="1388" s="42" customFormat="true" ht="14.15" hidden="false" customHeight="true" outlineLevel="0" collapsed="false">
      <c r="A1388" s="28" t="s">
        <v>8034</v>
      </c>
      <c r="B1388" s="29" t="s">
        <v>3255</v>
      </c>
      <c r="C1388" s="29" t="s">
        <v>8035</v>
      </c>
      <c r="D1388" s="30" t="s">
        <v>75</v>
      </c>
      <c r="E1388" s="31"/>
      <c r="F1388" s="32" t="n">
        <v>68</v>
      </c>
      <c r="G1388" s="31"/>
      <c r="H1388" s="31" t="n">
        <v>1</v>
      </c>
      <c r="I1388" s="31" t="s">
        <v>233</v>
      </c>
      <c r="J1388" s="29"/>
      <c r="K1388" s="29" t="s">
        <v>8036</v>
      </c>
      <c r="L1388" s="32" t="n">
        <v>136</v>
      </c>
      <c r="M1388" s="33" t="s">
        <v>588</v>
      </c>
      <c r="N1388" s="34" t="n">
        <v>75015</v>
      </c>
      <c r="O1388" s="35" t="s">
        <v>55</v>
      </c>
      <c r="P1388" s="36"/>
      <c r="Q1388" s="36" t="n">
        <v>3</v>
      </c>
      <c r="R1388" s="32" t="n">
        <v>134</v>
      </c>
      <c r="S1388" s="32" t="n">
        <v>1</v>
      </c>
      <c r="T1388" s="32"/>
      <c r="U1388" s="32"/>
      <c r="V1388" s="37"/>
      <c r="W1388" s="32"/>
      <c r="X1388" s="34"/>
      <c r="Y1388" s="34"/>
      <c r="Z1388" s="36"/>
      <c r="AA1388" s="32" t="s">
        <v>8037</v>
      </c>
      <c r="AB1388" s="32"/>
      <c r="AC1388" s="38" t="str">
        <f aca="false">HYPERLINK("https://biocodex6--c.vf.force.com/0014L00000KG1utQAD", "SOUDAN DENIS")</f>
        <v>SOUDAN DENIS</v>
      </c>
      <c r="AD1388" s="38"/>
      <c r="AE1388" s="39"/>
      <c r="AF1388" s="40"/>
      <c r="AG1388" s="41"/>
      <c r="AH1388" s="32" t="s">
        <v>179</v>
      </c>
      <c r="AI1388" s="32"/>
      <c r="AL1388" s="32"/>
      <c r="AM1388" s="32"/>
      <c r="AN1388" s="32"/>
      <c r="AO1388" s="32"/>
      <c r="AP1388" s="32"/>
      <c r="AQ1388" s="32"/>
      <c r="AR1388" s="32"/>
      <c r="AS1388" s="32"/>
      <c r="AT1388" s="32"/>
      <c r="AU1388" s="32"/>
      <c r="XEY1388" s="27"/>
      <c r="XEZ1388" s="27"/>
      <c r="XFA1388" s="27"/>
      <c r="XFB1388" s="27"/>
      <c r="XFC1388" s="27"/>
      <c r="XFD1388" s="27"/>
    </row>
    <row r="1389" s="42" customFormat="true" ht="14.15" hidden="false" customHeight="true" outlineLevel="0" collapsed="false">
      <c r="A1389" s="28" t="s">
        <v>8038</v>
      </c>
      <c r="B1389" s="29" t="s">
        <v>170</v>
      </c>
      <c r="C1389" s="29" t="s">
        <v>8039</v>
      </c>
      <c r="D1389" s="30" t="s">
        <v>112</v>
      </c>
      <c r="E1389" s="30" t="s">
        <v>1709</v>
      </c>
      <c r="F1389" s="32" t="n">
        <v>69</v>
      </c>
      <c r="G1389" s="31"/>
      <c r="H1389" s="31" t="n">
        <v>1</v>
      </c>
      <c r="I1389" s="31" t="s">
        <v>295</v>
      </c>
      <c r="J1389" s="29" t="s">
        <v>489</v>
      </c>
      <c r="K1389" s="29" t="s">
        <v>490</v>
      </c>
      <c r="L1389" s="32" t="n">
        <v>3</v>
      </c>
      <c r="M1389" s="33" t="s">
        <v>491</v>
      </c>
      <c r="N1389" s="34" t="n">
        <v>92300</v>
      </c>
      <c r="O1389" s="35" t="s">
        <v>298</v>
      </c>
      <c r="P1389" s="36" t="s">
        <v>4756</v>
      </c>
      <c r="Q1389" s="36" t="n">
        <v>26</v>
      </c>
      <c r="R1389" s="32" t="n">
        <v>134</v>
      </c>
      <c r="S1389" s="32" t="n">
        <v>1</v>
      </c>
      <c r="T1389" s="32"/>
      <c r="U1389" s="32"/>
      <c r="V1389" s="37"/>
      <c r="W1389" s="32"/>
      <c r="X1389" s="34"/>
      <c r="Y1389" s="34"/>
      <c r="Z1389" s="32"/>
      <c r="AA1389" s="32" t="s">
        <v>8040</v>
      </c>
      <c r="AB1389" s="32"/>
      <c r="AC1389" s="38" t="str">
        <f aca="false">HYPERLINK("https://biocodex6--c.vf.force.com/0014L00000KFZ32QAH", "DE CHILLAZ CAROLE")</f>
        <v>DE CHILLAZ CAROLE</v>
      </c>
      <c r="AD1389" s="38"/>
      <c r="AE1389" s="39"/>
      <c r="AF1389" s="40"/>
      <c r="AG1389" s="41"/>
      <c r="AH1389" s="32"/>
      <c r="AI1389" s="32"/>
      <c r="AL1389" s="32"/>
      <c r="AM1389" s="32"/>
      <c r="AN1389" s="32"/>
      <c r="AO1389" s="32"/>
      <c r="AP1389" s="32"/>
      <c r="AQ1389" s="32"/>
      <c r="AR1389" s="32"/>
      <c r="AS1389" s="32"/>
      <c r="AT1389" s="32"/>
      <c r="AU1389" s="32"/>
      <c r="XEY1389" s="27"/>
      <c r="XEZ1389" s="27"/>
      <c r="XFA1389" s="27"/>
      <c r="XFB1389" s="27"/>
      <c r="XFC1389" s="27"/>
      <c r="XFD1389" s="27"/>
    </row>
    <row r="1390" s="42" customFormat="true" ht="14.15" hidden="false" customHeight="true" outlineLevel="0" collapsed="false">
      <c r="A1390" s="28" t="s">
        <v>8041</v>
      </c>
      <c r="B1390" s="29" t="s">
        <v>2589</v>
      </c>
      <c r="C1390" s="29" t="s">
        <v>8042</v>
      </c>
      <c r="D1390" s="30" t="s">
        <v>112</v>
      </c>
      <c r="E1390" s="31"/>
      <c r="F1390" s="32" t="n">
        <v>41</v>
      </c>
      <c r="G1390" s="31"/>
      <c r="H1390" s="31" t="n">
        <v>1</v>
      </c>
      <c r="I1390" s="31" t="s">
        <v>295</v>
      </c>
      <c r="J1390" s="29" t="s">
        <v>489</v>
      </c>
      <c r="K1390" s="29" t="s">
        <v>1183</v>
      </c>
      <c r="L1390" s="32" t="n">
        <v>4</v>
      </c>
      <c r="M1390" s="33" t="s">
        <v>297</v>
      </c>
      <c r="N1390" s="34" t="n">
        <v>92300</v>
      </c>
      <c r="O1390" s="35" t="s">
        <v>298</v>
      </c>
      <c r="P1390" s="36" t="s">
        <v>1184</v>
      </c>
      <c r="Q1390" s="36" t="n">
        <v>27</v>
      </c>
      <c r="R1390" s="32" t="n">
        <v>134</v>
      </c>
      <c r="S1390" s="32" t="n">
        <v>1</v>
      </c>
      <c r="T1390" s="32"/>
      <c r="U1390" s="32"/>
      <c r="V1390" s="37"/>
      <c r="W1390" s="32"/>
      <c r="X1390" s="34"/>
      <c r="Y1390" s="34"/>
      <c r="Z1390" s="36"/>
      <c r="AA1390" s="32" t="s">
        <v>8043</v>
      </c>
      <c r="AB1390" s="32"/>
      <c r="AC1390" s="38" t="str">
        <f aca="false">HYPERLINK("https://biocodex6--c.vf.force.com/0014L00000KG2B9QAL", "SISSAOUI SAMIRA")</f>
        <v>SISSAOUI SAMIRA</v>
      </c>
      <c r="AD1390" s="38"/>
      <c r="AE1390" s="39"/>
      <c r="AF1390" s="40"/>
      <c r="AG1390" s="41"/>
      <c r="AH1390" s="32" t="s">
        <v>179</v>
      </c>
      <c r="AI1390" s="32"/>
      <c r="AL1390" s="32"/>
      <c r="AM1390" s="32"/>
      <c r="AN1390" s="32"/>
      <c r="AO1390" s="32"/>
      <c r="AP1390" s="32"/>
      <c r="AQ1390" s="32"/>
      <c r="AR1390" s="32"/>
      <c r="AS1390" s="32"/>
      <c r="AT1390" s="32"/>
      <c r="AU1390" s="32"/>
      <c r="XEY1390" s="27"/>
      <c r="XEZ1390" s="27"/>
      <c r="XFA1390" s="27"/>
      <c r="XFB1390" s="27"/>
      <c r="XFC1390" s="27"/>
      <c r="XFD1390" s="27"/>
    </row>
    <row r="1391" s="42" customFormat="true" ht="14.15" hidden="false" customHeight="true" outlineLevel="0" collapsed="false">
      <c r="A1391" s="28" t="s">
        <v>8044</v>
      </c>
      <c r="B1391" s="29" t="s">
        <v>8045</v>
      </c>
      <c r="C1391" s="29" t="s">
        <v>8046</v>
      </c>
      <c r="D1391" s="30" t="s">
        <v>75</v>
      </c>
      <c r="E1391" s="31"/>
      <c r="F1391" s="32" t="n">
        <v>0</v>
      </c>
      <c r="G1391" s="31"/>
      <c r="H1391" s="31" t="n">
        <v>1</v>
      </c>
      <c r="I1391" s="31" t="s">
        <v>99</v>
      </c>
      <c r="J1391" s="29" t="s">
        <v>595</v>
      </c>
      <c r="K1391" s="29" t="s">
        <v>596</v>
      </c>
      <c r="L1391" s="32" t="n">
        <v>20</v>
      </c>
      <c r="M1391" s="33" t="s">
        <v>597</v>
      </c>
      <c r="N1391" s="34" t="n">
        <v>75015</v>
      </c>
      <c r="O1391" s="35" t="s">
        <v>55</v>
      </c>
      <c r="P1391" s="36" t="s">
        <v>2251</v>
      </c>
      <c r="Q1391" s="36" t="n">
        <v>90</v>
      </c>
      <c r="R1391" s="32" t="n">
        <v>133</v>
      </c>
      <c r="S1391" s="32" t="n">
        <v>1</v>
      </c>
      <c r="T1391" s="32"/>
      <c r="U1391" s="32"/>
      <c r="V1391" s="37"/>
      <c r="W1391" s="32"/>
      <c r="X1391" s="34"/>
      <c r="Y1391" s="34"/>
      <c r="Z1391" s="36"/>
      <c r="AA1391" s="32" t="s">
        <v>8047</v>
      </c>
      <c r="AB1391" s="32"/>
      <c r="AC1391" s="38" t="str">
        <f aca="false">HYPERLINK("https://biocodex6--c.vf.force.com/0014L00000KGGqwQAH", "AIT AHMED INSAF")</f>
        <v>AIT AHMED INSAF</v>
      </c>
      <c r="AD1391" s="38"/>
      <c r="AE1391" s="39"/>
      <c r="AF1391" s="40"/>
      <c r="AG1391" s="41"/>
      <c r="AH1391" s="32" t="s">
        <v>179</v>
      </c>
      <c r="AI1391" s="32"/>
      <c r="AL1391" s="32"/>
      <c r="AM1391" s="32"/>
      <c r="AN1391" s="32"/>
      <c r="AO1391" s="32"/>
      <c r="AP1391" s="32"/>
      <c r="AQ1391" s="32"/>
      <c r="AR1391" s="32"/>
      <c r="AS1391" s="32"/>
      <c r="AT1391" s="32"/>
      <c r="AU1391" s="32"/>
      <c r="XEY1391" s="27"/>
      <c r="XEZ1391" s="27"/>
      <c r="XFA1391" s="27"/>
      <c r="XFB1391" s="27"/>
      <c r="XFC1391" s="27"/>
      <c r="XFD1391" s="27"/>
    </row>
    <row r="1392" s="42" customFormat="true" ht="14.15" hidden="false" customHeight="true" outlineLevel="0" collapsed="false">
      <c r="A1392" s="28" t="s">
        <v>8048</v>
      </c>
      <c r="B1392" s="29" t="s">
        <v>2633</v>
      </c>
      <c r="C1392" s="29" t="s">
        <v>8049</v>
      </c>
      <c r="D1392" s="30" t="s">
        <v>112</v>
      </c>
      <c r="E1392" s="30" t="s">
        <v>1709</v>
      </c>
      <c r="F1392" s="32" t="n">
        <v>48</v>
      </c>
      <c r="G1392" s="31"/>
      <c r="H1392" s="31" t="n">
        <v>1</v>
      </c>
      <c r="I1392" s="31" t="s">
        <v>51</v>
      </c>
      <c r="J1392" s="29" t="s">
        <v>52</v>
      </c>
      <c r="K1392" s="29" t="s">
        <v>53</v>
      </c>
      <c r="L1392" s="32" t="n">
        <v>149</v>
      </c>
      <c r="M1392" s="33" t="s">
        <v>54</v>
      </c>
      <c r="N1392" s="34" t="n">
        <v>75015</v>
      </c>
      <c r="O1392" s="35" t="s">
        <v>55</v>
      </c>
      <c r="P1392" s="36" t="s">
        <v>4640</v>
      </c>
      <c r="Q1392" s="36" t="n">
        <v>236</v>
      </c>
      <c r="R1392" s="32" t="n">
        <v>133</v>
      </c>
      <c r="S1392" s="32" t="n">
        <v>1</v>
      </c>
      <c r="T1392" s="32"/>
      <c r="U1392" s="32"/>
      <c r="V1392" s="37"/>
      <c r="W1392" s="32"/>
      <c r="X1392" s="34"/>
      <c r="Y1392" s="34"/>
      <c r="Z1392" s="32"/>
      <c r="AA1392" s="32" t="s">
        <v>8050</v>
      </c>
      <c r="AB1392" s="32"/>
      <c r="AC1392" s="38" t="str">
        <f aca="false">HYPERLINK("https://biocodex6--c.vf.force.com/0014L00000KFi6zQAD", "QUETIN FREDERIQUE")</f>
        <v>QUETIN FREDERIQUE</v>
      </c>
      <c r="AD1392" s="38"/>
      <c r="AE1392" s="39"/>
      <c r="AF1392" s="40"/>
      <c r="AG1392" s="41"/>
      <c r="AH1392" s="32"/>
      <c r="AI1392" s="32"/>
      <c r="AL1392" s="32"/>
      <c r="AM1392" s="32"/>
      <c r="AN1392" s="32"/>
      <c r="AO1392" s="32"/>
      <c r="AP1392" s="32"/>
      <c r="AQ1392" s="32"/>
      <c r="AR1392" s="32"/>
      <c r="AS1392" s="32"/>
      <c r="AT1392" s="32"/>
      <c r="AU1392" s="32"/>
      <c r="XEY1392" s="27"/>
      <c r="XEZ1392" s="27"/>
      <c r="XFA1392" s="27"/>
      <c r="XFB1392" s="27"/>
      <c r="XFC1392" s="27"/>
      <c r="XFD1392" s="27"/>
    </row>
    <row r="1393" s="42" customFormat="true" ht="14.15" hidden="false" customHeight="true" outlineLevel="0" collapsed="false">
      <c r="A1393" s="28" t="s">
        <v>8051</v>
      </c>
      <c r="B1393" s="29" t="s">
        <v>117</v>
      </c>
      <c r="C1393" s="29" t="s">
        <v>8052</v>
      </c>
      <c r="D1393" s="30" t="s">
        <v>244</v>
      </c>
      <c r="E1393" s="30" t="s">
        <v>741</v>
      </c>
      <c r="F1393" s="32" t="n">
        <v>69</v>
      </c>
      <c r="G1393" s="31" t="s">
        <v>215</v>
      </c>
      <c r="H1393" s="31" t="n">
        <v>1</v>
      </c>
      <c r="I1393" s="46" t="s">
        <v>435</v>
      </c>
      <c r="J1393" s="29"/>
      <c r="K1393" s="29" t="s">
        <v>8053</v>
      </c>
      <c r="L1393" s="32" t="n">
        <v>14</v>
      </c>
      <c r="M1393" s="33" t="s">
        <v>2312</v>
      </c>
      <c r="N1393" s="34" t="n">
        <v>75016</v>
      </c>
      <c r="O1393" s="35" t="s">
        <v>55</v>
      </c>
      <c r="P1393" s="36" t="s">
        <v>8054</v>
      </c>
      <c r="Q1393" s="36" t="n">
        <v>3</v>
      </c>
      <c r="R1393" s="32" t="n">
        <v>133</v>
      </c>
      <c r="S1393" s="32" t="n">
        <v>1</v>
      </c>
      <c r="T1393" s="32"/>
      <c r="U1393" s="32"/>
      <c r="V1393" s="37" t="n">
        <v>3</v>
      </c>
      <c r="W1393" s="32"/>
      <c r="X1393" s="34"/>
      <c r="Y1393" s="34"/>
      <c r="Z1393" s="32" t="s">
        <v>8055</v>
      </c>
      <c r="AA1393" s="32" t="s">
        <v>8056</v>
      </c>
      <c r="AB1393" s="32" t="s">
        <v>8057</v>
      </c>
      <c r="AC1393" s="38" t="str">
        <f aca="false">HYPERLINK("https://biocodex6--c.vf.force.com/0014L00000KFQ4DQAX", "AKNIN DOMINIQUE")</f>
        <v>AKNIN DOMINIQUE</v>
      </c>
      <c r="AD1393" s="38" t="str">
        <f aca="false">HYPERLINK("https://annuairesante.ameli.fr/professionnels-de-sante/recherche/fiche-detaillee-B7c1kjozNDa1.html", "AKNIN DOMINIQUE")</f>
        <v>AKNIN DOMINIQUE</v>
      </c>
      <c r="AE1393" s="39" t="n">
        <v>45440.5</v>
      </c>
      <c r="AF1393" s="40"/>
      <c r="AG1393" s="41"/>
      <c r="AH1393" s="32"/>
      <c r="AI1393" s="32"/>
      <c r="AL1393" s="32"/>
      <c r="AM1393" s="32"/>
      <c r="AN1393" s="32"/>
      <c r="AO1393" s="32"/>
      <c r="AP1393" s="32"/>
      <c r="AQ1393" s="32"/>
      <c r="AR1393" s="32"/>
      <c r="AS1393" s="32"/>
      <c r="AT1393" s="32"/>
      <c r="AU1393" s="32"/>
      <c r="XEY1393" s="27"/>
      <c r="XEZ1393" s="27"/>
      <c r="XFA1393" s="27"/>
      <c r="XFB1393" s="27"/>
      <c r="XFC1393" s="27"/>
      <c r="XFD1393" s="27"/>
    </row>
    <row r="1394" s="42" customFormat="true" ht="14.15" hidden="false" customHeight="true" outlineLevel="0" collapsed="false">
      <c r="A1394" s="28" t="s">
        <v>8058</v>
      </c>
      <c r="B1394" s="29" t="s">
        <v>8059</v>
      </c>
      <c r="C1394" s="29" t="s">
        <v>8060</v>
      </c>
      <c r="D1394" s="30" t="s">
        <v>50</v>
      </c>
      <c r="E1394" s="30" t="s">
        <v>112</v>
      </c>
      <c r="F1394" s="32" t="n">
        <v>62</v>
      </c>
      <c r="G1394" s="31" t="s">
        <v>98</v>
      </c>
      <c r="H1394" s="31" t="n">
        <v>3</v>
      </c>
      <c r="I1394" s="31" t="s">
        <v>62</v>
      </c>
      <c r="J1394" s="29"/>
      <c r="K1394" s="29" t="s">
        <v>8061</v>
      </c>
      <c r="L1394" s="32" t="n">
        <v>9</v>
      </c>
      <c r="M1394" s="33" t="s">
        <v>8062</v>
      </c>
      <c r="N1394" s="34" t="n">
        <v>75017</v>
      </c>
      <c r="O1394" s="35" t="s">
        <v>55</v>
      </c>
      <c r="P1394" s="36" t="s">
        <v>8063</v>
      </c>
      <c r="Q1394" s="36" t="n">
        <v>1</v>
      </c>
      <c r="R1394" s="32" t="n">
        <v>133</v>
      </c>
      <c r="S1394" s="32" t="n">
        <v>1</v>
      </c>
      <c r="T1394" s="32"/>
      <c r="U1394" s="32"/>
      <c r="V1394" s="37"/>
      <c r="W1394" s="32"/>
      <c r="X1394" s="34"/>
      <c r="Y1394" s="34"/>
      <c r="Z1394" s="36"/>
      <c r="AA1394" s="32" t="s">
        <v>8064</v>
      </c>
      <c r="AB1394" s="32" t="s">
        <v>8065</v>
      </c>
      <c r="AC1394" s="38" t="str">
        <f aca="false">HYPERLINK("https://biocodex6--c.vf.force.com/0014L00000KG14sQAD", "SEBBAN SYDNEY")</f>
        <v>SEBBAN SYDNEY</v>
      </c>
      <c r="AD1394" s="38" t="str">
        <f aca="false">HYPERLINK("https://annuairesante.ameli.fr/professionnels-de-sante/recherche/fiche-detaillee-B7c1lzcyNDG7.html", "SEBBAN SYDNEY")</f>
        <v>SEBBAN SYDNEY</v>
      </c>
      <c r="AE1394" s="39"/>
      <c r="AF1394" s="40"/>
      <c r="AG1394" s="41"/>
      <c r="AH1394" s="32" t="s">
        <v>179</v>
      </c>
      <c r="AI1394" s="32"/>
      <c r="AL1394" s="32"/>
      <c r="AM1394" s="32"/>
      <c r="AN1394" s="32"/>
      <c r="AO1394" s="32"/>
      <c r="AP1394" s="32"/>
      <c r="AQ1394" s="32"/>
      <c r="AR1394" s="32"/>
      <c r="AS1394" s="32"/>
      <c r="AT1394" s="32"/>
      <c r="AU1394" s="32"/>
      <c r="XEY1394" s="27"/>
      <c r="XEZ1394" s="27"/>
      <c r="XFA1394" s="27"/>
      <c r="XFB1394" s="27"/>
      <c r="XFC1394" s="27"/>
      <c r="XFD1394" s="27"/>
    </row>
    <row r="1395" s="42" customFormat="true" ht="14.15" hidden="false" customHeight="true" outlineLevel="0" collapsed="false">
      <c r="A1395" s="28" t="s">
        <v>8066</v>
      </c>
      <c r="B1395" s="29" t="s">
        <v>8067</v>
      </c>
      <c r="C1395" s="29" t="s">
        <v>8068</v>
      </c>
      <c r="D1395" s="30" t="s">
        <v>244</v>
      </c>
      <c r="E1395" s="30" t="s">
        <v>245</v>
      </c>
      <c r="F1395" s="32" t="n">
        <v>52</v>
      </c>
      <c r="G1395" s="31" t="s">
        <v>98</v>
      </c>
      <c r="H1395" s="31" t="n">
        <v>1</v>
      </c>
      <c r="I1395" s="31" t="s">
        <v>62</v>
      </c>
      <c r="J1395" s="29" t="s">
        <v>8069</v>
      </c>
      <c r="K1395" s="29" t="s">
        <v>8070</v>
      </c>
      <c r="L1395" s="32" t="n">
        <v>96</v>
      </c>
      <c r="M1395" s="33" t="s">
        <v>64</v>
      </c>
      <c r="N1395" s="34" t="n">
        <v>75017</v>
      </c>
      <c r="O1395" s="35" t="s">
        <v>55</v>
      </c>
      <c r="P1395" s="36" t="s">
        <v>8071</v>
      </c>
      <c r="Q1395" s="36" t="n">
        <v>2</v>
      </c>
      <c r="R1395" s="32" t="n">
        <v>131</v>
      </c>
      <c r="S1395" s="32" t="n">
        <v>1</v>
      </c>
      <c r="T1395" s="32"/>
      <c r="U1395" s="32"/>
      <c r="V1395" s="37"/>
      <c r="W1395" s="32"/>
      <c r="X1395" s="34"/>
      <c r="Y1395" s="34"/>
      <c r="Z1395" s="32"/>
      <c r="AA1395" s="32" t="s">
        <v>8072</v>
      </c>
      <c r="AB1395" s="32" t="s">
        <v>8073</v>
      </c>
      <c r="AC1395" s="38" t="str">
        <f aca="false">HYPERLINK("https://biocodex6--c.vf.force.com/0014L00000KFKGRQA5", "FERRETTI CATERINA")</f>
        <v>FERRETTI CATERINA</v>
      </c>
      <c r="AD1395" s="38" t="str">
        <f aca="false">HYPERLINK("https://annuairesante.ameli.fr/professionnels-de-sante/recherche/fiche-detaillee-B7c1lTEyNTS7.html", "FERRETTI CATERINA")</f>
        <v>FERRETTI CATERINA</v>
      </c>
      <c r="AE1395" s="39" t="n">
        <v>45313.5416666667</v>
      </c>
      <c r="AF1395" s="40"/>
      <c r="AG1395" s="41" t="s">
        <v>69</v>
      </c>
      <c r="AH1395" s="32" t="s">
        <v>70</v>
      </c>
      <c r="AI1395" s="32"/>
      <c r="AL1395" s="32"/>
      <c r="AM1395" s="32"/>
      <c r="AN1395" s="32"/>
      <c r="AO1395" s="32"/>
      <c r="AP1395" s="32"/>
      <c r="AQ1395" s="32"/>
      <c r="AR1395" s="32"/>
      <c r="AS1395" s="32"/>
      <c r="AT1395" s="32"/>
      <c r="AU1395" s="32"/>
      <c r="XEY1395" s="27"/>
      <c r="XEZ1395" s="27"/>
      <c r="XFA1395" s="27"/>
      <c r="XFB1395" s="27"/>
      <c r="XFC1395" s="27"/>
      <c r="XFD1395" s="27"/>
    </row>
    <row r="1396" s="42" customFormat="true" ht="14.15" hidden="false" customHeight="true" outlineLevel="0" collapsed="false">
      <c r="A1396" s="28" t="s">
        <v>8074</v>
      </c>
      <c r="B1396" s="29" t="s">
        <v>8075</v>
      </c>
      <c r="C1396" s="29" t="s">
        <v>8076</v>
      </c>
      <c r="D1396" s="30" t="s">
        <v>244</v>
      </c>
      <c r="E1396" s="30" t="s">
        <v>1602</v>
      </c>
      <c r="F1396" s="32" t="n">
        <v>0</v>
      </c>
      <c r="G1396" s="31" t="s">
        <v>215</v>
      </c>
      <c r="H1396" s="31" t="n">
        <v>3</v>
      </c>
      <c r="I1396" s="31" t="s">
        <v>119</v>
      </c>
      <c r="J1396" s="29" t="s">
        <v>3456</v>
      </c>
      <c r="K1396" s="29" t="s">
        <v>3457</v>
      </c>
      <c r="L1396" s="32" t="n">
        <v>2</v>
      </c>
      <c r="M1396" s="33" t="s">
        <v>3458</v>
      </c>
      <c r="N1396" s="34" t="n">
        <v>75007</v>
      </c>
      <c r="O1396" s="35" t="s">
        <v>55</v>
      </c>
      <c r="P1396" s="36" t="s">
        <v>8077</v>
      </c>
      <c r="Q1396" s="36" t="n">
        <v>5</v>
      </c>
      <c r="R1396" s="32" t="n">
        <v>131</v>
      </c>
      <c r="S1396" s="32" t="n">
        <v>1</v>
      </c>
      <c r="T1396" s="32"/>
      <c r="U1396" s="32"/>
      <c r="V1396" s="37"/>
      <c r="W1396" s="32"/>
      <c r="X1396" s="34"/>
      <c r="Y1396" s="34"/>
      <c r="Z1396" s="36"/>
      <c r="AA1396" s="32" t="s">
        <v>8078</v>
      </c>
      <c r="AB1396" s="32" t="s">
        <v>8079</v>
      </c>
      <c r="AC1396" s="38" t="str">
        <f aca="false">HYPERLINK("https://biocodex6--c.vf.force.com/0014L00000KFieGQAT", "KANE AMINATA")</f>
        <v>KANE AMINATA</v>
      </c>
      <c r="AD1396" s="38" t="str">
        <f aca="false">HYPERLINK("https://annuairesante.ameli.fr/professionnels-de-sante/recherche/fiche-detaillee-B7c1mzY5NzK2.html", "KANE AMINATA")</f>
        <v>KANE AMINATA</v>
      </c>
      <c r="AE1396" s="39"/>
      <c r="AF1396" s="40"/>
      <c r="AG1396" s="41"/>
      <c r="AH1396" s="32" t="s">
        <v>179</v>
      </c>
      <c r="AI1396" s="32"/>
      <c r="AL1396" s="32"/>
      <c r="AM1396" s="32"/>
      <c r="AN1396" s="32"/>
      <c r="AO1396" s="32"/>
      <c r="AP1396" s="32"/>
      <c r="AQ1396" s="32"/>
      <c r="AR1396" s="32"/>
      <c r="AS1396" s="32"/>
      <c r="AT1396" s="32"/>
      <c r="AU1396" s="32"/>
      <c r="XEY1396" s="27"/>
      <c r="XEZ1396" s="27"/>
      <c r="XFA1396" s="27"/>
      <c r="XFB1396" s="27"/>
      <c r="XFC1396" s="27"/>
      <c r="XFD1396" s="27"/>
    </row>
    <row r="1397" s="42" customFormat="true" ht="14.15" hidden="false" customHeight="true" outlineLevel="0" collapsed="false">
      <c r="A1397" s="53" t="s">
        <v>8080</v>
      </c>
      <c r="B1397" s="49" t="s">
        <v>612</v>
      </c>
      <c r="C1397" s="49" t="s">
        <v>8081</v>
      </c>
      <c r="D1397" s="30" t="s">
        <v>244</v>
      </c>
      <c r="E1397" s="30" t="s">
        <v>245</v>
      </c>
      <c r="F1397" s="32" t="n">
        <v>77</v>
      </c>
      <c r="G1397" s="30" t="s">
        <v>215</v>
      </c>
      <c r="H1397" s="30" t="n">
        <v>1</v>
      </c>
      <c r="I1397" s="30" t="s">
        <v>119</v>
      </c>
      <c r="J1397" s="29"/>
      <c r="K1397" s="29" t="s">
        <v>8082</v>
      </c>
      <c r="L1397" s="32" t="n">
        <v>193</v>
      </c>
      <c r="M1397" s="33" t="s">
        <v>3450</v>
      </c>
      <c r="N1397" s="34" t="n">
        <v>75007</v>
      </c>
      <c r="O1397" s="35" t="s">
        <v>55</v>
      </c>
      <c r="P1397" s="36" t="s">
        <v>8083</v>
      </c>
      <c r="Q1397" s="36" t="n">
        <v>1</v>
      </c>
      <c r="R1397" s="32" t="n">
        <v>130</v>
      </c>
      <c r="S1397" s="32" t="n">
        <v>1</v>
      </c>
      <c r="T1397" s="32"/>
      <c r="U1397" s="32" t="n">
        <v>3</v>
      </c>
      <c r="V1397" s="37"/>
      <c r="W1397" s="32" t="n">
        <v>3</v>
      </c>
      <c r="X1397" s="34"/>
      <c r="Y1397" s="34" t="n">
        <v>2</v>
      </c>
      <c r="Z1397" s="32"/>
      <c r="AA1397" s="32" t="s">
        <v>8084</v>
      </c>
      <c r="AB1397" s="44" t="s">
        <v>8085</v>
      </c>
      <c r="AC1397" s="38" t="str">
        <f aca="false">HYPERLINK("https://biocodex6--c.vf.force.com/0014L00000KFpolQAD", "WARNIEZ CORINNE")</f>
        <v>WARNIEZ CORINNE</v>
      </c>
      <c r="AD1397" s="38" t="str">
        <f aca="false">HYPERLINK("https://annuairesante.ameli.fr/professionnels-de-sante/recherche/fiche-detaillee-B7c1ljI0OTG1.html", "WARNIEZ CORINNE")</f>
        <v>WARNIEZ CORINNE</v>
      </c>
      <c r="AE1397" s="39" t="n">
        <v>45344.4583333333</v>
      </c>
      <c r="AF1397" s="40" t="s">
        <v>8086</v>
      </c>
      <c r="AG1397" s="41" t="s">
        <v>69</v>
      </c>
      <c r="AH1397" s="32" t="s">
        <v>70</v>
      </c>
      <c r="AI1397" s="32"/>
      <c r="AL1397" s="32"/>
      <c r="AM1397" s="32"/>
      <c r="AN1397" s="32"/>
      <c r="AO1397" s="32"/>
      <c r="AP1397" s="32"/>
      <c r="AQ1397" s="32"/>
      <c r="AR1397" s="32"/>
      <c r="AS1397" s="32"/>
      <c r="AT1397" s="32"/>
      <c r="AU1397" s="32"/>
      <c r="XEY1397" s="27"/>
      <c r="XEZ1397" s="27"/>
      <c r="XFA1397" s="27"/>
      <c r="XFB1397" s="27"/>
      <c r="XFC1397" s="27"/>
      <c r="XFD1397" s="27"/>
    </row>
    <row r="1398" s="42" customFormat="true" ht="14.15" hidden="false" customHeight="true" outlineLevel="0" collapsed="false">
      <c r="A1398" s="28" t="s">
        <v>8087</v>
      </c>
      <c r="B1398" s="29" t="s">
        <v>8088</v>
      </c>
      <c r="C1398" s="29" t="s">
        <v>8089</v>
      </c>
      <c r="D1398" s="30" t="s">
        <v>112</v>
      </c>
      <c r="E1398" s="31"/>
      <c r="F1398" s="32" t="n">
        <v>39</v>
      </c>
      <c r="G1398" s="31"/>
      <c r="H1398" s="31" t="n">
        <v>1</v>
      </c>
      <c r="I1398" s="31" t="s">
        <v>77</v>
      </c>
      <c r="J1398" s="29" t="s">
        <v>246</v>
      </c>
      <c r="K1398" s="29" t="s">
        <v>247</v>
      </c>
      <c r="L1398" s="32" t="n">
        <v>36</v>
      </c>
      <c r="M1398" s="33" t="s">
        <v>248</v>
      </c>
      <c r="N1398" s="34" t="n">
        <v>92200</v>
      </c>
      <c r="O1398" s="35" t="s">
        <v>81</v>
      </c>
      <c r="P1398" s="36" t="s">
        <v>365</v>
      </c>
      <c r="Q1398" s="36" t="n">
        <v>49</v>
      </c>
      <c r="R1398" s="32" t="n">
        <v>130</v>
      </c>
      <c r="S1398" s="32" t="n">
        <v>1</v>
      </c>
      <c r="T1398" s="32"/>
      <c r="U1398" s="32"/>
      <c r="V1398" s="37"/>
      <c r="W1398" s="32"/>
      <c r="X1398" s="34"/>
      <c r="Y1398" s="34"/>
      <c r="Z1398" s="36"/>
      <c r="AA1398" s="32" t="s">
        <v>8090</v>
      </c>
      <c r="AB1398" s="32"/>
      <c r="AC1398" s="38" t="str">
        <f aca="false">HYPERLINK("https://biocodex6--c.vf.force.com/0014L00000KFrwJQAT", "MAILLARD AMELIE")</f>
        <v>MAILLARD AMELIE</v>
      </c>
      <c r="AD1398" s="38"/>
      <c r="AE1398" s="39"/>
      <c r="AF1398" s="40"/>
      <c r="AG1398" s="41"/>
      <c r="AH1398" s="32" t="s">
        <v>179</v>
      </c>
      <c r="AI1398" s="32"/>
      <c r="AL1398" s="32"/>
      <c r="AM1398" s="32"/>
      <c r="AN1398" s="32"/>
      <c r="AO1398" s="32"/>
      <c r="AP1398" s="32"/>
      <c r="AQ1398" s="32"/>
      <c r="AR1398" s="32"/>
      <c r="AS1398" s="32"/>
      <c r="AT1398" s="32"/>
      <c r="AU1398" s="32"/>
      <c r="XEY1398" s="27"/>
      <c r="XEZ1398" s="27"/>
      <c r="XFA1398" s="27"/>
      <c r="XFB1398" s="27"/>
      <c r="XFC1398" s="27"/>
      <c r="XFD1398" s="27"/>
    </row>
    <row r="1399" s="42" customFormat="true" ht="14.15" hidden="false" customHeight="true" outlineLevel="0" collapsed="false">
      <c r="A1399" s="28" t="s">
        <v>8091</v>
      </c>
      <c r="B1399" s="29" t="s">
        <v>8092</v>
      </c>
      <c r="C1399" s="29" t="s">
        <v>8093</v>
      </c>
      <c r="D1399" s="30" t="s">
        <v>112</v>
      </c>
      <c r="E1399" s="31"/>
      <c r="F1399" s="32" t="n">
        <v>39</v>
      </c>
      <c r="G1399" s="31"/>
      <c r="H1399" s="31" t="n">
        <v>1</v>
      </c>
      <c r="I1399" s="31" t="s">
        <v>77</v>
      </c>
      <c r="J1399" s="29" t="s">
        <v>246</v>
      </c>
      <c r="K1399" s="29" t="s">
        <v>247</v>
      </c>
      <c r="L1399" s="32" t="n">
        <v>36</v>
      </c>
      <c r="M1399" s="33" t="s">
        <v>248</v>
      </c>
      <c r="N1399" s="34" t="n">
        <v>92200</v>
      </c>
      <c r="O1399" s="35" t="s">
        <v>81</v>
      </c>
      <c r="P1399" s="36" t="s">
        <v>365</v>
      </c>
      <c r="Q1399" s="36" t="n">
        <v>49</v>
      </c>
      <c r="R1399" s="32" t="n">
        <v>130</v>
      </c>
      <c r="S1399" s="32" t="n">
        <v>1</v>
      </c>
      <c r="T1399" s="32"/>
      <c r="U1399" s="32"/>
      <c r="V1399" s="37"/>
      <c r="W1399" s="32"/>
      <c r="X1399" s="34"/>
      <c r="Y1399" s="34"/>
      <c r="Z1399" s="32"/>
      <c r="AA1399" s="32" t="s">
        <v>8094</v>
      </c>
      <c r="AB1399" s="32"/>
      <c r="AC1399" s="38" t="str">
        <f aca="false">HYPERLINK("https://biocodex6--c.vf.force.com/0014L00000KFLqyQAH", "DUBRAY LAURELINE")</f>
        <v>DUBRAY LAURELINE</v>
      </c>
      <c r="AD1399" s="38"/>
      <c r="AE1399" s="39"/>
      <c r="AF1399" s="40"/>
      <c r="AG1399" s="41"/>
      <c r="AH1399" s="32"/>
      <c r="AI1399" s="32"/>
      <c r="AL1399" s="32"/>
      <c r="AM1399" s="32"/>
      <c r="AN1399" s="32"/>
      <c r="AO1399" s="32"/>
      <c r="AP1399" s="32"/>
      <c r="AQ1399" s="32"/>
      <c r="AR1399" s="32"/>
      <c r="AS1399" s="32"/>
      <c r="AT1399" s="32"/>
      <c r="AU1399" s="32"/>
      <c r="XEY1399" s="27"/>
      <c r="XEZ1399" s="27"/>
      <c r="XFA1399" s="27"/>
      <c r="XFB1399" s="27"/>
      <c r="XFC1399" s="27"/>
      <c r="XFD1399" s="27"/>
    </row>
    <row r="1400" s="42" customFormat="true" ht="14.15" hidden="false" customHeight="true" outlineLevel="0" collapsed="false">
      <c r="A1400" s="28" t="s">
        <v>8095</v>
      </c>
      <c r="B1400" s="29" t="s">
        <v>2848</v>
      </c>
      <c r="C1400" s="29" t="s">
        <v>8096</v>
      </c>
      <c r="D1400" s="30" t="s">
        <v>244</v>
      </c>
      <c r="E1400" s="31"/>
      <c r="F1400" s="32"/>
      <c r="G1400" s="31"/>
      <c r="H1400" s="31" t="n">
        <v>1</v>
      </c>
      <c r="I1400" s="31" t="s">
        <v>62</v>
      </c>
      <c r="J1400" s="29"/>
      <c r="K1400" s="29" t="s">
        <v>2568</v>
      </c>
      <c r="L1400" s="32" t="n">
        <v>6</v>
      </c>
      <c r="M1400" s="33" t="s">
        <v>833</v>
      </c>
      <c r="N1400" s="34" t="n">
        <v>75017</v>
      </c>
      <c r="O1400" s="35" t="s">
        <v>55</v>
      </c>
      <c r="P1400" s="36" t="s">
        <v>2569</v>
      </c>
      <c r="Q1400" s="36" t="n">
        <v>2</v>
      </c>
      <c r="R1400" s="32" t="n">
        <v>129</v>
      </c>
      <c r="S1400" s="32" t="n">
        <v>1</v>
      </c>
      <c r="T1400" s="32"/>
      <c r="U1400" s="32"/>
      <c r="V1400" s="37"/>
      <c r="W1400" s="32"/>
      <c r="X1400" s="34"/>
      <c r="Y1400" s="34"/>
      <c r="Z1400" s="36"/>
      <c r="AA1400" s="32" t="s">
        <v>8097</v>
      </c>
      <c r="AB1400" s="32"/>
      <c r="AC1400" s="38" t="str">
        <f aca="false">HYPERLINK("https://biocodex6--c.vf.force.com/0014L00000KFUF5QAP", "BEUSTES STEFANELLI MATHIEU")</f>
        <v>BEUSTES STEFANELLI MATHIEU</v>
      </c>
      <c r="AD1400" s="38"/>
      <c r="AE1400" s="39"/>
      <c r="AF1400" s="40"/>
      <c r="AG1400" s="41"/>
      <c r="AH1400" s="32" t="s">
        <v>179</v>
      </c>
      <c r="AI1400" s="32"/>
      <c r="AL1400" s="32"/>
      <c r="AM1400" s="32"/>
      <c r="AN1400" s="32"/>
      <c r="AO1400" s="32"/>
      <c r="AP1400" s="32"/>
      <c r="AQ1400" s="32"/>
      <c r="AR1400" s="32"/>
      <c r="AS1400" s="32"/>
      <c r="AT1400" s="32"/>
      <c r="AU1400" s="32"/>
      <c r="XEY1400" s="27"/>
      <c r="XEZ1400" s="27"/>
      <c r="XFA1400" s="27"/>
      <c r="XFB1400" s="27"/>
      <c r="XFC1400" s="27"/>
      <c r="XFD1400" s="27"/>
    </row>
    <row r="1401" s="42" customFormat="true" ht="14.15" hidden="false" customHeight="true" outlineLevel="0" collapsed="false">
      <c r="A1401" s="28" t="s">
        <v>8098</v>
      </c>
      <c r="B1401" s="29" t="s">
        <v>3248</v>
      </c>
      <c r="C1401" s="29" t="s">
        <v>8099</v>
      </c>
      <c r="D1401" s="30" t="s">
        <v>244</v>
      </c>
      <c r="E1401" s="30" t="s">
        <v>245</v>
      </c>
      <c r="F1401" s="32" t="n">
        <v>69</v>
      </c>
      <c r="G1401" s="31"/>
      <c r="H1401" s="31" t="n">
        <v>1</v>
      </c>
      <c r="I1401" s="31" t="s">
        <v>572</v>
      </c>
      <c r="J1401" s="29" t="s">
        <v>678</v>
      </c>
      <c r="K1401" s="29" t="s">
        <v>679</v>
      </c>
      <c r="L1401" s="32" t="n">
        <v>6</v>
      </c>
      <c r="M1401" s="33" t="s">
        <v>680</v>
      </c>
      <c r="N1401" s="34" t="n">
        <v>75008</v>
      </c>
      <c r="O1401" s="35" t="s">
        <v>55</v>
      </c>
      <c r="P1401" s="36" t="s">
        <v>870</v>
      </c>
      <c r="Q1401" s="36" t="n">
        <v>43</v>
      </c>
      <c r="R1401" s="32" t="n">
        <v>127</v>
      </c>
      <c r="S1401" s="32" t="n">
        <v>1</v>
      </c>
      <c r="T1401" s="32"/>
      <c r="U1401" s="32"/>
      <c r="V1401" s="37"/>
      <c r="W1401" s="32"/>
      <c r="X1401" s="34"/>
      <c r="Y1401" s="34"/>
      <c r="Z1401" s="36" t="s">
        <v>8100</v>
      </c>
      <c r="AA1401" s="32" t="s">
        <v>8101</v>
      </c>
      <c r="AB1401" s="32"/>
      <c r="AC1401" s="38" t="str">
        <f aca="false">HYPERLINK("https://biocodex6--c.vf.force.com/0014L00000KFwrgQAD", "POUPARD DE FRANCESCHI MARIE PIERRE")</f>
        <v>POUPARD DE FRANCESCHI MARIE PIERRE</v>
      </c>
      <c r="AD1401" s="38"/>
      <c r="AE1401" s="39"/>
      <c r="AF1401" s="40"/>
      <c r="AG1401" s="41"/>
      <c r="AH1401" s="32" t="s">
        <v>179</v>
      </c>
      <c r="AI1401" s="32"/>
      <c r="AL1401" s="32"/>
      <c r="AM1401" s="32"/>
      <c r="AN1401" s="32"/>
      <c r="AO1401" s="32"/>
      <c r="AP1401" s="32"/>
      <c r="AQ1401" s="32"/>
      <c r="AR1401" s="32"/>
      <c r="AS1401" s="32"/>
      <c r="AT1401" s="32"/>
      <c r="AU1401" s="32"/>
      <c r="XEY1401" s="27"/>
      <c r="XEZ1401" s="27"/>
      <c r="XFA1401" s="27"/>
      <c r="XFB1401" s="27"/>
      <c r="XFC1401" s="27"/>
      <c r="XFD1401" s="27"/>
    </row>
    <row r="1402" s="42" customFormat="true" ht="14.15" hidden="false" customHeight="true" outlineLevel="0" collapsed="false">
      <c r="A1402" s="28" t="s">
        <v>8102</v>
      </c>
      <c r="B1402" s="29" t="s">
        <v>1460</v>
      </c>
      <c r="C1402" s="29" t="s">
        <v>8103</v>
      </c>
      <c r="D1402" s="30" t="s">
        <v>112</v>
      </c>
      <c r="E1402" s="31"/>
      <c r="F1402" s="32" t="n">
        <v>38</v>
      </c>
      <c r="G1402" s="31" t="s">
        <v>215</v>
      </c>
      <c r="H1402" s="31" t="n">
        <v>2</v>
      </c>
      <c r="I1402" s="31" t="s">
        <v>99</v>
      </c>
      <c r="J1402" s="29"/>
      <c r="K1402" s="29" t="s">
        <v>3415</v>
      </c>
      <c r="L1402" s="32" t="n">
        <v>7</v>
      </c>
      <c r="M1402" s="33" t="s">
        <v>3416</v>
      </c>
      <c r="N1402" s="34" t="n">
        <v>75015</v>
      </c>
      <c r="O1402" s="35" t="s">
        <v>55</v>
      </c>
      <c r="P1402" s="36" t="s">
        <v>8104</v>
      </c>
      <c r="Q1402" s="36" t="n">
        <v>4</v>
      </c>
      <c r="R1402" s="32" t="n">
        <v>125</v>
      </c>
      <c r="S1402" s="32" t="n">
        <v>1</v>
      </c>
      <c r="T1402" s="32"/>
      <c r="U1402" s="32"/>
      <c r="V1402" s="37"/>
      <c r="W1402" s="32"/>
      <c r="X1402" s="34"/>
      <c r="Y1402" s="34"/>
      <c r="Z1402" s="36"/>
      <c r="AA1402" s="32" t="s">
        <v>8105</v>
      </c>
      <c r="AB1402" s="32" t="s">
        <v>8106</v>
      </c>
      <c r="AC1402" s="38" t="str">
        <f aca="false">HYPERLINK("https://biocodex6--c.vf.force.com/0014L00000KFMDOQA5", "MERCKX AUDREY")</f>
        <v>MERCKX AUDREY</v>
      </c>
      <c r="AD1402" s="38" t="str">
        <f aca="false">HYPERLINK("https://annuairesante.ameli.fr/professionnels-de-sante/recherche/fiche-detaillee-B7c1mjA4OTq1.html", "MERCKX AUDREY")</f>
        <v>MERCKX AUDREY</v>
      </c>
      <c r="AE1402" s="39" t="n">
        <v>45205.6458333333</v>
      </c>
      <c r="AF1402" s="40"/>
      <c r="AG1402" s="41"/>
      <c r="AH1402" s="32" t="s">
        <v>179</v>
      </c>
      <c r="AI1402" s="32"/>
      <c r="AL1402" s="32"/>
      <c r="AM1402" s="32"/>
      <c r="AN1402" s="32"/>
      <c r="AO1402" s="32"/>
      <c r="AP1402" s="32"/>
      <c r="AQ1402" s="32"/>
      <c r="AR1402" s="32"/>
      <c r="AS1402" s="32"/>
      <c r="AT1402" s="32"/>
      <c r="AU1402" s="32"/>
      <c r="XEY1402" s="27"/>
      <c r="XEZ1402" s="27"/>
      <c r="XFA1402" s="27"/>
      <c r="XFB1402" s="27"/>
      <c r="XFC1402" s="27"/>
      <c r="XFD1402" s="27"/>
    </row>
    <row r="1403" s="42" customFormat="true" ht="14.15" hidden="false" customHeight="true" outlineLevel="0" collapsed="false">
      <c r="A1403" s="28" t="s">
        <v>8107</v>
      </c>
      <c r="B1403" s="29" t="s">
        <v>3615</v>
      </c>
      <c r="C1403" s="29" t="s">
        <v>8108</v>
      </c>
      <c r="D1403" s="30" t="s">
        <v>244</v>
      </c>
      <c r="E1403" s="30" t="s">
        <v>245</v>
      </c>
      <c r="F1403" s="32" t="n">
        <v>46</v>
      </c>
      <c r="G1403" s="31" t="s">
        <v>215</v>
      </c>
      <c r="H1403" s="31" t="n">
        <v>1</v>
      </c>
      <c r="I1403" s="31" t="s">
        <v>119</v>
      </c>
      <c r="J1403" s="29"/>
      <c r="K1403" s="29" t="s">
        <v>8109</v>
      </c>
      <c r="L1403" s="32" t="n">
        <v>8</v>
      </c>
      <c r="M1403" s="33" t="s">
        <v>8110</v>
      </c>
      <c r="N1403" s="34" t="n">
        <v>75007</v>
      </c>
      <c r="O1403" s="35" t="s">
        <v>55</v>
      </c>
      <c r="P1403" s="36" t="s">
        <v>8111</v>
      </c>
      <c r="Q1403" s="36" t="n">
        <v>1</v>
      </c>
      <c r="R1403" s="32" t="n">
        <v>125</v>
      </c>
      <c r="S1403" s="32" t="n">
        <v>1</v>
      </c>
      <c r="T1403" s="32"/>
      <c r="U1403" s="32"/>
      <c r="V1403" s="37"/>
      <c r="W1403" s="32"/>
      <c r="X1403" s="34"/>
      <c r="Y1403" s="34"/>
      <c r="Z1403" s="36"/>
      <c r="AA1403" s="32" t="s">
        <v>8112</v>
      </c>
      <c r="AB1403" s="32" t="s">
        <v>8113</v>
      </c>
      <c r="AC1403" s="38" t="str">
        <f aca="false">HYPERLINK("https://biocodex6--c.vf.force.com/0014L00000KFqnMQAT", "MALARET JEAN MARIE")</f>
        <v>MALARET JEAN MARIE</v>
      </c>
      <c r="AD1403" s="38" t="str">
        <f aca="false">HYPERLINK("https://annuairesante.ameli.fr/professionnels-de-sante/recherche/fiche-detaillee-B7c1lTMyNjW6.html", "MALARET JEAN MARIE")</f>
        <v>MALARET JEAN MARIE</v>
      </c>
      <c r="AE1403" s="39"/>
      <c r="AF1403" s="40"/>
      <c r="AG1403" s="41"/>
      <c r="AH1403" s="32" t="s">
        <v>179</v>
      </c>
      <c r="AI1403" s="32"/>
      <c r="AL1403" s="32"/>
      <c r="AM1403" s="43" t="s">
        <v>137</v>
      </c>
      <c r="AN1403" s="32"/>
      <c r="AO1403" s="43" t="s">
        <v>137</v>
      </c>
      <c r="AP1403" s="32"/>
      <c r="AQ1403" s="43" t="s">
        <v>137</v>
      </c>
      <c r="AR1403" s="43" t="s">
        <v>657</v>
      </c>
      <c r="AS1403" s="32"/>
      <c r="AT1403" s="43" t="s">
        <v>657</v>
      </c>
      <c r="AU1403" s="32"/>
      <c r="XEY1403" s="27"/>
      <c r="XEZ1403" s="27"/>
      <c r="XFA1403" s="27"/>
      <c r="XFB1403" s="27"/>
      <c r="XFC1403" s="27"/>
      <c r="XFD1403" s="27"/>
    </row>
    <row r="1404" s="42" customFormat="true" ht="14.15" hidden="false" customHeight="true" outlineLevel="0" collapsed="false">
      <c r="A1404" s="28" t="s">
        <v>8114</v>
      </c>
      <c r="B1404" s="29" t="s">
        <v>1928</v>
      </c>
      <c r="C1404" s="29" t="s">
        <v>8115</v>
      </c>
      <c r="D1404" s="30" t="s">
        <v>50</v>
      </c>
      <c r="E1404" s="31"/>
      <c r="F1404" s="32" t="n">
        <v>34</v>
      </c>
      <c r="G1404" s="31" t="s">
        <v>98</v>
      </c>
      <c r="H1404" s="31" t="n">
        <v>1</v>
      </c>
      <c r="I1404" s="31" t="s">
        <v>119</v>
      </c>
      <c r="J1404" s="29"/>
      <c r="K1404" s="29" t="s">
        <v>4591</v>
      </c>
      <c r="L1404" s="32" t="n">
        <v>36</v>
      </c>
      <c r="M1404" s="33" t="s">
        <v>1769</v>
      </c>
      <c r="N1404" s="34" t="n">
        <v>75007</v>
      </c>
      <c r="O1404" s="35" t="s">
        <v>55</v>
      </c>
      <c r="P1404" s="36" t="s">
        <v>5672</v>
      </c>
      <c r="Q1404" s="36" t="n">
        <v>3</v>
      </c>
      <c r="R1404" s="32" t="n">
        <v>125</v>
      </c>
      <c r="S1404" s="32" t="n">
        <v>1</v>
      </c>
      <c r="T1404" s="32"/>
      <c r="U1404" s="32"/>
      <c r="V1404" s="37"/>
      <c r="W1404" s="32"/>
      <c r="X1404" s="34"/>
      <c r="Y1404" s="34"/>
      <c r="Z1404" s="36"/>
      <c r="AA1404" s="32" t="s">
        <v>8116</v>
      </c>
      <c r="AB1404" s="32" t="s">
        <v>8117</v>
      </c>
      <c r="AC1404" s="38" t="str">
        <f aca="false">HYPERLINK("https://biocodex6--c.vf.force.com/0014L00000KGC4iQAH", "AL FASSIH MATHILDE")</f>
        <v>AL FASSIH MATHILDE</v>
      </c>
      <c r="AD1404" s="38" t="str">
        <f aca="false">HYPERLINK("https://annuairesante.ameli.fr/professionnels-de-sante/recherche/fiche-detaillee-B7c1kzI3OTu6.html", "AL FASSIH MATHILDE")</f>
        <v>AL FASSIH MATHILDE</v>
      </c>
      <c r="AE1404" s="39"/>
      <c r="AF1404" s="40"/>
      <c r="AG1404" s="41"/>
      <c r="AH1404" s="32" t="s">
        <v>179</v>
      </c>
      <c r="AI1404" s="32"/>
      <c r="AL1404" s="32"/>
      <c r="AM1404" s="32"/>
      <c r="AN1404" s="43" t="s">
        <v>8118</v>
      </c>
      <c r="AO1404" s="43" t="s">
        <v>965</v>
      </c>
      <c r="AP1404" s="32"/>
      <c r="AQ1404" s="32"/>
      <c r="AR1404" s="32"/>
      <c r="AS1404" s="32"/>
      <c r="AT1404" s="43" t="s">
        <v>8119</v>
      </c>
      <c r="AU1404" s="43" t="s">
        <v>965</v>
      </c>
      <c r="XEY1404" s="27"/>
      <c r="XEZ1404" s="27"/>
      <c r="XFA1404" s="27"/>
      <c r="XFB1404" s="27"/>
      <c r="XFC1404" s="27"/>
      <c r="XFD1404" s="27"/>
    </row>
    <row r="1405" s="42" customFormat="true" ht="14.15" hidden="false" customHeight="true" outlineLevel="0" collapsed="false">
      <c r="A1405" s="28" t="s">
        <v>8120</v>
      </c>
      <c r="B1405" s="29" t="s">
        <v>376</v>
      </c>
      <c r="C1405" s="29" t="s">
        <v>8121</v>
      </c>
      <c r="D1405" s="30" t="s">
        <v>50</v>
      </c>
      <c r="E1405" s="30" t="s">
        <v>776</v>
      </c>
      <c r="F1405" s="32" t="n">
        <v>65</v>
      </c>
      <c r="G1405" s="31"/>
      <c r="H1405" s="31" t="n">
        <v>1</v>
      </c>
      <c r="I1405" s="31" t="s">
        <v>119</v>
      </c>
      <c r="J1405" s="29"/>
      <c r="K1405" s="29" t="s">
        <v>1220</v>
      </c>
      <c r="L1405" s="32" t="n">
        <v>199</v>
      </c>
      <c r="M1405" s="33" t="s">
        <v>1221</v>
      </c>
      <c r="N1405" s="34" t="n">
        <v>75007</v>
      </c>
      <c r="O1405" s="35" t="s">
        <v>55</v>
      </c>
      <c r="P1405" s="36" t="s">
        <v>1222</v>
      </c>
      <c r="Q1405" s="36" t="n">
        <v>4</v>
      </c>
      <c r="R1405" s="32" t="n">
        <v>125</v>
      </c>
      <c r="S1405" s="32" t="n">
        <v>1</v>
      </c>
      <c r="T1405" s="32"/>
      <c r="U1405" s="32"/>
      <c r="V1405" s="37"/>
      <c r="W1405" s="32"/>
      <c r="X1405" s="34"/>
      <c r="Y1405" s="34"/>
      <c r="Z1405" s="36"/>
      <c r="AA1405" s="32" t="s">
        <v>8122</v>
      </c>
      <c r="AB1405" s="32"/>
      <c r="AC1405" s="38" t="str">
        <f aca="false">HYPERLINK("https://biocodex6--c.vf.force.com/0014L00000KFrTsQAL", "MERLO ALEXANDRE")</f>
        <v>MERLO ALEXANDRE</v>
      </c>
      <c r="AD1405" s="38"/>
      <c r="AE1405" s="39"/>
      <c r="AF1405" s="40"/>
      <c r="AG1405" s="41"/>
      <c r="AH1405" s="32" t="s">
        <v>179</v>
      </c>
      <c r="AI1405" s="32"/>
      <c r="AL1405" s="32"/>
      <c r="AM1405" s="32"/>
      <c r="AN1405" s="32"/>
      <c r="AO1405" s="32"/>
      <c r="AP1405" s="32"/>
      <c r="AQ1405" s="32"/>
      <c r="AR1405" s="32"/>
      <c r="AS1405" s="32"/>
      <c r="AT1405" s="32"/>
      <c r="AU1405" s="32"/>
      <c r="XEY1405" s="27"/>
      <c r="XEZ1405" s="27"/>
      <c r="XFA1405" s="27"/>
      <c r="XFB1405" s="27"/>
      <c r="XFC1405" s="27"/>
      <c r="XFD1405" s="27"/>
    </row>
    <row r="1406" s="42" customFormat="true" ht="14.15" hidden="false" customHeight="true" outlineLevel="0" collapsed="false">
      <c r="A1406" s="28" t="s">
        <v>8123</v>
      </c>
      <c r="B1406" s="29" t="s">
        <v>1396</v>
      </c>
      <c r="C1406" s="29" t="s">
        <v>8124</v>
      </c>
      <c r="D1406" s="30" t="s">
        <v>112</v>
      </c>
      <c r="E1406" s="31"/>
      <c r="F1406" s="32" t="n">
        <v>35</v>
      </c>
      <c r="G1406" s="31"/>
      <c r="H1406" s="31" t="n">
        <v>1</v>
      </c>
      <c r="I1406" s="31" t="s">
        <v>51</v>
      </c>
      <c r="J1406" s="29" t="s">
        <v>52</v>
      </c>
      <c r="K1406" s="29" t="s">
        <v>53</v>
      </c>
      <c r="L1406" s="32" t="n">
        <v>149</v>
      </c>
      <c r="M1406" s="33" t="s">
        <v>54</v>
      </c>
      <c r="N1406" s="34" t="n">
        <v>75015</v>
      </c>
      <c r="O1406" s="35" t="s">
        <v>55</v>
      </c>
      <c r="P1406" s="36" t="s">
        <v>933</v>
      </c>
      <c r="Q1406" s="36" t="n">
        <v>236</v>
      </c>
      <c r="R1406" s="32" t="n">
        <v>125</v>
      </c>
      <c r="S1406" s="32" t="n">
        <v>1</v>
      </c>
      <c r="T1406" s="32"/>
      <c r="U1406" s="32"/>
      <c r="V1406" s="37"/>
      <c r="W1406" s="32"/>
      <c r="X1406" s="34"/>
      <c r="Y1406" s="34"/>
      <c r="Z1406" s="36"/>
      <c r="AA1406" s="32" t="s">
        <v>8125</v>
      </c>
      <c r="AB1406" s="32"/>
      <c r="AC1406" s="38" t="str">
        <f aca="false">HYPERLINK("https://biocodex6--c.vf.force.com/0014L00000KG98MQAT", "BERTHAUD ROMAIN")</f>
        <v>BERTHAUD ROMAIN</v>
      </c>
      <c r="AD1406" s="38"/>
      <c r="AE1406" s="39"/>
      <c r="AF1406" s="40"/>
      <c r="AG1406" s="41"/>
      <c r="AH1406" s="32" t="s">
        <v>179</v>
      </c>
      <c r="AI1406" s="32"/>
      <c r="AL1406" s="32"/>
      <c r="AM1406" s="32"/>
      <c r="AN1406" s="32"/>
      <c r="AO1406" s="32"/>
      <c r="AP1406" s="32"/>
      <c r="AQ1406" s="32"/>
      <c r="AR1406" s="32"/>
      <c r="AS1406" s="32"/>
      <c r="AT1406" s="32"/>
      <c r="AU1406" s="32"/>
      <c r="XEY1406" s="27"/>
      <c r="XEZ1406" s="27"/>
      <c r="XFA1406" s="27"/>
      <c r="XFB1406" s="27"/>
      <c r="XFC1406" s="27"/>
      <c r="XFD1406" s="27"/>
    </row>
    <row r="1407" s="42" customFormat="true" ht="14.15" hidden="false" customHeight="true" outlineLevel="0" collapsed="false">
      <c r="A1407" s="28" t="s">
        <v>8126</v>
      </c>
      <c r="B1407" s="29" t="s">
        <v>3697</v>
      </c>
      <c r="C1407" s="29" t="s">
        <v>8127</v>
      </c>
      <c r="D1407" s="30" t="s">
        <v>112</v>
      </c>
      <c r="E1407" s="31"/>
      <c r="F1407" s="32" t="n">
        <v>38</v>
      </c>
      <c r="G1407" s="31"/>
      <c r="H1407" s="31" t="n">
        <v>1</v>
      </c>
      <c r="I1407" s="31" t="s">
        <v>51</v>
      </c>
      <c r="J1407" s="29" t="s">
        <v>52</v>
      </c>
      <c r="K1407" s="29" t="s">
        <v>53</v>
      </c>
      <c r="L1407" s="32" t="n">
        <v>149</v>
      </c>
      <c r="M1407" s="33" t="s">
        <v>54</v>
      </c>
      <c r="N1407" s="34" t="n">
        <v>75015</v>
      </c>
      <c r="O1407" s="35" t="s">
        <v>55</v>
      </c>
      <c r="P1407" s="36" t="s">
        <v>885</v>
      </c>
      <c r="Q1407" s="36" t="n">
        <v>236</v>
      </c>
      <c r="R1407" s="32" t="n">
        <v>125</v>
      </c>
      <c r="S1407" s="32" t="n">
        <v>1</v>
      </c>
      <c r="T1407" s="32"/>
      <c r="U1407" s="32"/>
      <c r="V1407" s="37"/>
      <c r="W1407" s="32"/>
      <c r="X1407" s="34"/>
      <c r="Y1407" s="34"/>
      <c r="Z1407" s="36"/>
      <c r="AA1407" s="32" t="s">
        <v>8128</v>
      </c>
      <c r="AB1407" s="32"/>
      <c r="AC1407" s="38" t="str">
        <f aca="false">HYPERLINK("https://biocodex6--c.vf.force.com/0014L00000KFLamQAH", "BESANCON ALIX")</f>
        <v>BESANCON ALIX</v>
      </c>
      <c r="AD1407" s="38"/>
      <c r="AE1407" s="39"/>
      <c r="AF1407" s="40"/>
      <c r="AG1407" s="41"/>
      <c r="AH1407" s="32" t="s">
        <v>179</v>
      </c>
      <c r="AI1407" s="32"/>
      <c r="AL1407" s="32"/>
      <c r="AM1407" s="32"/>
      <c r="AN1407" s="32"/>
      <c r="AO1407" s="32"/>
      <c r="AP1407" s="32"/>
      <c r="AQ1407" s="32"/>
      <c r="AR1407" s="32"/>
      <c r="AS1407" s="32"/>
      <c r="AT1407" s="32"/>
      <c r="AU1407" s="32"/>
      <c r="XEY1407" s="27"/>
      <c r="XEZ1407" s="27"/>
      <c r="XFA1407" s="27"/>
      <c r="XFB1407" s="27"/>
      <c r="XFC1407" s="27"/>
      <c r="XFD1407" s="27"/>
    </row>
    <row r="1408" s="42" customFormat="true" ht="14.15" hidden="false" customHeight="true" outlineLevel="0" collapsed="false">
      <c r="A1408" s="28" t="s">
        <v>8129</v>
      </c>
      <c r="B1408" s="29" t="s">
        <v>8130</v>
      </c>
      <c r="C1408" s="29" t="s">
        <v>8131</v>
      </c>
      <c r="D1408" s="30" t="s">
        <v>112</v>
      </c>
      <c r="E1408" s="31"/>
      <c r="F1408" s="32" t="n">
        <v>39</v>
      </c>
      <c r="G1408" s="31"/>
      <c r="H1408" s="31" t="n">
        <v>1</v>
      </c>
      <c r="I1408" s="31" t="s">
        <v>51</v>
      </c>
      <c r="J1408" s="29" t="s">
        <v>52</v>
      </c>
      <c r="K1408" s="29" t="s">
        <v>53</v>
      </c>
      <c r="L1408" s="32" t="n">
        <v>149</v>
      </c>
      <c r="M1408" s="33" t="s">
        <v>54</v>
      </c>
      <c r="N1408" s="34" t="n">
        <v>75015</v>
      </c>
      <c r="O1408" s="35" t="s">
        <v>55</v>
      </c>
      <c r="P1408" s="36" t="s">
        <v>1807</v>
      </c>
      <c r="Q1408" s="36" t="n">
        <v>236</v>
      </c>
      <c r="R1408" s="32" t="n">
        <v>125</v>
      </c>
      <c r="S1408" s="32" t="n">
        <v>1</v>
      </c>
      <c r="T1408" s="32"/>
      <c r="U1408" s="32"/>
      <c r="V1408" s="37"/>
      <c r="W1408" s="32"/>
      <c r="X1408" s="34"/>
      <c r="Y1408" s="34"/>
      <c r="Z1408" s="36"/>
      <c r="AA1408" s="32" t="s">
        <v>8132</v>
      </c>
      <c r="AB1408" s="32"/>
      <c r="AC1408" s="38" t="str">
        <f aca="false">HYPERLINK("https://biocodex6--c.vf.force.com/0014L00000KFOWwQAP", "DEMIR ZEYNEP")</f>
        <v>DEMIR ZEYNEP</v>
      </c>
      <c r="AD1408" s="38"/>
      <c r="AE1408" s="39"/>
      <c r="AF1408" s="40"/>
      <c r="AG1408" s="41"/>
      <c r="AH1408" s="32" t="s">
        <v>179</v>
      </c>
      <c r="AI1408" s="32"/>
      <c r="AJ1408" s="42" t="s">
        <v>1809</v>
      </c>
      <c r="AL1408" s="32"/>
      <c r="AM1408" s="32"/>
      <c r="AN1408" s="32"/>
      <c r="AO1408" s="32"/>
      <c r="AP1408" s="32"/>
      <c r="AQ1408" s="32"/>
      <c r="AR1408" s="32"/>
      <c r="AS1408" s="32"/>
      <c r="AT1408" s="32"/>
      <c r="AU1408" s="32"/>
      <c r="XEY1408" s="27"/>
      <c r="XEZ1408" s="27"/>
      <c r="XFA1408" s="27"/>
      <c r="XFB1408" s="27"/>
      <c r="XFC1408" s="27"/>
      <c r="XFD1408" s="27"/>
    </row>
    <row r="1409" s="42" customFormat="true" ht="14.15" hidden="false" customHeight="true" outlineLevel="0" collapsed="false">
      <c r="A1409" s="28" t="s">
        <v>3115</v>
      </c>
      <c r="B1409" s="29" t="s">
        <v>1534</v>
      </c>
      <c r="C1409" s="29" t="s">
        <v>8133</v>
      </c>
      <c r="D1409" s="30" t="s">
        <v>244</v>
      </c>
      <c r="E1409" s="30" t="s">
        <v>245</v>
      </c>
      <c r="F1409" s="32" t="n">
        <v>76</v>
      </c>
      <c r="G1409" s="31" t="s">
        <v>215</v>
      </c>
      <c r="H1409" s="31" t="n">
        <v>3</v>
      </c>
      <c r="I1409" s="31" t="s">
        <v>197</v>
      </c>
      <c r="J1409" s="29"/>
      <c r="K1409" s="29" t="s">
        <v>8134</v>
      </c>
      <c r="L1409" s="32" t="n">
        <v>36</v>
      </c>
      <c r="M1409" s="33" t="s">
        <v>646</v>
      </c>
      <c r="N1409" s="34" t="n">
        <v>75017</v>
      </c>
      <c r="O1409" s="35" t="s">
        <v>55</v>
      </c>
      <c r="P1409" s="36" t="s">
        <v>8135</v>
      </c>
      <c r="Q1409" s="36" t="n">
        <v>1</v>
      </c>
      <c r="R1409" s="32" t="n">
        <v>125</v>
      </c>
      <c r="S1409" s="32" t="n">
        <v>1</v>
      </c>
      <c r="T1409" s="32"/>
      <c r="U1409" s="32"/>
      <c r="V1409" s="37"/>
      <c r="W1409" s="32"/>
      <c r="X1409" s="34"/>
      <c r="Y1409" s="34"/>
      <c r="Z1409" s="36"/>
      <c r="AA1409" s="32" t="s">
        <v>8136</v>
      </c>
      <c r="AB1409" s="32" t="s">
        <v>8137</v>
      </c>
      <c r="AC1409" s="38" t="str">
        <f aca="false">HYPERLINK("https://biocodex6--c.vf.force.com/0014L00000KFoiyQAD", "LUMBROSO GERARD")</f>
        <v>LUMBROSO GERARD</v>
      </c>
      <c r="AD1409" s="38" t="str">
        <f aca="false">HYPERLINK("https://annuairesante.ameli.fr/professionnels-de-sante/recherche/fiche-detaillee-B7c1lTM1Njax.html", "LUMBROSO GERARD")</f>
        <v>LUMBROSO GERARD</v>
      </c>
      <c r="AE1409" s="39"/>
      <c r="AF1409" s="40"/>
      <c r="AG1409" s="41"/>
      <c r="AH1409" s="32" t="s">
        <v>179</v>
      </c>
      <c r="AI1409" s="32"/>
      <c r="AL1409" s="32"/>
      <c r="AM1409" s="32"/>
      <c r="AN1409" s="32"/>
      <c r="AO1409" s="32"/>
      <c r="AP1409" s="32"/>
      <c r="AQ1409" s="32"/>
      <c r="AR1409" s="32"/>
      <c r="AS1409" s="32"/>
      <c r="AT1409" s="32"/>
      <c r="AU1409" s="32"/>
      <c r="XEY1409" s="27"/>
      <c r="XEZ1409" s="27"/>
      <c r="XFA1409" s="27"/>
      <c r="XFB1409" s="27"/>
      <c r="XFC1409" s="27"/>
      <c r="XFD1409" s="27"/>
    </row>
    <row r="1410" s="42" customFormat="true" ht="14.15" hidden="false" customHeight="true" outlineLevel="0" collapsed="false">
      <c r="A1410" s="28" t="s">
        <v>8138</v>
      </c>
      <c r="B1410" s="29" t="s">
        <v>231</v>
      </c>
      <c r="C1410" s="29" t="s">
        <v>8139</v>
      </c>
      <c r="D1410" s="30" t="s">
        <v>244</v>
      </c>
      <c r="E1410" s="30" t="s">
        <v>245</v>
      </c>
      <c r="F1410" s="32" t="n">
        <v>68</v>
      </c>
      <c r="G1410" s="31" t="s">
        <v>215</v>
      </c>
      <c r="H1410" s="31" t="n">
        <v>1</v>
      </c>
      <c r="I1410" s="31" t="s">
        <v>233</v>
      </c>
      <c r="J1410" s="29"/>
      <c r="K1410" s="29" t="s">
        <v>8140</v>
      </c>
      <c r="L1410" s="32" t="n">
        <v>335</v>
      </c>
      <c r="M1410" s="33" t="s">
        <v>852</v>
      </c>
      <c r="N1410" s="34" t="n">
        <v>75015</v>
      </c>
      <c r="O1410" s="35" t="s">
        <v>55</v>
      </c>
      <c r="P1410" s="36" t="s">
        <v>8141</v>
      </c>
      <c r="Q1410" s="36" t="n">
        <v>1</v>
      </c>
      <c r="R1410" s="32" t="n">
        <v>125</v>
      </c>
      <c r="S1410" s="32" t="n">
        <v>1</v>
      </c>
      <c r="T1410" s="32"/>
      <c r="U1410" s="32" t="n">
        <v>3</v>
      </c>
      <c r="V1410" s="37"/>
      <c r="W1410" s="32" t="n">
        <v>3</v>
      </c>
      <c r="X1410" s="34"/>
      <c r="Y1410" s="34" t="n">
        <v>1</v>
      </c>
      <c r="Z1410" s="36" t="s">
        <v>8142</v>
      </c>
      <c r="AA1410" s="32" t="s">
        <v>8143</v>
      </c>
      <c r="AB1410" s="44" t="s">
        <v>8144</v>
      </c>
      <c r="AC1410" s="38" t="str">
        <f aca="false">HYPERLINK("https://biocodex6--c.vf.force.com/0014L00000KFfWgQAL", "GELBERT ANNE")</f>
        <v>GELBERT ANNE</v>
      </c>
      <c r="AD1410" s="38" t="str">
        <f aca="false">HYPERLINK("https://annuairesante.ameli.fr/professionnels-de-sante/recherche/fiche-detaillee-B7c1ljoyNjew.html", "GELBERT ANNE")</f>
        <v>GELBERT ANNE</v>
      </c>
      <c r="AE1410" s="39" t="n">
        <v>45363.5</v>
      </c>
      <c r="AF1410" s="40"/>
      <c r="AG1410" s="41"/>
      <c r="AH1410" s="32" t="s">
        <v>179</v>
      </c>
      <c r="AI1410" s="32"/>
      <c r="AL1410" s="32"/>
      <c r="AM1410" s="32"/>
      <c r="AN1410" s="32"/>
      <c r="AO1410" s="32"/>
      <c r="AP1410" s="32"/>
      <c r="AQ1410" s="32"/>
      <c r="AR1410" s="32"/>
      <c r="AS1410" s="32"/>
      <c r="AT1410" s="32"/>
      <c r="AU1410" s="32"/>
      <c r="XEY1410" s="27"/>
      <c r="XEZ1410" s="27"/>
      <c r="XFA1410" s="27"/>
      <c r="XFB1410" s="27"/>
      <c r="XFC1410" s="27"/>
      <c r="XFD1410" s="27"/>
    </row>
    <row r="1411" s="42" customFormat="true" ht="14.15" hidden="false" customHeight="true" outlineLevel="0" collapsed="false">
      <c r="A1411" s="28" t="s">
        <v>8145</v>
      </c>
      <c r="B1411" s="29" t="s">
        <v>2987</v>
      </c>
      <c r="C1411" s="29" t="s">
        <v>8146</v>
      </c>
      <c r="D1411" s="30" t="s">
        <v>50</v>
      </c>
      <c r="E1411" s="31"/>
      <c r="F1411" s="32" t="n">
        <v>60</v>
      </c>
      <c r="G1411" s="31"/>
      <c r="H1411" s="31" t="n">
        <v>2</v>
      </c>
      <c r="I1411" s="31" t="s">
        <v>295</v>
      </c>
      <c r="J1411" s="29"/>
      <c r="K1411" s="29" t="s">
        <v>3929</v>
      </c>
      <c r="L1411" s="32" t="n">
        <v>22</v>
      </c>
      <c r="M1411" s="33" t="s">
        <v>3930</v>
      </c>
      <c r="N1411" s="34" t="n">
        <v>92300</v>
      </c>
      <c r="O1411" s="35" t="s">
        <v>298</v>
      </c>
      <c r="P1411" s="36" t="s">
        <v>8147</v>
      </c>
      <c r="Q1411" s="36" t="n">
        <v>2</v>
      </c>
      <c r="R1411" s="32" t="n">
        <v>125</v>
      </c>
      <c r="S1411" s="32" t="n">
        <v>1</v>
      </c>
      <c r="T1411" s="32"/>
      <c r="U1411" s="32"/>
      <c r="V1411" s="37"/>
      <c r="W1411" s="32"/>
      <c r="X1411" s="34"/>
      <c r="Y1411" s="34"/>
      <c r="Z1411" s="36"/>
      <c r="AA1411" s="32" t="s">
        <v>8148</v>
      </c>
      <c r="AB1411" s="32"/>
      <c r="AC1411" s="38" t="str">
        <f aca="false">HYPERLINK("https://biocodex6--c.vf.force.com/0014L00000KFyf9QAD", "RIMBAUD THIERRY")</f>
        <v>RIMBAUD THIERRY</v>
      </c>
      <c r="AD1411" s="38"/>
      <c r="AE1411" s="39"/>
      <c r="AF1411" s="40"/>
      <c r="AG1411" s="41"/>
      <c r="AH1411" s="32" t="s">
        <v>179</v>
      </c>
      <c r="AI1411" s="32"/>
      <c r="AL1411" s="32"/>
      <c r="AM1411" s="32"/>
      <c r="AN1411" s="32"/>
      <c r="AO1411" s="32"/>
      <c r="AP1411" s="32"/>
      <c r="AQ1411" s="32"/>
      <c r="AR1411" s="32"/>
      <c r="AS1411" s="32"/>
      <c r="AT1411" s="32"/>
      <c r="AU1411" s="32"/>
      <c r="XEY1411" s="27"/>
      <c r="XEZ1411" s="27"/>
      <c r="XFA1411" s="27"/>
      <c r="XFB1411" s="27"/>
      <c r="XFC1411" s="27"/>
      <c r="XFD1411" s="27"/>
    </row>
    <row r="1412" s="42" customFormat="true" ht="14.15" hidden="false" customHeight="true" outlineLevel="0" collapsed="false">
      <c r="A1412" s="28" t="s">
        <v>8149</v>
      </c>
      <c r="B1412" s="29" t="s">
        <v>8150</v>
      </c>
      <c r="C1412" s="29" t="s">
        <v>8151</v>
      </c>
      <c r="D1412" s="30" t="s">
        <v>244</v>
      </c>
      <c r="E1412" s="31"/>
      <c r="F1412" s="32" t="n">
        <v>75</v>
      </c>
      <c r="G1412" s="31"/>
      <c r="H1412" s="31" t="n">
        <v>1</v>
      </c>
      <c r="I1412" s="31" t="s">
        <v>572</v>
      </c>
      <c r="J1412" s="29"/>
      <c r="K1412" s="29" t="s">
        <v>8152</v>
      </c>
      <c r="L1412" s="32" t="n">
        <v>6</v>
      </c>
      <c r="M1412" s="33" t="s">
        <v>8153</v>
      </c>
      <c r="N1412" s="34" t="n">
        <v>75008</v>
      </c>
      <c r="O1412" s="35" t="s">
        <v>55</v>
      </c>
      <c r="P1412" s="36" t="s">
        <v>8154</v>
      </c>
      <c r="Q1412" s="36" t="n">
        <v>1</v>
      </c>
      <c r="R1412" s="32" t="n">
        <v>124</v>
      </c>
      <c r="S1412" s="32" t="n">
        <v>1</v>
      </c>
      <c r="T1412" s="32"/>
      <c r="U1412" s="32"/>
      <c r="V1412" s="37"/>
      <c r="W1412" s="32"/>
      <c r="X1412" s="34"/>
      <c r="Y1412" s="34"/>
      <c r="Z1412" s="36"/>
      <c r="AA1412" s="32" t="s">
        <v>8155</v>
      </c>
      <c r="AB1412" s="32"/>
      <c r="AC1412" s="38" t="str">
        <f aca="false">HYPERLINK("https://biocodex6--c.vf.force.com/0014L00000KFaOCQA1", "DERREUMAUX BERNARD FRANCOIS")</f>
        <v>DERREUMAUX BERNARD FRANCOIS</v>
      </c>
      <c r="AD1412" s="38"/>
      <c r="AE1412" s="39"/>
      <c r="AF1412" s="40"/>
      <c r="AG1412" s="41"/>
      <c r="AH1412" s="32" t="s">
        <v>179</v>
      </c>
      <c r="AI1412" s="32"/>
      <c r="AL1412" s="32"/>
      <c r="AM1412" s="32"/>
      <c r="AN1412" s="32"/>
      <c r="AO1412" s="32"/>
      <c r="AP1412" s="32"/>
      <c r="AQ1412" s="32"/>
      <c r="AR1412" s="32"/>
      <c r="AS1412" s="32"/>
      <c r="AT1412" s="32"/>
      <c r="AU1412" s="32"/>
      <c r="XEY1412" s="27"/>
      <c r="XEZ1412" s="27"/>
      <c r="XFA1412" s="27"/>
      <c r="XFB1412" s="27"/>
      <c r="XFC1412" s="27"/>
      <c r="XFD1412" s="27"/>
    </row>
    <row r="1413" s="42" customFormat="true" ht="14.15" hidden="false" customHeight="true" outlineLevel="0" collapsed="false">
      <c r="A1413" s="28" t="s">
        <v>8156</v>
      </c>
      <c r="B1413" s="29" t="s">
        <v>8157</v>
      </c>
      <c r="C1413" s="29" t="s">
        <v>8158</v>
      </c>
      <c r="D1413" s="30" t="s">
        <v>244</v>
      </c>
      <c r="E1413" s="31"/>
      <c r="F1413" s="32" t="n">
        <v>0</v>
      </c>
      <c r="G1413" s="31"/>
      <c r="H1413" s="31" t="n">
        <v>1</v>
      </c>
      <c r="I1413" s="31" t="s">
        <v>119</v>
      </c>
      <c r="J1413" s="29"/>
      <c r="K1413" s="29" t="s">
        <v>8159</v>
      </c>
      <c r="L1413" s="32" t="n">
        <v>109</v>
      </c>
      <c r="M1413" s="33" t="s">
        <v>2977</v>
      </c>
      <c r="N1413" s="34" t="n">
        <v>75007</v>
      </c>
      <c r="O1413" s="35" t="s">
        <v>55</v>
      </c>
      <c r="P1413" s="36" t="s">
        <v>8160</v>
      </c>
      <c r="Q1413" s="36" t="n">
        <v>2</v>
      </c>
      <c r="R1413" s="32" t="n">
        <v>124</v>
      </c>
      <c r="S1413" s="32" t="n">
        <v>1</v>
      </c>
      <c r="T1413" s="32"/>
      <c r="U1413" s="32" t="n">
        <v>3</v>
      </c>
      <c r="V1413" s="37"/>
      <c r="W1413" s="32" t="n">
        <v>3</v>
      </c>
      <c r="X1413" s="34"/>
      <c r="Y1413" s="34" t="n">
        <v>3</v>
      </c>
      <c r="Z1413" s="36"/>
      <c r="AA1413" s="32"/>
      <c r="AB1413" s="44"/>
      <c r="AC1413" s="38"/>
      <c r="AD1413" s="38"/>
      <c r="AE1413" s="39"/>
      <c r="AF1413" s="40"/>
      <c r="AG1413" s="45"/>
      <c r="AH1413" s="32" t="s">
        <v>179</v>
      </c>
      <c r="AI1413" s="32" t="s">
        <v>1032</v>
      </c>
      <c r="AJ1413" s="42" t="s">
        <v>8161</v>
      </c>
      <c r="AL1413" s="32"/>
      <c r="AM1413" s="32"/>
      <c r="AN1413" s="32"/>
      <c r="AO1413" s="32"/>
      <c r="AP1413" s="32"/>
      <c r="AQ1413" s="32"/>
      <c r="AR1413" s="32"/>
      <c r="AS1413" s="32"/>
      <c r="AT1413" s="32"/>
      <c r="AU1413" s="32"/>
      <c r="XEY1413" s="27"/>
      <c r="XEZ1413" s="27"/>
      <c r="XFA1413" s="27"/>
      <c r="XFB1413" s="27"/>
      <c r="XFC1413" s="27"/>
      <c r="XFD1413" s="27"/>
    </row>
    <row r="1414" s="42" customFormat="true" ht="14.15" hidden="false" customHeight="true" outlineLevel="0" collapsed="false">
      <c r="A1414" s="28" t="s">
        <v>8162</v>
      </c>
      <c r="B1414" s="29" t="s">
        <v>4463</v>
      </c>
      <c r="C1414" s="29" t="s">
        <v>8163</v>
      </c>
      <c r="D1414" s="30" t="s">
        <v>50</v>
      </c>
      <c r="E1414" s="31"/>
      <c r="F1414" s="32" t="n">
        <v>58</v>
      </c>
      <c r="G1414" s="31"/>
      <c r="H1414" s="31" t="n">
        <v>1</v>
      </c>
      <c r="I1414" s="31" t="s">
        <v>51</v>
      </c>
      <c r="J1414" s="29" t="s">
        <v>52</v>
      </c>
      <c r="K1414" s="29" t="s">
        <v>53</v>
      </c>
      <c r="L1414" s="32" t="n">
        <v>149</v>
      </c>
      <c r="M1414" s="33" t="s">
        <v>54</v>
      </c>
      <c r="N1414" s="34" t="n">
        <v>75015</v>
      </c>
      <c r="O1414" s="35" t="s">
        <v>55</v>
      </c>
      <c r="P1414" s="36" t="s">
        <v>1710</v>
      </c>
      <c r="Q1414" s="36" t="n">
        <v>236</v>
      </c>
      <c r="R1414" s="32" t="n">
        <v>124</v>
      </c>
      <c r="S1414" s="32" t="n">
        <v>1</v>
      </c>
      <c r="T1414" s="32"/>
      <c r="U1414" s="32"/>
      <c r="V1414" s="37"/>
      <c r="W1414" s="32"/>
      <c r="X1414" s="34"/>
      <c r="Y1414" s="34"/>
      <c r="Z1414" s="36"/>
      <c r="AA1414" s="32" t="s">
        <v>8164</v>
      </c>
      <c r="AB1414" s="32"/>
      <c r="AC1414" s="38" t="str">
        <f aca="false">HYPERLINK("https://biocodex6--c.vf.force.com/0014L00000KFxihQAD", "POIROT NICOLAS")</f>
        <v>POIROT NICOLAS</v>
      </c>
      <c r="AD1414" s="38"/>
      <c r="AE1414" s="39"/>
      <c r="AF1414" s="40"/>
      <c r="AG1414" s="41"/>
      <c r="AH1414" s="32" t="s">
        <v>179</v>
      </c>
      <c r="AI1414" s="32"/>
      <c r="AL1414" s="32"/>
      <c r="AM1414" s="32"/>
      <c r="AN1414" s="32"/>
      <c r="AO1414" s="32"/>
      <c r="AP1414" s="32"/>
      <c r="AQ1414" s="32"/>
      <c r="AR1414" s="32"/>
      <c r="AS1414" s="32"/>
      <c r="AT1414" s="32"/>
      <c r="AU1414" s="32"/>
      <c r="XEY1414" s="27"/>
      <c r="XEZ1414" s="27"/>
      <c r="XFA1414" s="27"/>
      <c r="XFB1414" s="27"/>
      <c r="XFC1414" s="27"/>
      <c r="XFD1414" s="27"/>
    </row>
    <row r="1415" s="42" customFormat="true" ht="14.15" hidden="false" customHeight="true" outlineLevel="0" collapsed="false">
      <c r="A1415" s="28" t="s">
        <v>8165</v>
      </c>
      <c r="B1415" s="29" t="s">
        <v>652</v>
      </c>
      <c r="C1415" s="29" t="s">
        <v>8166</v>
      </c>
      <c r="D1415" s="30" t="s">
        <v>244</v>
      </c>
      <c r="E1415" s="30" t="s">
        <v>4674</v>
      </c>
      <c r="F1415" s="32" t="n">
        <v>60</v>
      </c>
      <c r="G1415" s="31" t="s">
        <v>98</v>
      </c>
      <c r="H1415" s="31" t="n">
        <v>1</v>
      </c>
      <c r="I1415" s="31" t="s">
        <v>119</v>
      </c>
      <c r="J1415" s="29"/>
      <c r="K1415" s="29" t="s">
        <v>8167</v>
      </c>
      <c r="L1415" s="32" t="n">
        <v>64</v>
      </c>
      <c r="M1415" s="33" t="s">
        <v>1576</v>
      </c>
      <c r="N1415" s="34" t="n">
        <v>75007</v>
      </c>
      <c r="O1415" s="35" t="s">
        <v>55</v>
      </c>
      <c r="P1415" s="36" t="s">
        <v>8168</v>
      </c>
      <c r="Q1415" s="36" t="n">
        <v>1</v>
      </c>
      <c r="R1415" s="32" t="n">
        <v>123</v>
      </c>
      <c r="S1415" s="32" t="n">
        <v>1</v>
      </c>
      <c r="T1415" s="32"/>
      <c r="U1415" s="32" t="n">
        <v>3</v>
      </c>
      <c r="V1415" s="37"/>
      <c r="W1415" s="32" t="n">
        <v>3</v>
      </c>
      <c r="X1415" s="34"/>
      <c r="Y1415" s="34" t="n">
        <v>1</v>
      </c>
      <c r="Z1415" s="32" t="s">
        <v>8169</v>
      </c>
      <c r="AA1415" s="32" t="s">
        <v>8170</v>
      </c>
      <c r="AB1415" s="44" t="s">
        <v>8171</v>
      </c>
      <c r="AC1415" s="38" t="str">
        <f aca="false">HYPERLINK("https://biocodex6--c.vf.force.com/0014L00000KFgZ4QAL", "GORWOOD JOURDAIN SOPHIE")</f>
        <v>GORWOOD JOURDAIN SOPHIE</v>
      </c>
      <c r="AD1415" s="38" t="str">
        <f aca="false">HYPERLINK("https://annuairesante.ameli.fr/professionnels-de-sante/recherche/fiche-detaillee-B7c1lzU1Nzay.html", "GORWOOD JOURDAIN SOPHIE")</f>
        <v>GORWOOD JOURDAIN SOPHIE</v>
      </c>
      <c r="AE1415" s="39" t="n">
        <v>45442.5833333333</v>
      </c>
      <c r="AF1415" s="40" t="s">
        <v>8172</v>
      </c>
      <c r="AG1415" s="41" t="s">
        <v>69</v>
      </c>
      <c r="AH1415" s="32" t="s">
        <v>70</v>
      </c>
      <c r="AI1415" s="32"/>
      <c r="AL1415" s="43" t="s">
        <v>8173</v>
      </c>
      <c r="AM1415" s="43" t="s">
        <v>1443</v>
      </c>
      <c r="AN1415" s="43" t="s">
        <v>2148</v>
      </c>
      <c r="AO1415" s="43" t="s">
        <v>4518</v>
      </c>
      <c r="AP1415" s="32"/>
      <c r="AQ1415" s="43" t="s">
        <v>476</v>
      </c>
      <c r="AR1415" s="43" t="s">
        <v>8173</v>
      </c>
      <c r="AS1415" s="43" t="s">
        <v>262</v>
      </c>
      <c r="AT1415" s="43" t="s">
        <v>8174</v>
      </c>
      <c r="AU1415" s="43" t="s">
        <v>262</v>
      </c>
      <c r="XEY1415" s="27"/>
      <c r="XEZ1415" s="27"/>
      <c r="XFA1415" s="27"/>
      <c r="XFB1415" s="27"/>
      <c r="XFC1415" s="27"/>
      <c r="XFD1415" s="27"/>
    </row>
    <row r="1416" s="42" customFormat="true" ht="14.15" hidden="false" customHeight="true" outlineLevel="0" collapsed="false">
      <c r="A1416" s="28" t="s">
        <v>8175</v>
      </c>
      <c r="B1416" s="29" t="s">
        <v>2217</v>
      </c>
      <c r="C1416" s="29" t="s">
        <v>8176</v>
      </c>
      <c r="D1416" s="30" t="s">
        <v>112</v>
      </c>
      <c r="E1416" s="31"/>
      <c r="F1416" s="32" t="n">
        <v>0</v>
      </c>
      <c r="G1416" s="31"/>
      <c r="H1416" s="31" t="n">
        <v>1</v>
      </c>
      <c r="I1416" s="31" t="s">
        <v>119</v>
      </c>
      <c r="J1416" s="29"/>
      <c r="K1416" s="29" t="s">
        <v>3712</v>
      </c>
      <c r="L1416" s="32" t="n">
        <v>65</v>
      </c>
      <c r="M1416" s="33" t="s">
        <v>3713</v>
      </c>
      <c r="N1416" s="34" t="n">
        <v>75007</v>
      </c>
      <c r="O1416" s="35" t="s">
        <v>55</v>
      </c>
      <c r="P1416" s="36" t="s">
        <v>8177</v>
      </c>
      <c r="Q1416" s="36" t="n">
        <v>4</v>
      </c>
      <c r="R1416" s="32" t="n">
        <v>123</v>
      </c>
      <c r="S1416" s="32" t="n">
        <v>1</v>
      </c>
      <c r="T1416" s="32"/>
      <c r="U1416" s="32"/>
      <c r="V1416" s="37"/>
      <c r="W1416" s="32"/>
      <c r="X1416" s="34"/>
      <c r="Y1416" s="34"/>
      <c r="Z1416" s="32"/>
      <c r="AA1416" s="32"/>
      <c r="AB1416" s="32"/>
      <c r="AC1416" s="38"/>
      <c r="AD1416" s="38"/>
      <c r="AE1416" s="39"/>
      <c r="AF1416" s="40"/>
      <c r="AG1416" s="45"/>
      <c r="AH1416" s="32"/>
      <c r="AI1416" s="32"/>
      <c r="AL1416" s="32"/>
      <c r="AM1416" s="32"/>
      <c r="AN1416" s="32"/>
      <c r="AO1416" s="32"/>
      <c r="AP1416" s="32"/>
      <c r="AQ1416" s="32"/>
      <c r="AR1416" s="32"/>
      <c r="AS1416" s="32"/>
      <c r="AT1416" s="32"/>
      <c r="AU1416" s="32"/>
      <c r="XEY1416" s="27"/>
      <c r="XEZ1416" s="27"/>
      <c r="XFA1416" s="27"/>
      <c r="XFB1416" s="27"/>
      <c r="XFC1416" s="27"/>
      <c r="XFD1416" s="27"/>
    </row>
    <row r="1417" s="42" customFormat="true" ht="14.15" hidden="false" customHeight="true" outlineLevel="0" collapsed="false">
      <c r="A1417" s="28" t="s">
        <v>8178</v>
      </c>
      <c r="B1417" s="29" t="s">
        <v>543</v>
      </c>
      <c r="C1417" s="29" t="s">
        <v>8179</v>
      </c>
      <c r="D1417" s="30" t="s">
        <v>244</v>
      </c>
      <c r="E1417" s="30" t="s">
        <v>245</v>
      </c>
      <c r="F1417" s="32" t="n">
        <v>64</v>
      </c>
      <c r="G1417" s="31" t="s">
        <v>215</v>
      </c>
      <c r="H1417" s="31" t="n">
        <v>3</v>
      </c>
      <c r="I1417" s="31" t="s">
        <v>435</v>
      </c>
      <c r="J1417" s="29" t="s">
        <v>3117</v>
      </c>
      <c r="K1417" s="29" t="s">
        <v>3118</v>
      </c>
      <c r="L1417" s="32" t="n">
        <v>46</v>
      </c>
      <c r="M1417" s="33" t="s">
        <v>1450</v>
      </c>
      <c r="N1417" s="34" t="n">
        <v>75016</v>
      </c>
      <c r="O1417" s="35" t="s">
        <v>55</v>
      </c>
      <c r="P1417" s="36" t="s">
        <v>3082</v>
      </c>
      <c r="Q1417" s="36" t="n">
        <v>14</v>
      </c>
      <c r="R1417" s="32" t="n">
        <v>123</v>
      </c>
      <c r="S1417" s="32" t="n">
        <v>1</v>
      </c>
      <c r="T1417" s="32"/>
      <c r="U1417" s="32"/>
      <c r="V1417" s="37"/>
      <c r="W1417" s="32"/>
      <c r="X1417" s="34"/>
      <c r="Y1417" s="34"/>
      <c r="Z1417" s="36"/>
      <c r="AA1417" s="32" t="s">
        <v>8180</v>
      </c>
      <c r="AB1417" s="32" t="s">
        <v>8181</v>
      </c>
      <c r="AC1417" s="38" t="str">
        <f aca="false">HYPERLINK("https://biocodex6--c.vf.force.com/0014L00000KFbb5QAD", "FRAYRET CHRISTINE")</f>
        <v>FRAYRET CHRISTINE</v>
      </c>
      <c r="AD1417" s="38" t="str">
        <f aca="false">HYPERLINK("https://annuairesante.ameli.fr/professionnels-de-sante/recherche/fiche-detaillee-B7c1mjMxOTG6.html", "FRAYRET CHRISTINE")</f>
        <v>FRAYRET CHRISTINE</v>
      </c>
      <c r="AE1417" s="39"/>
      <c r="AF1417" s="40"/>
      <c r="AG1417" s="41"/>
      <c r="AH1417" s="32" t="s">
        <v>179</v>
      </c>
      <c r="AI1417" s="32"/>
      <c r="AL1417" s="32"/>
      <c r="AM1417" s="32"/>
      <c r="AN1417" s="32"/>
      <c r="AO1417" s="32"/>
      <c r="AP1417" s="32"/>
      <c r="AQ1417" s="32"/>
      <c r="AR1417" s="32"/>
      <c r="AS1417" s="32"/>
      <c r="AT1417" s="32"/>
      <c r="AU1417" s="32"/>
      <c r="XEY1417" s="27"/>
      <c r="XEZ1417" s="27"/>
      <c r="XFA1417" s="27"/>
      <c r="XFB1417" s="27"/>
      <c r="XFC1417" s="27"/>
      <c r="XFD1417" s="27"/>
    </row>
    <row r="1418" s="42" customFormat="true" ht="14.15" hidden="false" customHeight="true" outlineLevel="0" collapsed="false">
      <c r="A1418" s="28" t="s">
        <v>8182</v>
      </c>
      <c r="B1418" s="29" t="s">
        <v>8183</v>
      </c>
      <c r="C1418" s="29" t="s">
        <v>8184</v>
      </c>
      <c r="D1418" s="30" t="s">
        <v>244</v>
      </c>
      <c r="E1418" s="30" t="s">
        <v>245</v>
      </c>
      <c r="F1418" s="32" t="n">
        <v>48</v>
      </c>
      <c r="G1418" s="31" t="s">
        <v>215</v>
      </c>
      <c r="H1418" s="31" t="n">
        <v>3</v>
      </c>
      <c r="I1418" s="31" t="s">
        <v>119</v>
      </c>
      <c r="J1418" s="29" t="s">
        <v>4001</v>
      </c>
      <c r="K1418" s="29" t="s">
        <v>4002</v>
      </c>
      <c r="L1418" s="32" t="n">
        <v>19</v>
      </c>
      <c r="M1418" s="33" t="s">
        <v>4003</v>
      </c>
      <c r="N1418" s="34" t="n">
        <v>75007</v>
      </c>
      <c r="O1418" s="35" t="s">
        <v>55</v>
      </c>
      <c r="P1418" s="36" t="s">
        <v>8185</v>
      </c>
      <c r="Q1418" s="36" t="n">
        <v>5</v>
      </c>
      <c r="R1418" s="32" t="n">
        <v>122</v>
      </c>
      <c r="S1418" s="32" t="n">
        <v>1</v>
      </c>
      <c r="T1418" s="32"/>
      <c r="U1418" s="32" t="n">
        <v>3</v>
      </c>
      <c r="V1418" s="37"/>
      <c r="W1418" s="32" t="n">
        <v>2</v>
      </c>
      <c r="X1418" s="34"/>
      <c r="Y1418" s="34" t="n">
        <v>3</v>
      </c>
      <c r="Z1418" s="32" t="s">
        <v>8186</v>
      </c>
      <c r="AA1418" s="32" t="s">
        <v>8187</v>
      </c>
      <c r="AB1418" s="44" t="s">
        <v>8188</v>
      </c>
      <c r="AC1418" s="38" t="str">
        <f aca="false">HYPERLINK("https://biocodex6--c.vf.force.com/0014L00000KFVmgQAH", "BOUGHANIM MATHIAS")</f>
        <v>BOUGHANIM MATHIAS</v>
      </c>
      <c r="AD1418" s="38" t="str">
        <f aca="false">HYPERLINK("https://annuairesante.ameli.fr/professionnels-de-sante/recherche/fiche-detaillee-B7c1mzYyNju1.html", "BOUGHANIM MATHIAS")</f>
        <v>BOUGHANIM MATHIAS</v>
      </c>
      <c r="AE1418" s="39" t="n">
        <v>45348.5833333333</v>
      </c>
      <c r="AF1418" s="40" t="s">
        <v>8189</v>
      </c>
      <c r="AG1418" s="41" t="s">
        <v>69</v>
      </c>
      <c r="AH1418" s="32" t="s">
        <v>70</v>
      </c>
      <c r="AI1418" s="32"/>
      <c r="AL1418" s="32"/>
      <c r="AM1418" s="32"/>
      <c r="AN1418" s="32"/>
      <c r="AO1418" s="32"/>
      <c r="AP1418" s="32"/>
      <c r="AQ1418" s="32"/>
      <c r="AR1418" s="32"/>
      <c r="AS1418" s="32"/>
      <c r="AT1418" s="32"/>
      <c r="AU1418" s="32"/>
      <c r="XEY1418" s="27"/>
      <c r="XEZ1418" s="27"/>
      <c r="XFA1418" s="27"/>
      <c r="XFB1418" s="27"/>
      <c r="XFC1418" s="27"/>
      <c r="XFD1418" s="27"/>
    </row>
    <row r="1419" s="42" customFormat="true" ht="14.15" hidden="false" customHeight="true" outlineLevel="0" collapsed="false">
      <c r="A1419" s="28" t="s">
        <v>8190</v>
      </c>
      <c r="B1419" s="29" t="s">
        <v>8191</v>
      </c>
      <c r="C1419" s="29" t="s">
        <v>8192</v>
      </c>
      <c r="D1419" s="30" t="s">
        <v>244</v>
      </c>
      <c r="E1419" s="30" t="s">
        <v>245</v>
      </c>
      <c r="F1419" s="32" t="n">
        <v>67</v>
      </c>
      <c r="G1419" s="31"/>
      <c r="H1419" s="31" t="n">
        <v>2</v>
      </c>
      <c r="I1419" s="31" t="s">
        <v>572</v>
      </c>
      <c r="J1419" s="29" t="s">
        <v>678</v>
      </c>
      <c r="K1419" s="29" t="s">
        <v>679</v>
      </c>
      <c r="L1419" s="32" t="n">
        <v>6</v>
      </c>
      <c r="M1419" s="33" t="s">
        <v>680</v>
      </c>
      <c r="N1419" s="34" t="n">
        <v>75008</v>
      </c>
      <c r="O1419" s="35" t="s">
        <v>55</v>
      </c>
      <c r="P1419" s="36"/>
      <c r="Q1419" s="36" t="n">
        <v>43</v>
      </c>
      <c r="R1419" s="32" t="n">
        <v>122</v>
      </c>
      <c r="S1419" s="32" t="n">
        <v>1</v>
      </c>
      <c r="T1419" s="32"/>
      <c r="U1419" s="32"/>
      <c r="V1419" s="37"/>
      <c r="W1419" s="32"/>
      <c r="X1419" s="34"/>
      <c r="Y1419" s="34"/>
      <c r="Z1419" s="32"/>
      <c r="AA1419" s="32" t="s">
        <v>8193</v>
      </c>
      <c r="AB1419" s="32"/>
      <c r="AC1419" s="38" t="str">
        <f aca="false">HYPERLINK("https://biocodex6--c.vf.force.com/0014L00000KG2NLQA1", "SYLVESTRE DORIS")</f>
        <v>SYLVESTRE DORIS</v>
      </c>
      <c r="AD1419" s="38"/>
      <c r="AE1419" s="39"/>
      <c r="AF1419" s="40"/>
      <c r="AG1419" s="41"/>
      <c r="AH1419" s="32"/>
      <c r="AI1419" s="32"/>
      <c r="AL1419" s="32"/>
      <c r="AM1419" s="32"/>
      <c r="AN1419" s="32"/>
      <c r="AO1419" s="32"/>
      <c r="AP1419" s="32"/>
      <c r="AQ1419" s="32"/>
      <c r="AR1419" s="32"/>
      <c r="AS1419" s="32"/>
      <c r="AT1419" s="32"/>
      <c r="AU1419" s="32"/>
      <c r="XEY1419" s="27"/>
      <c r="XEZ1419" s="27"/>
      <c r="XFA1419" s="27"/>
      <c r="XFB1419" s="27"/>
      <c r="XFC1419" s="27"/>
      <c r="XFD1419" s="27"/>
    </row>
    <row r="1420" s="42" customFormat="true" ht="14.15" hidden="false" customHeight="true" outlineLevel="0" collapsed="false">
      <c r="A1420" s="28" t="s">
        <v>8194</v>
      </c>
      <c r="B1420" s="29" t="s">
        <v>958</v>
      </c>
      <c r="C1420" s="29" t="s">
        <v>8195</v>
      </c>
      <c r="D1420" s="30" t="s">
        <v>244</v>
      </c>
      <c r="E1420" s="30" t="s">
        <v>245</v>
      </c>
      <c r="F1420" s="32" t="n">
        <v>48</v>
      </c>
      <c r="G1420" s="31" t="s">
        <v>215</v>
      </c>
      <c r="H1420" s="31" t="n">
        <v>1</v>
      </c>
      <c r="I1420" s="31" t="s">
        <v>173</v>
      </c>
      <c r="J1420" s="29"/>
      <c r="K1420" s="29" t="s">
        <v>3608</v>
      </c>
      <c r="L1420" s="32" t="n">
        <v>21</v>
      </c>
      <c r="M1420" s="33" t="s">
        <v>3609</v>
      </c>
      <c r="N1420" s="34" t="n">
        <v>75016</v>
      </c>
      <c r="O1420" s="35" t="s">
        <v>55</v>
      </c>
      <c r="P1420" s="36" t="s">
        <v>8196</v>
      </c>
      <c r="Q1420" s="36" t="n">
        <v>3</v>
      </c>
      <c r="R1420" s="32" t="n">
        <v>122</v>
      </c>
      <c r="S1420" s="32" t="n">
        <v>1</v>
      </c>
      <c r="T1420" s="32"/>
      <c r="U1420" s="32"/>
      <c r="V1420" s="37"/>
      <c r="W1420" s="32"/>
      <c r="X1420" s="34"/>
      <c r="Y1420" s="34"/>
      <c r="Z1420" s="36"/>
      <c r="AA1420" s="32" t="s">
        <v>8197</v>
      </c>
      <c r="AB1420" s="32" t="s">
        <v>8198</v>
      </c>
      <c r="AC1420" s="38" t="str">
        <f aca="false">HYPERLINK("https://biocodex6--c.vf.force.com/0014L00000KFjozQAD", "COHEN SCALI PATRICK")</f>
        <v>COHEN SCALI PATRICK</v>
      </c>
      <c r="AD1420" s="38" t="str">
        <f aca="false">HYPERLINK("https://annuairesante.ameli.fr/professionnels-de-sante/recherche/fiche-detaillee-B7c1lTM4Mza3.html", "COHEN SCALI PATRICK")</f>
        <v>COHEN SCALI PATRICK</v>
      </c>
      <c r="AE1420" s="39"/>
      <c r="AF1420" s="40"/>
      <c r="AG1420" s="41"/>
      <c r="AH1420" s="32" t="s">
        <v>179</v>
      </c>
      <c r="AI1420" s="32"/>
      <c r="AL1420" s="32"/>
      <c r="AM1420" s="32"/>
      <c r="AN1420" s="32"/>
      <c r="AO1420" s="32"/>
      <c r="AP1420" s="32"/>
      <c r="AQ1420" s="32"/>
      <c r="AR1420" s="32"/>
      <c r="AS1420" s="32"/>
      <c r="AT1420" s="32"/>
      <c r="AU1420" s="32"/>
      <c r="XEY1420" s="27"/>
      <c r="XEZ1420" s="27"/>
      <c r="XFA1420" s="27"/>
      <c r="XFB1420" s="27"/>
      <c r="XFC1420" s="27"/>
      <c r="XFD1420" s="27"/>
    </row>
    <row r="1421" s="42" customFormat="true" ht="14.15" hidden="false" customHeight="true" outlineLevel="0" collapsed="false">
      <c r="A1421" s="28" t="s">
        <v>7322</v>
      </c>
      <c r="B1421" s="29" t="s">
        <v>8199</v>
      </c>
      <c r="C1421" s="29" t="s">
        <v>8200</v>
      </c>
      <c r="D1421" s="30" t="s">
        <v>244</v>
      </c>
      <c r="E1421" s="30" t="s">
        <v>245</v>
      </c>
      <c r="F1421" s="32" t="n">
        <v>75</v>
      </c>
      <c r="G1421" s="31"/>
      <c r="H1421" s="31" t="n">
        <v>1</v>
      </c>
      <c r="I1421" s="31" t="s">
        <v>119</v>
      </c>
      <c r="J1421" s="29"/>
      <c r="K1421" s="29" t="s">
        <v>8159</v>
      </c>
      <c r="L1421" s="32" t="n">
        <v>109</v>
      </c>
      <c r="M1421" s="33" t="s">
        <v>2977</v>
      </c>
      <c r="N1421" s="34" t="n">
        <v>75007</v>
      </c>
      <c r="O1421" s="35" t="s">
        <v>55</v>
      </c>
      <c r="P1421" s="36" t="s">
        <v>8201</v>
      </c>
      <c r="Q1421" s="36" t="n">
        <v>2</v>
      </c>
      <c r="R1421" s="32" t="n">
        <v>121</v>
      </c>
      <c r="S1421" s="32" t="n">
        <v>1</v>
      </c>
      <c r="T1421" s="32"/>
      <c r="U1421" s="32" t="n">
        <v>3</v>
      </c>
      <c r="V1421" s="37"/>
      <c r="W1421" s="32" t="n">
        <v>3</v>
      </c>
      <c r="X1421" s="34"/>
      <c r="Y1421" s="34" t="n">
        <v>3</v>
      </c>
      <c r="Z1421" s="36" t="s">
        <v>8202</v>
      </c>
      <c r="AA1421" s="32" t="s">
        <v>8203</v>
      </c>
      <c r="AB1421" s="44"/>
      <c r="AC1421" s="38" t="str">
        <f aca="false">HYPERLINK("https://biocodex6--c.vf.force.com/0014L00000KG3QRQA1", "TORCHIN DAHLIA")</f>
        <v>TORCHIN DAHLIA</v>
      </c>
      <c r="AD1421" s="38"/>
      <c r="AE1421" s="39" t="n">
        <v>45348.4166666667</v>
      </c>
      <c r="AF1421" s="40"/>
      <c r="AG1421" s="41"/>
      <c r="AH1421" s="32" t="s">
        <v>3469</v>
      </c>
      <c r="AI1421" s="32"/>
      <c r="AL1421" s="32"/>
      <c r="AM1421" s="32"/>
      <c r="AN1421" s="32"/>
      <c r="AO1421" s="32"/>
      <c r="AP1421" s="32"/>
      <c r="AQ1421" s="32"/>
      <c r="AR1421" s="32"/>
      <c r="AS1421" s="32"/>
      <c r="AT1421" s="32"/>
      <c r="AU1421" s="32"/>
      <c r="XEY1421" s="27"/>
      <c r="XEZ1421" s="27"/>
      <c r="XFA1421" s="27"/>
      <c r="XFB1421" s="27"/>
      <c r="XFC1421" s="27"/>
      <c r="XFD1421" s="27"/>
    </row>
    <row r="1422" s="42" customFormat="true" ht="14.15" hidden="false" customHeight="true" outlineLevel="0" collapsed="false">
      <c r="A1422" s="28" t="s">
        <v>8204</v>
      </c>
      <c r="B1422" s="29" t="s">
        <v>1837</v>
      </c>
      <c r="C1422" s="29" t="s">
        <v>8205</v>
      </c>
      <c r="D1422" s="30" t="s">
        <v>112</v>
      </c>
      <c r="E1422" s="30" t="s">
        <v>1228</v>
      </c>
      <c r="F1422" s="32" t="n">
        <v>70</v>
      </c>
      <c r="G1422" s="31" t="s">
        <v>98</v>
      </c>
      <c r="H1422" s="31" t="n">
        <v>3</v>
      </c>
      <c r="I1422" s="31" t="s">
        <v>197</v>
      </c>
      <c r="J1422" s="29"/>
      <c r="K1422" s="29" t="s">
        <v>8206</v>
      </c>
      <c r="L1422" s="32" t="n">
        <v>15</v>
      </c>
      <c r="M1422" s="33" t="s">
        <v>8207</v>
      </c>
      <c r="N1422" s="34" t="n">
        <v>75017</v>
      </c>
      <c r="O1422" s="35" t="s">
        <v>55</v>
      </c>
      <c r="P1422" s="36" t="s">
        <v>8208</v>
      </c>
      <c r="Q1422" s="36" t="n">
        <v>1</v>
      </c>
      <c r="R1422" s="32" t="n">
        <v>121</v>
      </c>
      <c r="S1422" s="32" t="n">
        <v>1</v>
      </c>
      <c r="T1422" s="32"/>
      <c r="U1422" s="32"/>
      <c r="V1422" s="37"/>
      <c r="W1422" s="32"/>
      <c r="X1422" s="34"/>
      <c r="Y1422" s="34"/>
      <c r="Z1422" s="36"/>
      <c r="AA1422" s="32" t="s">
        <v>8209</v>
      </c>
      <c r="AB1422" s="32" t="s">
        <v>8210</v>
      </c>
      <c r="AC1422" s="38" t="str">
        <f aca="false">HYPERLINK("https://biocodex6--c.vf.force.com/0014L00000KFSaSQAX", "BENKHATAR MARIE")</f>
        <v>BENKHATAR MARIE</v>
      </c>
      <c r="AD1422" s="38" t="str">
        <f aca="false">HYPERLINK("https://annuairesante.ameli.fr/professionnels-de-sante/recherche/fiche-detaillee-B7c1mzYyMDOy.html", "BENKHATAR MARIE")</f>
        <v>BENKHATAR MARIE</v>
      </c>
      <c r="AE1422" s="39" t="n">
        <v>45203.5416666667</v>
      </c>
      <c r="AF1422" s="40"/>
      <c r="AG1422" s="41"/>
      <c r="AH1422" s="32" t="s">
        <v>179</v>
      </c>
      <c r="AI1422" s="32"/>
      <c r="AL1422" s="43" t="s">
        <v>396</v>
      </c>
      <c r="AM1422" s="43" t="s">
        <v>4518</v>
      </c>
      <c r="AN1422" s="43" t="s">
        <v>396</v>
      </c>
      <c r="AO1422" s="43" t="s">
        <v>4518</v>
      </c>
      <c r="AP1422" s="43" t="s">
        <v>396</v>
      </c>
      <c r="AQ1422" s="43" t="s">
        <v>4518</v>
      </c>
      <c r="AR1422" s="43" t="s">
        <v>396</v>
      </c>
      <c r="AS1422" s="43" t="s">
        <v>4518</v>
      </c>
      <c r="AT1422" s="43" t="s">
        <v>396</v>
      </c>
      <c r="AU1422" s="43" t="s">
        <v>4518</v>
      </c>
      <c r="XEY1422" s="27"/>
      <c r="XEZ1422" s="27"/>
      <c r="XFA1422" s="27"/>
      <c r="XFB1422" s="27"/>
      <c r="XFC1422" s="27"/>
      <c r="XFD1422" s="27"/>
    </row>
    <row r="1423" s="42" customFormat="true" ht="14.15" hidden="false" customHeight="true" outlineLevel="0" collapsed="false">
      <c r="A1423" s="28" t="s">
        <v>8211</v>
      </c>
      <c r="B1423" s="29" t="s">
        <v>1007</v>
      </c>
      <c r="C1423" s="29" t="s">
        <v>8212</v>
      </c>
      <c r="D1423" s="30" t="s">
        <v>244</v>
      </c>
      <c r="E1423" s="30" t="s">
        <v>741</v>
      </c>
      <c r="F1423" s="32" t="n">
        <v>88</v>
      </c>
      <c r="G1423" s="31"/>
      <c r="H1423" s="31" t="n">
        <v>1</v>
      </c>
      <c r="I1423" s="31" t="s">
        <v>119</v>
      </c>
      <c r="J1423" s="29"/>
      <c r="K1423" s="29" t="s">
        <v>8213</v>
      </c>
      <c r="L1423" s="32" t="n">
        <v>9</v>
      </c>
      <c r="M1423" s="33" t="s">
        <v>5261</v>
      </c>
      <c r="N1423" s="34" t="n">
        <v>75007</v>
      </c>
      <c r="O1423" s="35" t="s">
        <v>55</v>
      </c>
      <c r="P1423" s="36" t="s">
        <v>8214</v>
      </c>
      <c r="Q1423" s="36" t="n">
        <v>1</v>
      </c>
      <c r="R1423" s="32" t="n">
        <v>121</v>
      </c>
      <c r="S1423" s="32" t="n">
        <v>1</v>
      </c>
      <c r="T1423" s="32"/>
      <c r="U1423" s="32"/>
      <c r="V1423" s="37"/>
      <c r="W1423" s="32"/>
      <c r="X1423" s="34"/>
      <c r="Y1423" s="34"/>
      <c r="Z1423" s="36"/>
      <c r="AA1423" s="32" t="s">
        <v>8215</v>
      </c>
      <c r="AB1423" s="32" t="s">
        <v>8216</v>
      </c>
      <c r="AC1423" s="38" t="str">
        <f aca="false">HYPERLINK("https://biocodex6--c.vf.force.com/0014L00000KG1FXQA1", "SERFATY DAVID")</f>
        <v>SERFATY DAVID</v>
      </c>
      <c r="AD1423" s="38" t="str">
        <f aca="false">HYPERLINK("https://annuairesante.ameli.fr/professionnels-de-sante/recherche/fiche-detaillee-B7c1kDM4MTWz.html", "SERFATY DAVID")</f>
        <v>SERFATY DAVID</v>
      </c>
      <c r="AE1423" s="39"/>
      <c r="AF1423" s="40"/>
      <c r="AG1423" s="41"/>
      <c r="AH1423" s="32" t="s">
        <v>179</v>
      </c>
      <c r="AI1423" s="32"/>
      <c r="AL1423" s="32"/>
      <c r="AM1423" s="32"/>
      <c r="AN1423" s="32"/>
      <c r="AO1423" s="32"/>
      <c r="AP1423" s="32"/>
      <c r="AQ1423" s="32"/>
      <c r="AR1423" s="32"/>
      <c r="AS1423" s="32"/>
      <c r="AT1423" s="32"/>
      <c r="AU1423" s="32"/>
      <c r="XEY1423" s="27"/>
      <c r="XEZ1423" s="27"/>
      <c r="XFA1423" s="27"/>
      <c r="XFB1423" s="27"/>
      <c r="XFC1423" s="27"/>
      <c r="XFD1423" s="27"/>
    </row>
    <row r="1424" s="42" customFormat="true" ht="14.15" hidden="false" customHeight="true" outlineLevel="0" collapsed="false">
      <c r="A1424" s="28" t="s">
        <v>8217</v>
      </c>
      <c r="B1424" s="29" t="s">
        <v>183</v>
      </c>
      <c r="C1424" s="29" t="s">
        <v>8218</v>
      </c>
      <c r="D1424" s="30" t="s">
        <v>244</v>
      </c>
      <c r="E1424" s="30" t="s">
        <v>245</v>
      </c>
      <c r="F1424" s="32" t="n">
        <v>73</v>
      </c>
      <c r="G1424" s="31" t="s">
        <v>215</v>
      </c>
      <c r="H1424" s="31" t="n">
        <v>1</v>
      </c>
      <c r="I1424" s="31" t="s">
        <v>51</v>
      </c>
      <c r="J1424" s="29"/>
      <c r="K1424" s="29" t="s">
        <v>4267</v>
      </c>
      <c r="L1424" s="32" t="n">
        <v>254</v>
      </c>
      <c r="M1424" s="33" t="s">
        <v>852</v>
      </c>
      <c r="N1424" s="34" t="n">
        <v>75015</v>
      </c>
      <c r="O1424" s="35" t="s">
        <v>55</v>
      </c>
      <c r="P1424" s="36" t="s">
        <v>4268</v>
      </c>
      <c r="Q1424" s="36" t="n">
        <v>2</v>
      </c>
      <c r="R1424" s="32" t="n">
        <v>121</v>
      </c>
      <c r="S1424" s="32" t="n">
        <v>1</v>
      </c>
      <c r="T1424" s="32"/>
      <c r="U1424" s="32"/>
      <c r="V1424" s="37"/>
      <c r="W1424" s="32"/>
      <c r="X1424" s="34"/>
      <c r="Y1424" s="34"/>
      <c r="Z1424" s="36"/>
      <c r="AA1424" s="32" t="s">
        <v>8219</v>
      </c>
      <c r="AB1424" s="32" t="s">
        <v>8220</v>
      </c>
      <c r="AC1424" s="38" t="str">
        <f aca="false">HYPERLINK("https://biocodex6--c.vf.force.com/0014L00000KFx79QAD", "PROUVOST CHRISTIAN")</f>
        <v>PROUVOST CHRISTIAN</v>
      </c>
      <c r="AD1424" s="38" t="str">
        <f aca="false">HYPERLINK("https://annuairesante.ameli.fr/professionnels-de-sante/recherche/fiche-detaillee-B7c1ljEyMTC7.html", "PROUVOST CHRISTIAN")</f>
        <v>PROUVOST CHRISTIAN</v>
      </c>
      <c r="AE1424" s="39"/>
      <c r="AF1424" s="40"/>
      <c r="AG1424" s="41"/>
      <c r="AH1424" s="32" t="s">
        <v>179</v>
      </c>
      <c r="AI1424" s="32"/>
      <c r="AL1424" s="32"/>
      <c r="AM1424" s="32"/>
      <c r="AN1424" s="32"/>
      <c r="AO1424" s="32"/>
      <c r="AP1424" s="32"/>
      <c r="AQ1424" s="32"/>
      <c r="AR1424" s="32"/>
      <c r="AS1424" s="32"/>
      <c r="AT1424" s="32"/>
      <c r="AU1424" s="32"/>
      <c r="XEY1424" s="27"/>
      <c r="XEZ1424" s="27"/>
      <c r="XFA1424" s="27"/>
      <c r="XFB1424" s="27"/>
      <c r="XFC1424" s="27"/>
      <c r="XFD1424" s="27"/>
    </row>
    <row r="1425" s="42" customFormat="true" ht="14.15" hidden="false" customHeight="true" outlineLevel="0" collapsed="false">
      <c r="A1425" s="28" t="s">
        <v>8221</v>
      </c>
      <c r="B1425" s="29" t="s">
        <v>332</v>
      </c>
      <c r="C1425" s="29" t="s">
        <v>8222</v>
      </c>
      <c r="D1425" s="30" t="s">
        <v>75</v>
      </c>
      <c r="E1425" s="31"/>
      <c r="F1425" s="32" t="n">
        <v>67</v>
      </c>
      <c r="G1425" s="31"/>
      <c r="H1425" s="31" t="n">
        <v>1</v>
      </c>
      <c r="I1425" s="31" t="s">
        <v>233</v>
      </c>
      <c r="J1425" s="29"/>
      <c r="K1425" s="29" t="s">
        <v>973</v>
      </c>
      <c r="L1425" s="32" t="n">
        <v>64</v>
      </c>
      <c r="M1425" s="33" t="s">
        <v>974</v>
      </c>
      <c r="N1425" s="34" t="n">
        <v>75015</v>
      </c>
      <c r="O1425" s="35" t="s">
        <v>55</v>
      </c>
      <c r="P1425" s="36"/>
      <c r="Q1425" s="36" t="n">
        <v>4</v>
      </c>
      <c r="R1425" s="32" t="n">
        <v>120</v>
      </c>
      <c r="S1425" s="32" t="n">
        <v>1</v>
      </c>
      <c r="T1425" s="32"/>
      <c r="U1425" s="32"/>
      <c r="V1425" s="37"/>
      <c r="W1425" s="32"/>
      <c r="X1425" s="34"/>
      <c r="Y1425" s="34"/>
      <c r="Z1425" s="36"/>
      <c r="AA1425" s="32" t="s">
        <v>8223</v>
      </c>
      <c r="AB1425" s="32"/>
      <c r="AC1425" s="38" t="str">
        <f aca="false">HYPERLINK("https://biocodex6--c.vf.force.com/0014L00000KFxqzQAD", "REYNIER CATHERINE")</f>
        <v>REYNIER CATHERINE</v>
      </c>
      <c r="AD1425" s="38"/>
      <c r="AE1425" s="39"/>
      <c r="AF1425" s="40"/>
      <c r="AG1425" s="41"/>
      <c r="AH1425" s="32" t="s">
        <v>179</v>
      </c>
      <c r="AI1425" s="32"/>
      <c r="AL1425" s="32"/>
      <c r="AM1425" s="32"/>
      <c r="AN1425" s="32"/>
      <c r="AO1425" s="32"/>
      <c r="AP1425" s="32"/>
      <c r="AQ1425" s="32"/>
      <c r="AR1425" s="32"/>
      <c r="AS1425" s="32"/>
      <c r="AT1425" s="32"/>
      <c r="AU1425" s="32"/>
      <c r="XEY1425" s="27"/>
      <c r="XEZ1425" s="27"/>
      <c r="XFA1425" s="27"/>
      <c r="XFB1425" s="27"/>
      <c r="XFC1425" s="27"/>
      <c r="XFD1425" s="27"/>
    </row>
    <row r="1426" s="42" customFormat="true" ht="14.15" hidden="false" customHeight="true" outlineLevel="0" collapsed="false">
      <c r="A1426" s="28" t="s">
        <v>7257</v>
      </c>
      <c r="B1426" s="29" t="s">
        <v>3763</v>
      </c>
      <c r="C1426" s="29" t="s">
        <v>8224</v>
      </c>
      <c r="D1426" s="30" t="s">
        <v>244</v>
      </c>
      <c r="E1426" s="30" t="s">
        <v>741</v>
      </c>
      <c r="F1426" s="32" t="n">
        <v>42</v>
      </c>
      <c r="G1426" s="31" t="s">
        <v>215</v>
      </c>
      <c r="H1426" s="31" t="n">
        <v>3</v>
      </c>
      <c r="I1426" s="30" t="s">
        <v>77</v>
      </c>
      <c r="J1426" s="49" t="s">
        <v>580</v>
      </c>
      <c r="K1426" s="49" t="s">
        <v>581</v>
      </c>
      <c r="L1426" s="32" t="n">
        <v>63</v>
      </c>
      <c r="M1426" s="33" t="s">
        <v>80</v>
      </c>
      <c r="N1426" s="34" t="n">
        <v>92200</v>
      </c>
      <c r="O1426" s="35" t="s">
        <v>81</v>
      </c>
      <c r="P1426" s="36" t="s">
        <v>6153</v>
      </c>
      <c r="Q1426" s="36" t="n">
        <v>39</v>
      </c>
      <c r="R1426" s="32" t="n">
        <v>119</v>
      </c>
      <c r="S1426" s="32" t="n">
        <v>1</v>
      </c>
      <c r="T1426" s="32"/>
      <c r="U1426" s="32"/>
      <c r="V1426" s="37"/>
      <c r="W1426" s="32" t="n">
        <v>4</v>
      </c>
      <c r="X1426" s="34" t="n">
        <v>1</v>
      </c>
      <c r="Y1426" s="34" t="n">
        <v>4</v>
      </c>
      <c r="Z1426" s="32"/>
      <c r="AA1426" s="32" t="s">
        <v>8225</v>
      </c>
      <c r="AB1426" s="32" t="s">
        <v>8226</v>
      </c>
      <c r="AC1426" s="42" t="str">
        <f aca="false">HYPERLINK("https://biocodex6--c.vf.force.com/0014L00000KFzkeQAD", "ROCHE CLEMENCE")</f>
        <v>ROCHE CLEMENCE</v>
      </c>
      <c r="AD1426" s="32" t="str">
        <f aca="false">HYPERLINK("https://annuairesante.ameli.fr/professionnels-de-sante/recherche/fiche-detaillee-B7c1mzc0Mja0.html", "ROCHE CLEMENCE")</f>
        <v>ROCHE CLEMENCE</v>
      </c>
      <c r="AE1426" s="39" t="n">
        <v>45126.6041666667</v>
      </c>
      <c r="AF1426" s="40"/>
      <c r="AG1426" s="41"/>
      <c r="AH1426" s="32"/>
      <c r="AI1426" s="32"/>
      <c r="AL1426" s="43" t="s">
        <v>8227</v>
      </c>
      <c r="AM1426" s="43" t="s">
        <v>137</v>
      </c>
      <c r="AN1426" s="32"/>
      <c r="AO1426" s="32"/>
      <c r="AP1426" s="43" t="s">
        <v>85</v>
      </c>
      <c r="AQ1426" s="43" t="s">
        <v>137</v>
      </c>
      <c r="AR1426" s="43" t="s">
        <v>8227</v>
      </c>
      <c r="AS1426" s="43" t="s">
        <v>137</v>
      </c>
      <c r="AT1426" s="43" t="s">
        <v>1065</v>
      </c>
      <c r="AU1426" s="32"/>
      <c r="XEY1426" s="27"/>
      <c r="XEZ1426" s="27"/>
      <c r="XFA1426" s="27"/>
      <c r="XFB1426" s="27"/>
      <c r="XFC1426" s="27"/>
      <c r="XFD1426" s="27"/>
    </row>
    <row r="1427" s="42" customFormat="true" ht="14.15" hidden="false" customHeight="true" outlineLevel="0" collapsed="false">
      <c r="A1427" s="28" t="s">
        <v>8228</v>
      </c>
      <c r="B1427" s="29" t="s">
        <v>242</v>
      </c>
      <c r="C1427" s="29" t="s">
        <v>8229</v>
      </c>
      <c r="D1427" s="30" t="s">
        <v>244</v>
      </c>
      <c r="E1427" s="30" t="s">
        <v>245</v>
      </c>
      <c r="F1427" s="32" t="n">
        <v>56</v>
      </c>
      <c r="G1427" s="31" t="s">
        <v>215</v>
      </c>
      <c r="H1427" s="31" t="n">
        <v>2</v>
      </c>
      <c r="I1427" s="31" t="s">
        <v>173</v>
      </c>
      <c r="J1427" s="29"/>
      <c r="K1427" s="29" t="s">
        <v>8230</v>
      </c>
      <c r="L1427" s="32" t="n">
        <v>5</v>
      </c>
      <c r="M1427" s="33" t="s">
        <v>8231</v>
      </c>
      <c r="N1427" s="34" t="n">
        <v>75016</v>
      </c>
      <c r="O1427" s="35" t="s">
        <v>55</v>
      </c>
      <c r="P1427" s="36" t="s">
        <v>8232</v>
      </c>
      <c r="Q1427" s="36" t="n">
        <v>1</v>
      </c>
      <c r="R1427" s="32" t="n">
        <v>119</v>
      </c>
      <c r="S1427" s="32" t="n">
        <v>1</v>
      </c>
      <c r="T1427" s="32"/>
      <c r="U1427" s="32"/>
      <c r="V1427" s="37"/>
      <c r="W1427" s="32"/>
      <c r="X1427" s="34"/>
      <c r="Y1427" s="34"/>
      <c r="Z1427" s="36"/>
      <c r="AA1427" s="32" t="s">
        <v>8233</v>
      </c>
      <c r="AB1427" s="32" t="s">
        <v>8234</v>
      </c>
      <c r="AC1427" s="38" t="str">
        <f aca="false">HYPERLINK("https://biocodex6--c.vf.force.com/0014L00000KFSxbQAH", "BERARD JEROME")</f>
        <v>BERARD JEROME</v>
      </c>
      <c r="AD1427" s="38" t="str">
        <f aca="false">HYPERLINK("https://annuairesante.ameli.fr/professionnels-de-sante/recherche/fiche-detaillee-B7c1lTAyODC0.html", "BERARD JEROME")</f>
        <v>BERARD JEROME</v>
      </c>
      <c r="AE1427" s="39"/>
      <c r="AF1427" s="40"/>
      <c r="AG1427" s="41"/>
      <c r="AH1427" s="32" t="s">
        <v>179</v>
      </c>
      <c r="AI1427" s="32"/>
      <c r="AL1427" s="43" t="s">
        <v>8235</v>
      </c>
      <c r="AM1427" s="32"/>
      <c r="AN1427" s="43" t="s">
        <v>8236</v>
      </c>
      <c r="AO1427" s="43" t="s">
        <v>476</v>
      </c>
      <c r="AP1427" s="32"/>
      <c r="AQ1427" s="32"/>
      <c r="AR1427" s="32"/>
      <c r="AS1427" s="43" t="s">
        <v>137</v>
      </c>
      <c r="AT1427" s="43" t="s">
        <v>8235</v>
      </c>
      <c r="AU1427" s="32"/>
      <c r="XEY1427" s="27"/>
      <c r="XEZ1427" s="27"/>
      <c r="XFA1427" s="27"/>
      <c r="XFB1427" s="27"/>
      <c r="XFC1427" s="27"/>
      <c r="XFD1427" s="27"/>
    </row>
    <row r="1428" s="42" customFormat="true" ht="14.15" hidden="false" customHeight="true" outlineLevel="0" collapsed="false">
      <c r="A1428" s="28" t="s">
        <v>433</v>
      </c>
      <c r="B1428" s="29" t="s">
        <v>128</v>
      </c>
      <c r="C1428" s="29" t="s">
        <v>8237</v>
      </c>
      <c r="D1428" s="30" t="s">
        <v>244</v>
      </c>
      <c r="E1428" s="30" t="s">
        <v>741</v>
      </c>
      <c r="F1428" s="32" t="n">
        <v>73</v>
      </c>
      <c r="G1428" s="31" t="s">
        <v>215</v>
      </c>
      <c r="H1428" s="31" t="n">
        <v>1</v>
      </c>
      <c r="I1428" s="31" t="s">
        <v>572</v>
      </c>
      <c r="J1428" s="29"/>
      <c r="K1428" s="29" t="s">
        <v>3203</v>
      </c>
      <c r="L1428" s="32" t="n">
        <v>58</v>
      </c>
      <c r="M1428" s="33" t="s">
        <v>3204</v>
      </c>
      <c r="N1428" s="34" t="n">
        <v>75008</v>
      </c>
      <c r="O1428" s="35" t="s">
        <v>55</v>
      </c>
      <c r="P1428" s="36" t="s">
        <v>8238</v>
      </c>
      <c r="Q1428" s="36" t="n">
        <v>2</v>
      </c>
      <c r="R1428" s="32" t="n">
        <v>118</v>
      </c>
      <c r="S1428" s="32" t="n">
        <v>1</v>
      </c>
      <c r="T1428" s="32"/>
      <c r="U1428" s="32" t="n">
        <v>3</v>
      </c>
      <c r="V1428" s="37"/>
      <c r="W1428" s="32" t="n">
        <v>2</v>
      </c>
      <c r="X1428" s="34"/>
      <c r="Y1428" s="34" t="n">
        <v>2</v>
      </c>
      <c r="Z1428" s="36" t="s">
        <v>8239</v>
      </c>
      <c r="AA1428" s="32" t="s">
        <v>8240</v>
      </c>
      <c r="AB1428" s="44" t="s">
        <v>8241</v>
      </c>
      <c r="AC1428" s="38" t="str">
        <f aca="false">HYPERLINK("https://biocodex6--c.vf.force.com/0014L00000KG4FQQA1", "VALLETEAU DE MOULLIAC FRANCOISE")</f>
        <v>VALLETEAU DE MOULLIAC FRANCOISE</v>
      </c>
      <c r="AD1428" s="38" t="str">
        <f aca="false">HYPERLINK("https://annuairesante.ameli.fr/professionnels-de-sante/recherche/fiche-detaillee-B7c1lzU2MTWw.html", "VALLETEAU DE MOULLIAC FRANCOISE")</f>
        <v>VALLETEAU DE MOULLIAC FRANCOISE</v>
      </c>
      <c r="AE1428" s="39" t="n">
        <v>45362.6458333333</v>
      </c>
      <c r="AF1428" s="40"/>
      <c r="AG1428" s="41"/>
      <c r="AH1428" s="32" t="s">
        <v>3469</v>
      </c>
      <c r="AI1428" s="32"/>
      <c r="AL1428" s="32"/>
      <c r="AM1428" s="32"/>
      <c r="AN1428" s="32"/>
      <c r="AO1428" s="32"/>
      <c r="AP1428" s="32"/>
      <c r="AQ1428" s="32"/>
      <c r="AR1428" s="32"/>
      <c r="AS1428" s="32"/>
      <c r="AT1428" s="32"/>
      <c r="AU1428" s="32"/>
      <c r="XEY1428" s="27"/>
      <c r="XEZ1428" s="27"/>
      <c r="XFA1428" s="27"/>
      <c r="XFB1428" s="27"/>
      <c r="XFC1428" s="27"/>
      <c r="XFD1428" s="27"/>
    </row>
    <row r="1429" s="42" customFormat="true" ht="14.15" hidden="false" customHeight="true" outlineLevel="0" collapsed="false">
      <c r="A1429" s="28" t="s">
        <v>8242</v>
      </c>
      <c r="B1429" s="29" t="s">
        <v>151</v>
      </c>
      <c r="C1429" s="29" t="s">
        <v>8243</v>
      </c>
      <c r="D1429" s="30" t="s">
        <v>244</v>
      </c>
      <c r="E1429" s="30" t="s">
        <v>245</v>
      </c>
      <c r="F1429" s="32" t="n">
        <v>60</v>
      </c>
      <c r="G1429" s="31" t="s">
        <v>215</v>
      </c>
      <c r="H1429" s="31" t="n">
        <v>3</v>
      </c>
      <c r="I1429" s="31" t="s">
        <v>435</v>
      </c>
      <c r="J1429" s="29" t="s">
        <v>3117</v>
      </c>
      <c r="K1429" s="29" t="s">
        <v>3118</v>
      </c>
      <c r="L1429" s="32" t="n">
        <v>46</v>
      </c>
      <c r="M1429" s="33" t="s">
        <v>1450</v>
      </c>
      <c r="N1429" s="34" t="n">
        <v>75016</v>
      </c>
      <c r="O1429" s="35" t="s">
        <v>55</v>
      </c>
      <c r="P1429" s="36" t="s">
        <v>3082</v>
      </c>
      <c r="Q1429" s="36" t="n">
        <v>14</v>
      </c>
      <c r="R1429" s="32" t="n">
        <v>118</v>
      </c>
      <c r="S1429" s="32" t="n">
        <v>1</v>
      </c>
      <c r="T1429" s="32"/>
      <c r="U1429" s="32"/>
      <c r="V1429" s="37"/>
      <c r="W1429" s="32"/>
      <c r="X1429" s="34"/>
      <c r="Y1429" s="34"/>
      <c r="Z1429" s="36"/>
      <c r="AA1429" s="32" t="s">
        <v>8244</v>
      </c>
      <c r="AB1429" s="32" t="s">
        <v>8245</v>
      </c>
      <c r="AC1429" s="38" t="str">
        <f aca="false">HYPERLINK("https://biocodex6--c.vf.force.com/0014L00000KFsq0QAD", "MORVAN FREDERIC")</f>
        <v>MORVAN FREDERIC</v>
      </c>
      <c r="AD1429" s="38" t="str">
        <f aca="false">HYPERLINK("https://annuairesante.ameli.fr/professionnels-de-sante/recherche/fiche-detaillee-B7c1mjA1MzO7.html", "MORVAN FREDERIC")</f>
        <v>MORVAN FREDERIC</v>
      </c>
      <c r="AE1429" s="39"/>
      <c r="AF1429" s="40"/>
      <c r="AG1429" s="41"/>
      <c r="AH1429" s="32" t="s">
        <v>179</v>
      </c>
      <c r="AI1429" s="32"/>
      <c r="AL1429" s="32"/>
      <c r="AM1429" s="32"/>
      <c r="AN1429" s="32"/>
      <c r="AO1429" s="32"/>
      <c r="AP1429" s="32"/>
      <c r="AQ1429" s="32"/>
      <c r="AR1429" s="32"/>
      <c r="AS1429" s="32"/>
      <c r="AT1429" s="32"/>
      <c r="AU1429" s="32"/>
      <c r="XEY1429" s="27"/>
      <c r="XEZ1429" s="27"/>
      <c r="XFA1429" s="27"/>
      <c r="XFB1429" s="27"/>
      <c r="XFC1429" s="27"/>
      <c r="XFD1429" s="27"/>
    </row>
    <row r="1430" s="42" customFormat="true" ht="14.15" hidden="false" customHeight="true" outlineLevel="0" collapsed="false">
      <c r="A1430" s="28" t="s">
        <v>8246</v>
      </c>
      <c r="B1430" s="29" t="s">
        <v>332</v>
      </c>
      <c r="C1430" s="29" t="s">
        <v>8247</v>
      </c>
      <c r="D1430" s="30" t="s">
        <v>112</v>
      </c>
      <c r="E1430" s="31"/>
      <c r="F1430" s="32" t="n">
        <v>71</v>
      </c>
      <c r="G1430" s="31"/>
      <c r="H1430" s="31" t="n">
        <v>1</v>
      </c>
      <c r="I1430" s="31" t="s">
        <v>62</v>
      </c>
      <c r="J1430" s="29"/>
      <c r="K1430" s="29" t="s">
        <v>1731</v>
      </c>
      <c r="L1430" s="32" t="n">
        <v>8</v>
      </c>
      <c r="M1430" s="33" t="s">
        <v>757</v>
      </c>
      <c r="N1430" s="34" t="n">
        <v>75017</v>
      </c>
      <c r="O1430" s="35" t="s">
        <v>55</v>
      </c>
      <c r="P1430" s="36"/>
      <c r="Q1430" s="36" t="n">
        <v>3</v>
      </c>
      <c r="R1430" s="32" t="n">
        <v>118</v>
      </c>
      <c r="S1430" s="32" t="n">
        <v>1</v>
      </c>
      <c r="T1430" s="32"/>
      <c r="U1430" s="32"/>
      <c r="V1430" s="37"/>
      <c r="W1430" s="32"/>
      <c r="X1430" s="34"/>
      <c r="Y1430" s="34"/>
      <c r="Z1430" s="36"/>
      <c r="AA1430" s="32" t="s">
        <v>8248</v>
      </c>
      <c r="AB1430" s="32"/>
      <c r="AC1430" s="38" t="str">
        <f aca="false">HYPERLINK("https://biocodex6--c.vf.force.com/0014L00000KFxgkQAD", "RAST CATHERINE")</f>
        <v>RAST CATHERINE</v>
      </c>
      <c r="AD1430" s="38"/>
      <c r="AE1430" s="39"/>
      <c r="AF1430" s="40"/>
      <c r="AG1430" s="41"/>
      <c r="AH1430" s="32" t="s">
        <v>179</v>
      </c>
      <c r="AI1430" s="32"/>
      <c r="AL1430" s="32"/>
      <c r="AM1430" s="32"/>
      <c r="AN1430" s="32"/>
      <c r="AO1430" s="32"/>
      <c r="AP1430" s="32"/>
      <c r="AQ1430" s="32"/>
      <c r="AR1430" s="32"/>
      <c r="AS1430" s="32"/>
      <c r="AT1430" s="32"/>
      <c r="AU1430" s="32"/>
      <c r="XEY1430" s="27"/>
      <c r="XEZ1430" s="27"/>
      <c r="XFA1430" s="27"/>
      <c r="XFB1430" s="27"/>
      <c r="XFC1430" s="27"/>
      <c r="XFD1430" s="27"/>
    </row>
    <row r="1431" s="42" customFormat="true" ht="14.15" hidden="false" customHeight="true" outlineLevel="0" collapsed="false">
      <c r="A1431" s="28" t="s">
        <v>8249</v>
      </c>
      <c r="B1431" s="29" t="s">
        <v>242</v>
      </c>
      <c r="C1431" s="29" t="s">
        <v>8250</v>
      </c>
      <c r="D1431" s="30" t="s">
        <v>244</v>
      </c>
      <c r="E1431" s="30" t="s">
        <v>245</v>
      </c>
      <c r="F1431" s="32" t="n">
        <v>63</v>
      </c>
      <c r="G1431" s="31"/>
      <c r="H1431" s="31" t="n">
        <v>1</v>
      </c>
      <c r="I1431" s="31" t="s">
        <v>77</v>
      </c>
      <c r="J1431" s="29" t="s">
        <v>246</v>
      </c>
      <c r="K1431" s="29" t="s">
        <v>247</v>
      </c>
      <c r="L1431" s="32" t="n">
        <v>36</v>
      </c>
      <c r="M1431" s="33" t="s">
        <v>248</v>
      </c>
      <c r="N1431" s="34" t="n">
        <v>92200</v>
      </c>
      <c r="O1431" s="35" t="s">
        <v>81</v>
      </c>
      <c r="P1431" s="36" t="s">
        <v>614</v>
      </c>
      <c r="Q1431" s="36" t="n">
        <v>49</v>
      </c>
      <c r="R1431" s="32" t="n">
        <v>117</v>
      </c>
      <c r="S1431" s="32" t="n">
        <v>1</v>
      </c>
      <c r="T1431" s="32"/>
      <c r="U1431" s="32"/>
      <c r="V1431" s="37"/>
      <c r="W1431" s="32"/>
      <c r="X1431" s="34"/>
      <c r="Y1431" s="34"/>
      <c r="Z1431" s="36" t="s">
        <v>8251</v>
      </c>
      <c r="AA1431" s="32" t="s">
        <v>8252</v>
      </c>
      <c r="AB1431" s="32"/>
      <c r="AC1431" s="38" t="str">
        <f aca="false">HYPERLINK("https://biocodex6--c.vf.force.com/0014L00000KFes9QAD", "GALIMARD JEROME")</f>
        <v>GALIMARD JEROME</v>
      </c>
      <c r="AD1431" s="38"/>
      <c r="AE1431" s="39"/>
      <c r="AF1431" s="40"/>
      <c r="AG1431" s="41"/>
      <c r="AH1431" s="32" t="s">
        <v>179</v>
      </c>
      <c r="AI1431" s="32"/>
      <c r="AL1431" s="32"/>
      <c r="AM1431" s="32"/>
      <c r="AN1431" s="32"/>
      <c r="AO1431" s="32"/>
      <c r="AP1431" s="32"/>
      <c r="AQ1431" s="32"/>
      <c r="AR1431" s="32"/>
      <c r="AS1431" s="32"/>
      <c r="AT1431" s="32"/>
      <c r="AU1431" s="32"/>
      <c r="XEY1431" s="27"/>
      <c r="XEZ1431" s="27"/>
      <c r="XFA1431" s="27"/>
      <c r="XFB1431" s="27"/>
      <c r="XFC1431" s="27"/>
      <c r="XFD1431" s="27"/>
    </row>
    <row r="1432" s="42" customFormat="true" ht="14.15" hidden="false" customHeight="true" outlineLevel="0" collapsed="false">
      <c r="A1432" s="28" t="s">
        <v>8253</v>
      </c>
      <c r="B1432" s="29" t="s">
        <v>399</v>
      </c>
      <c r="C1432" s="29" t="s">
        <v>8254</v>
      </c>
      <c r="D1432" s="30" t="s">
        <v>244</v>
      </c>
      <c r="E1432" s="30" t="s">
        <v>245</v>
      </c>
      <c r="F1432" s="32" t="n">
        <v>50</v>
      </c>
      <c r="G1432" s="31" t="s">
        <v>215</v>
      </c>
      <c r="H1432" s="31" t="n">
        <v>4</v>
      </c>
      <c r="I1432" s="31" t="s">
        <v>77</v>
      </c>
      <c r="J1432" s="29" t="s">
        <v>246</v>
      </c>
      <c r="K1432" s="29" t="s">
        <v>247</v>
      </c>
      <c r="L1432" s="32" t="n">
        <v>36</v>
      </c>
      <c r="M1432" s="33" t="s">
        <v>248</v>
      </c>
      <c r="N1432" s="34" t="n">
        <v>92200</v>
      </c>
      <c r="O1432" s="35" t="s">
        <v>81</v>
      </c>
      <c r="P1432" s="36" t="s">
        <v>614</v>
      </c>
      <c r="Q1432" s="36" t="n">
        <v>49</v>
      </c>
      <c r="R1432" s="32" t="n">
        <v>117</v>
      </c>
      <c r="S1432" s="32" t="n">
        <v>1</v>
      </c>
      <c r="T1432" s="32"/>
      <c r="U1432" s="32"/>
      <c r="V1432" s="37"/>
      <c r="W1432" s="32"/>
      <c r="X1432" s="34"/>
      <c r="Y1432" s="34"/>
      <c r="Z1432" s="36" t="s">
        <v>3273</v>
      </c>
      <c r="AA1432" s="32" t="s">
        <v>8255</v>
      </c>
      <c r="AB1432" s="32" t="s">
        <v>8256</v>
      </c>
      <c r="AC1432" s="38" t="str">
        <f aca="false">HYPERLINK("https://biocodex6--c.vf.force.com/0014L00000KFy4yQAD", "POUJADE OLIVIER")</f>
        <v>POUJADE OLIVIER</v>
      </c>
      <c r="AD1432" s="38" t="str">
        <f aca="false">HYPERLINK("https://annuairesante.ameli.fr/professionnels-de-sante/recherche/fiche-detaillee-B7c1lTYyOTS2.html", "POUJADE OLIVIER")</f>
        <v>POUJADE OLIVIER</v>
      </c>
      <c r="AE1432" s="39"/>
      <c r="AF1432" s="40"/>
      <c r="AG1432" s="41"/>
      <c r="AH1432" s="32" t="s">
        <v>179</v>
      </c>
      <c r="AI1432" s="32"/>
      <c r="AL1432" s="32"/>
      <c r="AM1432" s="32"/>
      <c r="AN1432" s="32"/>
      <c r="AO1432" s="32"/>
      <c r="AP1432" s="32"/>
      <c r="AQ1432" s="32"/>
      <c r="AR1432" s="32"/>
      <c r="AS1432" s="32"/>
      <c r="AT1432" s="32"/>
      <c r="AU1432" s="32"/>
      <c r="XEY1432" s="27"/>
      <c r="XEZ1432" s="27"/>
      <c r="XFA1432" s="27"/>
      <c r="XFB1432" s="27"/>
      <c r="XFC1432" s="27"/>
      <c r="XFD1432" s="27"/>
    </row>
    <row r="1433" s="42" customFormat="true" ht="14.15" hidden="false" customHeight="true" outlineLevel="0" collapsed="false">
      <c r="A1433" s="28" t="s">
        <v>8257</v>
      </c>
      <c r="B1433" s="29" t="s">
        <v>151</v>
      </c>
      <c r="C1433" s="29" t="s">
        <v>8258</v>
      </c>
      <c r="D1433" s="30" t="s">
        <v>244</v>
      </c>
      <c r="E1433" s="30" t="s">
        <v>245</v>
      </c>
      <c r="F1433" s="32" t="n">
        <v>61</v>
      </c>
      <c r="G1433" s="31" t="s">
        <v>215</v>
      </c>
      <c r="H1433" s="31" t="n">
        <v>3</v>
      </c>
      <c r="I1433" s="31" t="s">
        <v>77</v>
      </c>
      <c r="J1433" s="29" t="s">
        <v>580</v>
      </c>
      <c r="K1433" s="29" t="s">
        <v>581</v>
      </c>
      <c r="L1433" s="32" t="n">
        <v>63</v>
      </c>
      <c r="M1433" s="33" t="s">
        <v>80</v>
      </c>
      <c r="N1433" s="34" t="n">
        <v>92200</v>
      </c>
      <c r="O1433" s="35" t="s">
        <v>81</v>
      </c>
      <c r="P1433" s="36" t="s">
        <v>8259</v>
      </c>
      <c r="Q1433" s="36" t="n">
        <v>39</v>
      </c>
      <c r="R1433" s="32" t="n">
        <v>117</v>
      </c>
      <c r="S1433" s="32" t="n">
        <v>1</v>
      </c>
      <c r="T1433" s="32"/>
      <c r="U1433" s="32"/>
      <c r="V1433" s="37"/>
      <c r="W1433" s="32"/>
      <c r="X1433" s="34"/>
      <c r="Y1433" s="34"/>
      <c r="Z1433" s="36"/>
      <c r="AA1433" s="32" t="s">
        <v>8260</v>
      </c>
      <c r="AB1433" s="32" t="s">
        <v>8261</v>
      </c>
      <c r="AC1433" s="38" t="str">
        <f aca="false">HYPERLINK("https://biocodex6--c.vf.force.com/0014L00000KFfamQAD", "CHICHE FREDERIC")</f>
        <v>CHICHE FREDERIC</v>
      </c>
      <c r="AD1433" s="38" t="str">
        <f aca="false">HYPERLINK("https://annuairesante.ameli.fr/professionnels-de-sante/recherche/fiche-detaillee-CbA1lTMzNDux.html", "CHICHE FREDERIC")</f>
        <v>CHICHE FREDERIC</v>
      </c>
      <c r="AE1433" s="39"/>
      <c r="AF1433" s="40"/>
      <c r="AG1433" s="41"/>
      <c r="AH1433" s="32" t="s">
        <v>179</v>
      </c>
      <c r="AI1433" s="32"/>
      <c r="AL1433" s="32"/>
      <c r="AM1433" s="32"/>
      <c r="AN1433" s="32"/>
      <c r="AO1433" s="32"/>
      <c r="AP1433" s="32"/>
      <c r="AQ1433" s="32"/>
      <c r="AR1433" s="32"/>
      <c r="AS1433" s="32"/>
      <c r="AT1433" s="32"/>
      <c r="AU1433" s="32"/>
      <c r="XEY1433" s="27"/>
      <c r="XEZ1433" s="27"/>
      <c r="XFA1433" s="27"/>
      <c r="XFB1433" s="27"/>
      <c r="XFC1433" s="27"/>
      <c r="XFD1433" s="27"/>
    </row>
    <row r="1434" s="42" customFormat="true" ht="14.15" hidden="false" customHeight="true" outlineLevel="0" collapsed="false">
      <c r="A1434" s="28" t="s">
        <v>8262</v>
      </c>
      <c r="B1434" s="29" t="s">
        <v>8263</v>
      </c>
      <c r="C1434" s="29" t="s">
        <v>8264</v>
      </c>
      <c r="D1434" s="30" t="s">
        <v>244</v>
      </c>
      <c r="E1434" s="30" t="s">
        <v>8265</v>
      </c>
      <c r="F1434" s="32" t="n">
        <v>73</v>
      </c>
      <c r="G1434" s="31" t="s">
        <v>215</v>
      </c>
      <c r="H1434" s="31" t="n">
        <v>1</v>
      </c>
      <c r="I1434" s="31" t="s">
        <v>99</v>
      </c>
      <c r="J1434" s="29"/>
      <c r="K1434" s="29" t="s">
        <v>8266</v>
      </c>
      <c r="L1434" s="32" t="n">
        <v>64</v>
      </c>
      <c r="M1434" s="33" t="s">
        <v>469</v>
      </c>
      <c r="N1434" s="34" t="n">
        <v>75015</v>
      </c>
      <c r="O1434" s="35" t="s">
        <v>55</v>
      </c>
      <c r="P1434" s="36" t="s">
        <v>8267</v>
      </c>
      <c r="Q1434" s="36" t="n">
        <v>1</v>
      </c>
      <c r="R1434" s="32" t="n">
        <v>116</v>
      </c>
      <c r="S1434" s="32" t="n">
        <v>1</v>
      </c>
      <c r="T1434" s="32"/>
      <c r="U1434" s="32"/>
      <c r="V1434" s="37"/>
      <c r="W1434" s="32" t="n">
        <v>3</v>
      </c>
      <c r="X1434" s="34" t="n">
        <v>1</v>
      </c>
      <c r="Y1434" s="34" t="n">
        <v>1</v>
      </c>
      <c r="Z1434" s="32" t="s">
        <v>8268</v>
      </c>
      <c r="AA1434" s="32" t="s">
        <v>8269</v>
      </c>
      <c r="AB1434" s="32" t="s">
        <v>8270</v>
      </c>
      <c r="AC1434" s="38" t="str">
        <f aca="false">HYPERLINK("https://biocodex6--c.vf.force.com/0014L00000KG1rtQAD", "SOLOMON MONIQUE")</f>
        <v>SOLOMON MONIQUE</v>
      </c>
      <c r="AD1434" s="38" t="str">
        <f aca="false">HYPERLINK("https://annuairesante.ameli.fr/professionnels-de-sante/recherche/fiche-detaillee-B7c1lzA4MjS2.html", "SOLOMON MONIQUE")</f>
        <v>SOLOMON MONIQUE</v>
      </c>
      <c r="AE1434" s="39" t="n">
        <v>45132.4791666667</v>
      </c>
      <c r="AF1434" s="40"/>
      <c r="AG1434" s="41"/>
      <c r="AH1434" s="32"/>
      <c r="AI1434" s="32"/>
      <c r="AL1434" s="32"/>
      <c r="AM1434" s="32"/>
      <c r="AN1434" s="32"/>
      <c r="AO1434" s="32"/>
      <c r="AP1434" s="32"/>
      <c r="AQ1434" s="32"/>
      <c r="AR1434" s="32"/>
      <c r="AS1434" s="32"/>
      <c r="AT1434" s="32"/>
      <c r="AU1434" s="32"/>
      <c r="XEY1434" s="27"/>
      <c r="XEZ1434" s="27"/>
      <c r="XFA1434" s="27"/>
      <c r="XFB1434" s="27"/>
      <c r="XFC1434" s="27"/>
      <c r="XFD1434" s="27"/>
    </row>
    <row r="1435" s="42" customFormat="true" ht="14.15" hidden="false" customHeight="true" outlineLevel="0" collapsed="false">
      <c r="A1435" s="28" t="s">
        <v>8271</v>
      </c>
      <c r="B1435" s="29" t="s">
        <v>8272</v>
      </c>
      <c r="C1435" s="29" t="s">
        <v>8273</v>
      </c>
      <c r="D1435" s="30" t="s">
        <v>112</v>
      </c>
      <c r="E1435" s="31"/>
      <c r="F1435" s="32" t="n">
        <v>0</v>
      </c>
      <c r="G1435" s="31"/>
      <c r="H1435" s="31" t="n">
        <v>1</v>
      </c>
      <c r="I1435" s="31" t="s">
        <v>51</v>
      </c>
      <c r="J1435" s="29" t="s">
        <v>52</v>
      </c>
      <c r="K1435" s="29" t="s">
        <v>53</v>
      </c>
      <c r="L1435" s="32" t="n">
        <v>149</v>
      </c>
      <c r="M1435" s="33" t="s">
        <v>54</v>
      </c>
      <c r="N1435" s="34" t="n">
        <v>75015</v>
      </c>
      <c r="O1435" s="35" t="s">
        <v>55</v>
      </c>
      <c r="P1435" s="36" t="s">
        <v>1815</v>
      </c>
      <c r="Q1435" s="36" t="n">
        <v>236</v>
      </c>
      <c r="R1435" s="32" t="n">
        <v>116</v>
      </c>
      <c r="S1435" s="32" t="n">
        <v>1</v>
      </c>
      <c r="T1435" s="32"/>
      <c r="U1435" s="32"/>
      <c r="V1435" s="37"/>
      <c r="W1435" s="32"/>
      <c r="X1435" s="34"/>
      <c r="Y1435" s="34"/>
      <c r="Z1435" s="36"/>
      <c r="AA1435" s="32" t="s">
        <v>8274</v>
      </c>
      <c r="AB1435" s="32"/>
      <c r="AC1435" s="38" t="str">
        <f aca="false">HYPERLINK("https://biocodex6--c.vf.force.com/0014L00000KGIYfQAP", "ARYAFAR ANNAHITA")</f>
        <v>ARYAFAR ANNAHITA</v>
      </c>
      <c r="AD1435" s="38"/>
      <c r="AE1435" s="39"/>
      <c r="AF1435" s="40"/>
      <c r="AG1435" s="41"/>
      <c r="AH1435" s="32" t="s">
        <v>179</v>
      </c>
      <c r="AI1435" s="32"/>
      <c r="AJ1435" s="42" t="s">
        <v>1817</v>
      </c>
      <c r="AL1435" s="32"/>
      <c r="AM1435" s="32"/>
      <c r="AN1435" s="32"/>
      <c r="AO1435" s="32"/>
      <c r="AP1435" s="32"/>
      <c r="AQ1435" s="32"/>
      <c r="AR1435" s="32"/>
      <c r="AS1435" s="32"/>
      <c r="AT1435" s="32"/>
      <c r="AU1435" s="32"/>
      <c r="XEY1435" s="27"/>
      <c r="XEZ1435" s="27"/>
      <c r="XFA1435" s="27"/>
      <c r="XFB1435" s="27"/>
      <c r="XFC1435" s="27"/>
      <c r="XFD1435" s="27"/>
    </row>
    <row r="1436" s="42" customFormat="true" ht="14.15" hidden="false" customHeight="true" outlineLevel="0" collapsed="false">
      <c r="A1436" s="28" t="s">
        <v>8275</v>
      </c>
      <c r="B1436" s="29" t="s">
        <v>3524</v>
      </c>
      <c r="C1436" s="49" t="s">
        <v>8276</v>
      </c>
      <c r="D1436" s="30" t="s">
        <v>244</v>
      </c>
      <c r="E1436" s="30" t="s">
        <v>245</v>
      </c>
      <c r="F1436" s="32" t="n">
        <v>62</v>
      </c>
      <c r="G1436" s="31" t="s">
        <v>215</v>
      </c>
      <c r="H1436" s="31" t="n">
        <v>3</v>
      </c>
      <c r="I1436" s="30" t="s">
        <v>77</v>
      </c>
      <c r="J1436" s="49" t="s">
        <v>580</v>
      </c>
      <c r="K1436" s="49" t="s">
        <v>581</v>
      </c>
      <c r="L1436" s="32" t="n">
        <v>63</v>
      </c>
      <c r="M1436" s="33" t="s">
        <v>80</v>
      </c>
      <c r="N1436" s="34" t="n">
        <v>75007</v>
      </c>
      <c r="O1436" s="35" t="s">
        <v>55</v>
      </c>
      <c r="P1436" s="36" t="s">
        <v>4668</v>
      </c>
      <c r="Q1436" s="36" t="n">
        <v>1</v>
      </c>
      <c r="R1436" s="32" t="n">
        <v>115</v>
      </c>
      <c r="S1436" s="32" t="n">
        <v>1</v>
      </c>
      <c r="T1436" s="32"/>
      <c r="U1436" s="32"/>
      <c r="V1436" s="37"/>
      <c r="W1436" s="32"/>
      <c r="X1436" s="34"/>
      <c r="Y1436" s="34"/>
      <c r="Z1436" s="36"/>
      <c r="AA1436" s="32" t="s">
        <v>8277</v>
      </c>
      <c r="AB1436" s="32" t="s">
        <v>8278</v>
      </c>
      <c r="AC1436" s="38" t="str">
        <f aca="false">HYPERLINK("https://biocodex6--c.vf.force.com/0014L00000KFhUvQAL", "GUGLIELMINA JEAN NOEL")</f>
        <v>GUGLIELMINA JEAN NOEL</v>
      </c>
      <c r="AD1436" s="38" t="str">
        <f aca="false">HYPERLINK("https://annuairesante.ameli.fr/professionnels-de-sante/recherche/fiche-detaillee-B7c1lzU3MTuy.html", "GUGLIELMINA JEAN NOEL")</f>
        <v>GUGLIELMINA JEAN NOEL</v>
      </c>
      <c r="AE1436" s="39"/>
      <c r="AF1436" s="40"/>
      <c r="AG1436" s="41"/>
      <c r="AH1436" s="32" t="s">
        <v>179</v>
      </c>
      <c r="AI1436" s="32"/>
      <c r="AL1436" s="32"/>
      <c r="AM1436" s="32"/>
      <c r="AN1436" s="32"/>
      <c r="AO1436" s="32"/>
      <c r="AP1436" s="32"/>
      <c r="AQ1436" s="32"/>
      <c r="AR1436" s="32"/>
      <c r="AS1436" s="32"/>
      <c r="AT1436" s="32"/>
      <c r="AU1436" s="32"/>
      <c r="XEY1436" s="27"/>
      <c r="XEZ1436" s="27"/>
      <c r="XFA1436" s="27"/>
      <c r="XFB1436" s="27"/>
      <c r="XFC1436" s="27"/>
      <c r="XFD1436" s="27"/>
    </row>
    <row r="1437" s="42" customFormat="true" ht="14.15" hidden="false" customHeight="true" outlineLevel="0" collapsed="false">
      <c r="A1437" s="28" t="s">
        <v>8279</v>
      </c>
      <c r="B1437" s="29" t="s">
        <v>204</v>
      </c>
      <c r="C1437" s="29" t="s">
        <v>8280</v>
      </c>
      <c r="D1437" s="30" t="s">
        <v>50</v>
      </c>
      <c r="E1437" s="31"/>
      <c r="F1437" s="32" t="n">
        <v>36</v>
      </c>
      <c r="G1437" s="31"/>
      <c r="H1437" s="31" t="n">
        <v>1</v>
      </c>
      <c r="I1437" s="31" t="s">
        <v>51</v>
      </c>
      <c r="J1437" s="29" t="s">
        <v>52</v>
      </c>
      <c r="K1437" s="29" t="s">
        <v>53</v>
      </c>
      <c r="L1437" s="32" t="n">
        <v>149</v>
      </c>
      <c r="M1437" s="33" t="s">
        <v>54</v>
      </c>
      <c r="N1437" s="34" t="n">
        <v>75015</v>
      </c>
      <c r="O1437" s="35" t="s">
        <v>55</v>
      </c>
      <c r="P1437" s="36" t="s">
        <v>8281</v>
      </c>
      <c r="Q1437" s="36" t="n">
        <v>236</v>
      </c>
      <c r="R1437" s="32" t="n">
        <v>115</v>
      </c>
      <c r="S1437" s="32" t="n">
        <v>1</v>
      </c>
      <c r="T1437" s="32"/>
      <c r="U1437" s="32"/>
      <c r="V1437" s="37"/>
      <c r="W1437" s="32"/>
      <c r="X1437" s="34"/>
      <c r="Y1437" s="34"/>
      <c r="Z1437" s="36"/>
      <c r="AA1437" s="32" t="s">
        <v>8282</v>
      </c>
      <c r="AB1437" s="32"/>
      <c r="AC1437" s="38" t="str">
        <f aca="false">HYPERLINK("https://biocodex6--c.vf.force.com/0014L00000KG9q6QAD", "CHAVAROT NATHALIE")</f>
        <v>CHAVAROT NATHALIE</v>
      </c>
      <c r="AD1437" s="38"/>
      <c r="AE1437" s="39"/>
      <c r="AF1437" s="40"/>
      <c r="AG1437" s="41"/>
      <c r="AH1437" s="32" t="s">
        <v>179</v>
      </c>
      <c r="AI1437" s="32"/>
      <c r="AL1437" s="32"/>
      <c r="AM1437" s="32"/>
      <c r="AN1437" s="32"/>
      <c r="AO1437" s="32"/>
      <c r="AP1437" s="32"/>
      <c r="AQ1437" s="32"/>
      <c r="AR1437" s="32"/>
      <c r="AS1437" s="32"/>
      <c r="AT1437" s="32"/>
      <c r="AU1437" s="32"/>
      <c r="XEY1437" s="27"/>
      <c r="XEZ1437" s="27"/>
      <c r="XFA1437" s="27"/>
      <c r="XFB1437" s="27"/>
      <c r="XFC1437" s="27"/>
      <c r="XFD1437" s="27"/>
    </row>
    <row r="1438" s="42" customFormat="true" ht="14.15" hidden="false" customHeight="true" outlineLevel="0" collapsed="false">
      <c r="A1438" s="28" t="s">
        <v>8283</v>
      </c>
      <c r="B1438" s="29" t="s">
        <v>2081</v>
      </c>
      <c r="C1438" s="29" t="s">
        <v>8284</v>
      </c>
      <c r="D1438" s="30" t="s">
        <v>50</v>
      </c>
      <c r="E1438" s="30" t="s">
        <v>1228</v>
      </c>
      <c r="F1438" s="32" t="n">
        <v>73</v>
      </c>
      <c r="G1438" s="31" t="s">
        <v>215</v>
      </c>
      <c r="H1438" s="31" t="n">
        <v>1</v>
      </c>
      <c r="I1438" s="31" t="s">
        <v>173</v>
      </c>
      <c r="J1438" s="29"/>
      <c r="K1438" s="29" t="s">
        <v>8285</v>
      </c>
      <c r="L1438" s="32" t="n">
        <v>7</v>
      </c>
      <c r="M1438" s="33" t="s">
        <v>8286</v>
      </c>
      <c r="N1438" s="34" t="n">
        <v>75016</v>
      </c>
      <c r="O1438" s="35" t="s">
        <v>55</v>
      </c>
      <c r="P1438" s="36" t="s">
        <v>8287</v>
      </c>
      <c r="Q1438" s="36" t="n">
        <v>1</v>
      </c>
      <c r="R1438" s="32" t="n">
        <v>115</v>
      </c>
      <c r="S1438" s="32" t="n">
        <v>1</v>
      </c>
      <c r="T1438" s="32"/>
      <c r="U1438" s="32"/>
      <c r="V1438" s="37"/>
      <c r="W1438" s="32"/>
      <c r="X1438" s="34"/>
      <c r="Y1438" s="34"/>
      <c r="Z1438" s="36"/>
      <c r="AA1438" s="32" t="s">
        <v>8288</v>
      </c>
      <c r="AB1438" s="32" t="s">
        <v>8289</v>
      </c>
      <c r="AC1438" s="38" t="str">
        <f aca="false">HYPERLINK("https://biocodex6--c.vf.force.com/0014L00000YvMV3QAN", "ABELLO PATRICIA")</f>
        <v>ABELLO PATRICIA</v>
      </c>
      <c r="AD1438" s="38" t="str">
        <f aca="false">HYPERLINK("https://annuairesante.ameli.fr/professionnels-de-sante/recherche/fiche-detaillee-B7c1lzoxODex.html", "ABELLO PATRICIA")</f>
        <v>ABELLO PATRICIA</v>
      </c>
      <c r="AE1438" s="39"/>
      <c r="AF1438" s="40"/>
      <c r="AG1438" s="41"/>
      <c r="AH1438" s="32" t="s">
        <v>179</v>
      </c>
      <c r="AI1438" s="32"/>
      <c r="AL1438" s="32"/>
      <c r="AM1438" s="32"/>
      <c r="AN1438" s="32"/>
      <c r="AO1438" s="32"/>
      <c r="AP1438" s="32"/>
      <c r="AQ1438" s="32"/>
      <c r="AR1438" s="32"/>
      <c r="AS1438" s="32"/>
      <c r="AT1438" s="32"/>
      <c r="AU1438" s="32"/>
      <c r="XEY1438" s="27"/>
      <c r="XEZ1438" s="27"/>
      <c r="XFA1438" s="27"/>
      <c r="XFB1438" s="27"/>
      <c r="XFC1438" s="27"/>
      <c r="XFD1438" s="27"/>
    </row>
    <row r="1439" s="42" customFormat="true" ht="14.15" hidden="false" customHeight="true" outlineLevel="0" collapsed="false">
      <c r="A1439" s="28" t="s">
        <v>8290</v>
      </c>
      <c r="B1439" s="29" t="s">
        <v>560</v>
      </c>
      <c r="C1439" s="29" t="s">
        <v>8291</v>
      </c>
      <c r="D1439" s="30" t="s">
        <v>244</v>
      </c>
      <c r="E1439" s="30" t="s">
        <v>741</v>
      </c>
      <c r="F1439" s="32" t="n">
        <v>64</v>
      </c>
      <c r="G1439" s="31" t="s">
        <v>215</v>
      </c>
      <c r="H1439" s="31" t="n">
        <v>1</v>
      </c>
      <c r="I1439" s="31" t="s">
        <v>119</v>
      </c>
      <c r="J1439" s="29"/>
      <c r="K1439" s="29" t="s">
        <v>4675</v>
      </c>
      <c r="L1439" s="32" t="n">
        <v>150</v>
      </c>
      <c r="M1439" s="33" t="s">
        <v>2977</v>
      </c>
      <c r="N1439" s="34" t="n">
        <v>75007</v>
      </c>
      <c r="O1439" s="35" t="s">
        <v>55</v>
      </c>
      <c r="P1439" s="36" t="s">
        <v>8292</v>
      </c>
      <c r="Q1439" s="36" t="n">
        <v>2</v>
      </c>
      <c r="R1439" s="32" t="n">
        <v>114</v>
      </c>
      <c r="S1439" s="32" t="n">
        <v>1</v>
      </c>
      <c r="T1439" s="32"/>
      <c r="U1439" s="32"/>
      <c r="V1439" s="37"/>
      <c r="W1439" s="32" t="n">
        <v>3</v>
      </c>
      <c r="X1439" s="34"/>
      <c r="Y1439" s="34" t="n">
        <v>1</v>
      </c>
      <c r="Z1439" s="36" t="s">
        <v>8293</v>
      </c>
      <c r="AA1439" s="32" t="s">
        <v>8294</v>
      </c>
      <c r="AB1439" s="44" t="s">
        <v>8295</v>
      </c>
      <c r="AC1439" s="38" t="str">
        <f aca="false">HYPERLINK("https://biocodex6--c.vf.force.com/0014L00000KG24VQAT", "SPAHN ELISABETH")</f>
        <v>SPAHN ELISABETH</v>
      </c>
      <c r="AD1439" s="38" t="str">
        <f aca="false">HYPERLINK("https://annuairesante.ameli.fr/professionnels-de-sante/recherche/fiche-detaillee-B7c1mzYxMDS3.html", "SPAHN ELISABETH")</f>
        <v>SPAHN ELISABETH</v>
      </c>
      <c r="AE1439" s="39"/>
      <c r="AF1439" s="40"/>
      <c r="AG1439" s="41"/>
      <c r="AH1439" s="32" t="s">
        <v>179</v>
      </c>
      <c r="AI1439" s="32"/>
      <c r="AL1439" s="43" t="s">
        <v>657</v>
      </c>
      <c r="AM1439" s="43" t="s">
        <v>137</v>
      </c>
      <c r="AN1439" s="43" t="s">
        <v>657</v>
      </c>
      <c r="AO1439" s="43" t="s">
        <v>137</v>
      </c>
      <c r="AP1439" s="43" t="s">
        <v>966</v>
      </c>
      <c r="AQ1439" s="32"/>
      <c r="AR1439" s="43" t="s">
        <v>657</v>
      </c>
      <c r="AS1439" s="43" t="s">
        <v>137</v>
      </c>
      <c r="AT1439" s="43" t="s">
        <v>966</v>
      </c>
      <c r="AU1439" s="32"/>
      <c r="XEY1439" s="27"/>
      <c r="XEZ1439" s="27"/>
      <c r="XFA1439" s="27"/>
      <c r="XFB1439" s="27"/>
      <c r="XFC1439" s="27"/>
      <c r="XFD1439" s="27"/>
    </row>
    <row r="1440" s="42" customFormat="true" ht="14.15" hidden="false" customHeight="true" outlineLevel="0" collapsed="false">
      <c r="A1440" s="28" t="s">
        <v>8296</v>
      </c>
      <c r="B1440" s="29" t="s">
        <v>8297</v>
      </c>
      <c r="C1440" s="29" t="s">
        <v>8298</v>
      </c>
      <c r="D1440" s="30" t="s">
        <v>244</v>
      </c>
      <c r="E1440" s="30" t="s">
        <v>245</v>
      </c>
      <c r="F1440" s="32" t="n">
        <v>44</v>
      </c>
      <c r="G1440" s="31"/>
      <c r="H1440" s="31" t="n">
        <v>1</v>
      </c>
      <c r="I1440" s="31" t="s">
        <v>173</v>
      </c>
      <c r="J1440" s="29"/>
      <c r="K1440" s="29" t="s">
        <v>3608</v>
      </c>
      <c r="L1440" s="32" t="n">
        <v>21</v>
      </c>
      <c r="M1440" s="33" t="s">
        <v>3609</v>
      </c>
      <c r="N1440" s="34" t="n">
        <v>75016</v>
      </c>
      <c r="O1440" s="35" t="s">
        <v>55</v>
      </c>
      <c r="P1440" s="36"/>
      <c r="Q1440" s="36" t="n">
        <v>3</v>
      </c>
      <c r="R1440" s="32" t="n">
        <v>114</v>
      </c>
      <c r="S1440" s="32" t="n">
        <v>1</v>
      </c>
      <c r="T1440" s="32"/>
      <c r="U1440" s="32"/>
      <c r="V1440" s="37"/>
      <c r="W1440" s="32"/>
      <c r="X1440" s="34"/>
      <c r="Y1440" s="34"/>
      <c r="Z1440" s="36" t="s">
        <v>8299</v>
      </c>
      <c r="AA1440" s="32" t="s">
        <v>8300</v>
      </c>
      <c r="AB1440" s="32"/>
      <c r="AC1440" s="38" t="str">
        <f aca="false">HYPERLINK("https://biocodex6--c.vf.force.com/0014L00000KFhgaQAD", "MAUREL GYORGI MELINDA")</f>
        <v>MAUREL GYORGI MELINDA</v>
      </c>
      <c r="AD1440" s="38"/>
      <c r="AE1440" s="39"/>
      <c r="AF1440" s="40"/>
      <c r="AG1440" s="41"/>
      <c r="AH1440" s="32" t="s">
        <v>179</v>
      </c>
      <c r="AI1440" s="32"/>
      <c r="AL1440" s="32"/>
      <c r="AM1440" s="32"/>
      <c r="AN1440" s="32"/>
      <c r="AO1440" s="32"/>
      <c r="AP1440" s="32"/>
      <c r="AQ1440" s="32"/>
      <c r="AR1440" s="32"/>
      <c r="AS1440" s="32"/>
      <c r="AT1440" s="32"/>
      <c r="AU1440" s="32"/>
      <c r="XEY1440" s="27"/>
      <c r="XEZ1440" s="27"/>
      <c r="XFA1440" s="27"/>
      <c r="XFB1440" s="27"/>
      <c r="XFC1440" s="27"/>
      <c r="XFD1440" s="27"/>
    </row>
    <row r="1441" s="42" customFormat="true" ht="14.15" hidden="false" customHeight="true" outlineLevel="0" collapsed="false">
      <c r="A1441" s="28" t="s">
        <v>8301</v>
      </c>
      <c r="B1441" s="29" t="s">
        <v>3633</v>
      </c>
      <c r="C1441" s="29" t="s">
        <v>8302</v>
      </c>
      <c r="D1441" s="30" t="s">
        <v>50</v>
      </c>
      <c r="E1441" s="31"/>
      <c r="F1441" s="32" t="n">
        <v>42</v>
      </c>
      <c r="G1441" s="31"/>
      <c r="H1441" s="31" t="n">
        <v>1</v>
      </c>
      <c r="I1441" s="31" t="s">
        <v>51</v>
      </c>
      <c r="J1441" s="29"/>
      <c r="K1441" s="29" t="s">
        <v>3340</v>
      </c>
      <c r="L1441" s="32" t="n">
        <v>48</v>
      </c>
      <c r="M1441" s="33" t="s">
        <v>3341</v>
      </c>
      <c r="N1441" s="34" t="n">
        <v>75015</v>
      </c>
      <c r="O1441" s="35" t="s">
        <v>55</v>
      </c>
      <c r="P1441" s="36" t="s">
        <v>3342</v>
      </c>
      <c r="Q1441" s="36" t="n">
        <v>2</v>
      </c>
      <c r="R1441" s="32" t="n">
        <v>113</v>
      </c>
      <c r="S1441" s="32" t="n">
        <v>1</v>
      </c>
      <c r="T1441" s="32"/>
      <c r="U1441" s="32"/>
      <c r="V1441" s="37"/>
      <c r="W1441" s="32"/>
      <c r="X1441" s="34" t="n">
        <v>1</v>
      </c>
      <c r="Y1441" s="34"/>
      <c r="Z1441" s="36"/>
      <c r="AA1441" s="32" t="s">
        <v>8303</v>
      </c>
      <c r="AB1441" s="32"/>
      <c r="AC1441" s="38" t="str">
        <f aca="false">HYPERLINK("https://biocodex6--c.vf.force.com/0014L00000KGBOLQA5", "BENICHOU AUDE")</f>
        <v>BENICHOU AUDE</v>
      </c>
      <c r="AD1441" s="38"/>
      <c r="AE1441" s="39" t="n">
        <v>45190.4791666667</v>
      </c>
      <c r="AF1441" s="40"/>
      <c r="AG1441" s="41"/>
      <c r="AH1441" s="32" t="s">
        <v>179</v>
      </c>
      <c r="AI1441" s="32"/>
      <c r="AL1441" s="32"/>
      <c r="AM1441" s="32"/>
      <c r="AN1441" s="32"/>
      <c r="AO1441" s="32"/>
      <c r="AP1441" s="32"/>
      <c r="AQ1441" s="32"/>
      <c r="AR1441" s="32"/>
      <c r="AS1441" s="32"/>
      <c r="AT1441" s="32"/>
      <c r="AU1441" s="32"/>
      <c r="XEY1441" s="27"/>
      <c r="XEZ1441" s="27"/>
      <c r="XFA1441" s="27"/>
      <c r="XFB1441" s="27"/>
      <c r="XFC1441" s="27"/>
      <c r="XFD1441" s="27"/>
    </row>
    <row r="1442" s="42" customFormat="true" ht="14.15" hidden="false" customHeight="true" outlineLevel="0" collapsed="false">
      <c r="A1442" s="28" t="s">
        <v>8304</v>
      </c>
      <c r="B1442" s="29" t="s">
        <v>332</v>
      </c>
      <c r="C1442" s="29" t="s">
        <v>8305</v>
      </c>
      <c r="D1442" s="30" t="s">
        <v>244</v>
      </c>
      <c r="E1442" s="30" t="s">
        <v>741</v>
      </c>
      <c r="F1442" s="32" t="n">
        <v>66</v>
      </c>
      <c r="G1442" s="31" t="s">
        <v>215</v>
      </c>
      <c r="H1442" s="31" t="n">
        <v>1</v>
      </c>
      <c r="I1442" s="31" t="s">
        <v>99</v>
      </c>
      <c r="J1442" s="29"/>
      <c r="K1442" s="29" t="s">
        <v>8306</v>
      </c>
      <c r="L1442" s="32" t="n">
        <v>73</v>
      </c>
      <c r="M1442" s="33" t="s">
        <v>5267</v>
      </c>
      <c r="N1442" s="34" t="n">
        <v>75015</v>
      </c>
      <c r="O1442" s="35" t="s">
        <v>55</v>
      </c>
      <c r="P1442" s="36" t="s">
        <v>8307</v>
      </c>
      <c r="Q1442" s="36" t="n">
        <v>1</v>
      </c>
      <c r="R1442" s="32" t="n">
        <v>113</v>
      </c>
      <c r="S1442" s="32" t="n">
        <v>1</v>
      </c>
      <c r="T1442" s="32"/>
      <c r="U1442" s="32"/>
      <c r="V1442" s="37"/>
      <c r="W1442" s="32"/>
      <c r="X1442" s="34"/>
      <c r="Y1442" s="34"/>
      <c r="Z1442" s="36"/>
      <c r="AA1442" s="32" t="s">
        <v>8308</v>
      </c>
      <c r="AB1442" s="32" t="s">
        <v>8309</v>
      </c>
      <c r="AC1442" s="38" t="str">
        <f aca="false">HYPERLINK("https://biocodex6--c.vf.force.com/0014L00000KFOqIQAX", "ACKER CATHERINE")</f>
        <v>ACKER CATHERINE</v>
      </c>
      <c r="AD1442" s="38" t="str">
        <f aca="false">HYPERLINK("https://annuairesante.ameli.fr/professionnels-de-sante/recherche/fiche-detaillee-B7c1ljswODq1.html", "ACKER CATHERINE")</f>
        <v>ACKER CATHERINE</v>
      </c>
      <c r="AE1442" s="39"/>
      <c r="AF1442" s="40"/>
      <c r="AG1442" s="41"/>
      <c r="AH1442" s="32" t="s">
        <v>179</v>
      </c>
      <c r="AI1442" s="32"/>
      <c r="AL1442" s="32"/>
      <c r="AM1442" s="32"/>
      <c r="AN1442" s="32"/>
      <c r="AO1442" s="32"/>
      <c r="AP1442" s="32"/>
      <c r="AQ1442" s="32"/>
      <c r="AR1442" s="32"/>
      <c r="AS1442" s="32"/>
      <c r="AT1442" s="32"/>
      <c r="AU1442" s="32"/>
      <c r="XEY1442" s="27"/>
      <c r="XEZ1442" s="27"/>
      <c r="XFA1442" s="27"/>
      <c r="XFB1442" s="27"/>
      <c r="XFC1442" s="27"/>
      <c r="XFD1442" s="27"/>
    </row>
    <row r="1443" s="42" customFormat="true" ht="14.15" hidden="false" customHeight="true" outlineLevel="0" collapsed="false">
      <c r="A1443" s="28" t="s">
        <v>8310</v>
      </c>
      <c r="B1443" s="29" t="s">
        <v>1600</v>
      </c>
      <c r="C1443" s="29" t="s">
        <v>8311</v>
      </c>
      <c r="D1443" s="30" t="s">
        <v>112</v>
      </c>
      <c r="E1443" s="31"/>
      <c r="F1443" s="32" t="n">
        <v>37</v>
      </c>
      <c r="G1443" s="31"/>
      <c r="H1443" s="31" t="n">
        <v>2</v>
      </c>
      <c r="I1443" s="31" t="s">
        <v>51</v>
      </c>
      <c r="J1443" s="29" t="s">
        <v>52</v>
      </c>
      <c r="K1443" s="29" t="s">
        <v>53</v>
      </c>
      <c r="L1443" s="32" t="n">
        <v>149</v>
      </c>
      <c r="M1443" s="33" t="s">
        <v>54</v>
      </c>
      <c r="N1443" s="34" t="n">
        <v>75015</v>
      </c>
      <c r="O1443" s="35" t="s">
        <v>55</v>
      </c>
      <c r="P1443" s="36" t="s">
        <v>1821</v>
      </c>
      <c r="Q1443" s="36" t="n">
        <v>236</v>
      </c>
      <c r="R1443" s="32" t="n">
        <v>113</v>
      </c>
      <c r="S1443" s="32" t="n">
        <v>1</v>
      </c>
      <c r="T1443" s="32"/>
      <c r="U1443" s="32"/>
      <c r="V1443" s="37"/>
      <c r="W1443" s="32"/>
      <c r="X1443" s="34"/>
      <c r="Y1443" s="34"/>
      <c r="Z1443" s="36"/>
      <c r="AA1443" s="32" t="s">
        <v>8312</v>
      </c>
      <c r="AB1443" s="32"/>
      <c r="AC1443" s="38" t="str">
        <f aca="false">HYPERLINK("https://biocodex6--c.vf.force.com/0014L00000KFNqCQAX", "FREYCHET CAROLINE")</f>
        <v>FREYCHET CAROLINE</v>
      </c>
      <c r="AD1443" s="38"/>
      <c r="AE1443" s="39"/>
      <c r="AF1443" s="40"/>
      <c r="AG1443" s="41"/>
      <c r="AH1443" s="32" t="s">
        <v>179</v>
      </c>
      <c r="AI1443" s="32"/>
      <c r="AL1443" s="32"/>
      <c r="AM1443" s="32"/>
      <c r="AN1443" s="32"/>
      <c r="AO1443" s="32"/>
      <c r="AP1443" s="32"/>
      <c r="AQ1443" s="32"/>
      <c r="AR1443" s="32"/>
      <c r="AS1443" s="32"/>
      <c r="AT1443" s="32"/>
      <c r="AU1443" s="32"/>
      <c r="XEY1443" s="27"/>
      <c r="XEZ1443" s="27"/>
      <c r="XFA1443" s="27"/>
      <c r="XFB1443" s="27"/>
      <c r="XFC1443" s="27"/>
      <c r="XFD1443" s="27"/>
    </row>
    <row r="1444" s="42" customFormat="true" ht="14.15" hidden="false" customHeight="true" outlineLevel="0" collapsed="false">
      <c r="A1444" s="28" t="s">
        <v>8313</v>
      </c>
      <c r="B1444" s="29" t="s">
        <v>8314</v>
      </c>
      <c r="C1444" s="29" t="s">
        <v>8315</v>
      </c>
      <c r="D1444" s="30" t="s">
        <v>75</v>
      </c>
      <c r="E1444" s="31"/>
      <c r="F1444" s="32" t="n">
        <v>55</v>
      </c>
      <c r="G1444" s="31" t="s">
        <v>215</v>
      </c>
      <c r="H1444" s="31" t="n">
        <v>1</v>
      </c>
      <c r="I1444" s="31" t="s">
        <v>435</v>
      </c>
      <c r="J1444" s="29"/>
      <c r="K1444" s="29" t="s">
        <v>3362</v>
      </c>
      <c r="L1444" s="32" t="n">
        <v>62</v>
      </c>
      <c r="M1444" s="33" t="s">
        <v>1041</v>
      </c>
      <c r="N1444" s="34" t="n">
        <v>75016</v>
      </c>
      <c r="O1444" s="35" t="s">
        <v>55</v>
      </c>
      <c r="P1444" s="36" t="s">
        <v>7869</v>
      </c>
      <c r="Q1444" s="36" t="n">
        <v>4</v>
      </c>
      <c r="R1444" s="32" t="n">
        <v>113</v>
      </c>
      <c r="S1444" s="32" t="n">
        <v>1</v>
      </c>
      <c r="T1444" s="32"/>
      <c r="U1444" s="32"/>
      <c r="V1444" s="37"/>
      <c r="W1444" s="32"/>
      <c r="X1444" s="34"/>
      <c r="Y1444" s="34"/>
      <c r="Z1444" s="36"/>
      <c r="AA1444" s="32" t="s">
        <v>8316</v>
      </c>
      <c r="AB1444" s="32" t="s">
        <v>8317</v>
      </c>
      <c r="AC1444" s="38" t="str">
        <f aca="false">HYPERLINK("https://biocodex6--c.vf.force.com/0014L00000KG76wQAD", "IMBERT TARRERIAS ANNE LAURE")</f>
        <v>IMBERT TARRERIAS ANNE LAURE</v>
      </c>
      <c r="AD1444" s="38" t="str">
        <f aca="false">HYPERLINK("https://annuairesante.ameli.fr/professionnels-de-sante/recherche/fiche-detaillee-B7c1mzE3MTa1.html", "IMBERT TARRERIAS ANNE LAURE")</f>
        <v>IMBERT TARRERIAS ANNE LAURE</v>
      </c>
      <c r="AE1444" s="39"/>
      <c r="AF1444" s="40"/>
      <c r="AG1444" s="41"/>
      <c r="AH1444" s="32" t="s">
        <v>179</v>
      </c>
      <c r="AI1444" s="32"/>
      <c r="AL1444" s="43" t="s">
        <v>338</v>
      </c>
      <c r="AM1444" s="32"/>
      <c r="AN1444" s="32"/>
      <c r="AO1444" s="32"/>
      <c r="AP1444" s="32"/>
      <c r="AQ1444" s="32"/>
      <c r="AR1444" s="32"/>
      <c r="AS1444" s="43" t="s">
        <v>661</v>
      </c>
      <c r="AT1444" s="43" t="s">
        <v>338</v>
      </c>
      <c r="AU1444" s="32"/>
      <c r="XEY1444" s="27"/>
      <c r="XEZ1444" s="27"/>
      <c r="XFA1444" s="27"/>
      <c r="XFB1444" s="27"/>
      <c r="XFC1444" s="27"/>
      <c r="XFD1444" s="27"/>
    </row>
    <row r="1445" s="42" customFormat="true" ht="14.15" hidden="false" customHeight="true" outlineLevel="0" collapsed="false">
      <c r="A1445" s="28" t="s">
        <v>8318</v>
      </c>
      <c r="B1445" s="29" t="s">
        <v>7534</v>
      </c>
      <c r="C1445" s="29" t="s">
        <v>8319</v>
      </c>
      <c r="D1445" s="30" t="s">
        <v>112</v>
      </c>
      <c r="E1445" s="30" t="s">
        <v>452</v>
      </c>
      <c r="F1445" s="32" t="n">
        <v>54</v>
      </c>
      <c r="G1445" s="31"/>
      <c r="H1445" s="31" t="n">
        <v>2</v>
      </c>
      <c r="I1445" s="31" t="s">
        <v>51</v>
      </c>
      <c r="J1445" s="29" t="s">
        <v>52</v>
      </c>
      <c r="K1445" s="29" t="s">
        <v>53</v>
      </c>
      <c r="L1445" s="32" t="n">
        <v>149</v>
      </c>
      <c r="M1445" s="33" t="s">
        <v>54</v>
      </c>
      <c r="N1445" s="34" t="n">
        <v>75015</v>
      </c>
      <c r="O1445" s="35" t="s">
        <v>55</v>
      </c>
      <c r="P1445" s="36" t="s">
        <v>687</v>
      </c>
      <c r="Q1445" s="36" t="n">
        <v>236</v>
      </c>
      <c r="R1445" s="32" t="n">
        <v>112</v>
      </c>
      <c r="S1445" s="32" t="n">
        <v>1</v>
      </c>
      <c r="T1445" s="32"/>
      <c r="U1445" s="32"/>
      <c r="V1445" s="37"/>
      <c r="W1445" s="32"/>
      <c r="X1445" s="34"/>
      <c r="Y1445" s="34"/>
      <c r="Z1445" s="36"/>
      <c r="AA1445" s="32" t="s">
        <v>8320</v>
      </c>
      <c r="AB1445" s="32"/>
      <c r="AC1445" s="38" t="str">
        <f aca="false">HYPERLINK("https://biocodex6--c.vf.force.com/0014L00000KFr2zQAD", "MARCHAC VALENTINE")</f>
        <v>MARCHAC VALENTINE</v>
      </c>
      <c r="AD1445" s="38"/>
      <c r="AE1445" s="39"/>
      <c r="AF1445" s="40"/>
      <c r="AG1445" s="41"/>
      <c r="AH1445" s="32" t="s">
        <v>179</v>
      </c>
      <c r="AI1445" s="32"/>
      <c r="AL1445" s="32"/>
      <c r="AM1445" s="32"/>
      <c r="AN1445" s="32"/>
      <c r="AO1445" s="32"/>
      <c r="AP1445" s="32"/>
      <c r="AQ1445" s="32"/>
      <c r="AR1445" s="32"/>
      <c r="AS1445" s="32"/>
      <c r="AT1445" s="32"/>
      <c r="AU1445" s="32"/>
      <c r="XEY1445" s="27"/>
      <c r="XEZ1445" s="27"/>
      <c r="XFA1445" s="27"/>
      <c r="XFB1445" s="27"/>
      <c r="XFC1445" s="27"/>
      <c r="XFD1445" s="27"/>
    </row>
    <row r="1446" s="42" customFormat="true" ht="14.15" hidden="false" customHeight="true" outlineLevel="0" collapsed="false">
      <c r="A1446" s="28" t="s">
        <v>8321</v>
      </c>
      <c r="B1446" s="29" t="s">
        <v>1074</v>
      </c>
      <c r="C1446" s="29" t="s">
        <v>8322</v>
      </c>
      <c r="D1446" s="30" t="s">
        <v>244</v>
      </c>
      <c r="E1446" s="31"/>
      <c r="F1446" s="32" t="n">
        <v>73</v>
      </c>
      <c r="G1446" s="31"/>
      <c r="H1446" s="31" t="n">
        <v>1</v>
      </c>
      <c r="I1446" s="31" t="s">
        <v>572</v>
      </c>
      <c r="J1446" s="29"/>
      <c r="K1446" s="29" t="s">
        <v>2429</v>
      </c>
      <c r="L1446" s="32" t="n">
        <v>10</v>
      </c>
      <c r="M1446" s="33" t="s">
        <v>2430</v>
      </c>
      <c r="N1446" s="34" t="n">
        <v>75008</v>
      </c>
      <c r="O1446" s="35" t="s">
        <v>55</v>
      </c>
      <c r="P1446" s="36"/>
      <c r="Q1446" s="36" t="n">
        <v>2</v>
      </c>
      <c r="R1446" s="32" t="n">
        <v>111</v>
      </c>
      <c r="S1446" s="32" t="n">
        <v>1</v>
      </c>
      <c r="T1446" s="32"/>
      <c r="U1446" s="32"/>
      <c r="V1446" s="37"/>
      <c r="W1446" s="32"/>
      <c r="X1446" s="34"/>
      <c r="Y1446" s="34"/>
      <c r="Z1446" s="36"/>
      <c r="AA1446" s="32" t="s">
        <v>8323</v>
      </c>
      <c r="AB1446" s="32"/>
      <c r="AC1446" s="38" t="str">
        <f aca="false">HYPERLINK("https://biocodex6--c.vf.force.com/0014L00000KG1RfQAL", "SIRINELLI WALTER LAURE")</f>
        <v>SIRINELLI WALTER LAURE</v>
      </c>
      <c r="AD1446" s="38"/>
      <c r="AE1446" s="39"/>
      <c r="AF1446" s="40"/>
      <c r="AG1446" s="41"/>
      <c r="AH1446" s="32" t="s">
        <v>179</v>
      </c>
      <c r="AI1446" s="32"/>
      <c r="AL1446" s="32"/>
      <c r="AM1446" s="32"/>
      <c r="AN1446" s="32"/>
      <c r="AO1446" s="32"/>
      <c r="AP1446" s="32"/>
      <c r="AQ1446" s="32"/>
      <c r="AR1446" s="32"/>
      <c r="AS1446" s="32"/>
      <c r="AT1446" s="32"/>
      <c r="AU1446" s="32"/>
      <c r="XEY1446" s="27"/>
      <c r="XEZ1446" s="27"/>
      <c r="XFA1446" s="27"/>
      <c r="XFB1446" s="27"/>
      <c r="XFC1446" s="27"/>
      <c r="XFD1446" s="27"/>
    </row>
    <row r="1447" s="42" customFormat="true" ht="14.15" hidden="false" customHeight="true" outlineLevel="0" collapsed="false">
      <c r="A1447" s="28" t="s">
        <v>8324</v>
      </c>
      <c r="B1447" s="29" t="s">
        <v>8314</v>
      </c>
      <c r="C1447" s="29" t="s">
        <v>8325</v>
      </c>
      <c r="D1447" s="30" t="s">
        <v>50</v>
      </c>
      <c r="E1447" s="30" t="s">
        <v>571</v>
      </c>
      <c r="F1447" s="32" t="n">
        <v>39</v>
      </c>
      <c r="G1447" s="31"/>
      <c r="H1447" s="31" t="n">
        <v>1</v>
      </c>
      <c r="I1447" s="31" t="s">
        <v>99</v>
      </c>
      <c r="J1447" s="29" t="s">
        <v>595</v>
      </c>
      <c r="K1447" s="29" t="s">
        <v>596</v>
      </c>
      <c r="L1447" s="32" t="n">
        <v>20</v>
      </c>
      <c r="M1447" s="33" t="s">
        <v>597</v>
      </c>
      <c r="N1447" s="34" t="n">
        <v>75015</v>
      </c>
      <c r="O1447" s="35" t="s">
        <v>55</v>
      </c>
      <c r="P1447" s="36" t="s">
        <v>1723</v>
      </c>
      <c r="Q1447" s="36" t="n">
        <v>90</v>
      </c>
      <c r="R1447" s="32" t="n">
        <v>111</v>
      </c>
      <c r="S1447" s="32" t="n">
        <v>1</v>
      </c>
      <c r="T1447" s="32"/>
      <c r="U1447" s="32"/>
      <c r="V1447" s="37"/>
      <c r="W1447" s="32"/>
      <c r="X1447" s="34"/>
      <c r="Y1447" s="34"/>
      <c r="Z1447" s="36"/>
      <c r="AA1447" s="32" t="s">
        <v>8326</v>
      </c>
      <c r="AB1447" s="32"/>
      <c r="AC1447" s="38" t="str">
        <f aca="false">HYPERLINK("https://biocodex6--c.vf.force.com/0014L00000KFKTDQA5", "PAYEN ROUSSEAU ANNE LAURE")</f>
        <v>PAYEN ROUSSEAU ANNE LAURE</v>
      </c>
      <c r="AD1447" s="38"/>
      <c r="AE1447" s="39"/>
      <c r="AF1447" s="40"/>
      <c r="AG1447" s="41"/>
      <c r="AH1447" s="32" t="s">
        <v>179</v>
      </c>
      <c r="AI1447" s="32"/>
      <c r="AL1447" s="32"/>
      <c r="AM1447" s="32"/>
      <c r="AN1447" s="32"/>
      <c r="AO1447" s="32"/>
      <c r="AP1447" s="32"/>
      <c r="AQ1447" s="32"/>
      <c r="AR1447" s="32"/>
      <c r="AS1447" s="32"/>
      <c r="AT1447" s="32"/>
      <c r="AU1447" s="32"/>
      <c r="XEY1447" s="27"/>
      <c r="XEZ1447" s="27"/>
      <c r="XFA1447" s="27"/>
      <c r="XFB1447" s="27"/>
      <c r="XFC1447" s="27"/>
      <c r="XFD1447" s="27"/>
    </row>
    <row r="1448" s="42" customFormat="true" ht="14.15" hidden="false" customHeight="true" outlineLevel="0" collapsed="false">
      <c r="A1448" s="28" t="s">
        <v>8327</v>
      </c>
      <c r="B1448" s="29" t="s">
        <v>2640</v>
      </c>
      <c r="C1448" s="29" t="s">
        <v>8328</v>
      </c>
      <c r="D1448" s="30" t="s">
        <v>75</v>
      </c>
      <c r="E1448" s="30" t="s">
        <v>1176</v>
      </c>
      <c r="F1448" s="32" t="n">
        <v>75</v>
      </c>
      <c r="G1448" s="31"/>
      <c r="H1448" s="31" t="n">
        <v>1</v>
      </c>
      <c r="I1448" s="31" t="s">
        <v>435</v>
      </c>
      <c r="J1448" s="29"/>
      <c r="K1448" s="29" t="s">
        <v>4388</v>
      </c>
      <c r="L1448" s="32" t="n">
        <v>10</v>
      </c>
      <c r="M1448" s="33" t="s">
        <v>4389</v>
      </c>
      <c r="N1448" s="34" t="n">
        <v>75016</v>
      </c>
      <c r="O1448" s="35" t="s">
        <v>55</v>
      </c>
      <c r="P1448" s="36"/>
      <c r="Q1448" s="36" t="n">
        <v>3</v>
      </c>
      <c r="R1448" s="32" t="n">
        <v>111</v>
      </c>
      <c r="S1448" s="32" t="n">
        <v>1</v>
      </c>
      <c r="T1448" s="32"/>
      <c r="U1448" s="32"/>
      <c r="V1448" s="37"/>
      <c r="W1448" s="32"/>
      <c r="X1448" s="34"/>
      <c r="Y1448" s="34"/>
      <c r="Z1448" s="36"/>
      <c r="AA1448" s="32" t="s">
        <v>8329</v>
      </c>
      <c r="AB1448" s="32"/>
      <c r="AC1448" s="38" t="str">
        <f aca="false">HYPERLINK("https://biocodex6--c.vf.force.com/0014L00000KFXP1QAP", "CONTOU JEAN FRANCOIS")</f>
        <v>CONTOU JEAN FRANCOIS</v>
      </c>
      <c r="AD1448" s="38"/>
      <c r="AE1448" s="39"/>
      <c r="AF1448" s="40"/>
      <c r="AG1448" s="41"/>
      <c r="AH1448" s="32" t="s">
        <v>179</v>
      </c>
      <c r="AI1448" s="32"/>
      <c r="AL1448" s="32"/>
      <c r="AM1448" s="32"/>
      <c r="AN1448" s="32"/>
      <c r="AO1448" s="32"/>
      <c r="AP1448" s="32"/>
      <c r="AQ1448" s="32"/>
      <c r="AR1448" s="32"/>
      <c r="AS1448" s="32"/>
      <c r="AT1448" s="32"/>
      <c r="AU1448" s="32"/>
      <c r="XEY1448" s="27"/>
      <c r="XEZ1448" s="27"/>
      <c r="XFA1448" s="27"/>
      <c r="XFB1448" s="27"/>
      <c r="XFC1448" s="27"/>
      <c r="XFD1448" s="27"/>
    </row>
    <row r="1449" s="42" customFormat="true" ht="14.15" hidden="false" customHeight="true" outlineLevel="0" collapsed="false">
      <c r="A1449" s="28" t="s">
        <v>8330</v>
      </c>
      <c r="B1449" s="29" t="s">
        <v>1736</v>
      </c>
      <c r="C1449" s="29" t="s">
        <v>8331</v>
      </c>
      <c r="D1449" s="30" t="s">
        <v>172</v>
      </c>
      <c r="E1449" s="30" t="s">
        <v>818</v>
      </c>
      <c r="F1449" s="32" t="n">
        <v>73</v>
      </c>
      <c r="G1449" s="31"/>
      <c r="H1449" s="31" t="n">
        <v>1</v>
      </c>
      <c r="I1449" s="31" t="s">
        <v>295</v>
      </c>
      <c r="J1449" s="29"/>
      <c r="K1449" s="29" t="s">
        <v>8332</v>
      </c>
      <c r="L1449" s="32" t="n">
        <v>122</v>
      </c>
      <c r="M1449" s="33" t="s">
        <v>8333</v>
      </c>
      <c r="N1449" s="34" t="n">
        <v>92300</v>
      </c>
      <c r="O1449" s="35" t="s">
        <v>298</v>
      </c>
      <c r="P1449" s="36" t="s">
        <v>8334</v>
      </c>
      <c r="Q1449" s="36" t="n">
        <v>1</v>
      </c>
      <c r="R1449" s="32" t="n">
        <v>111</v>
      </c>
      <c r="S1449" s="32" t="n">
        <v>1</v>
      </c>
      <c r="T1449" s="43" t="s">
        <v>177</v>
      </c>
      <c r="U1449" s="32" t="n">
        <v>3</v>
      </c>
      <c r="V1449" s="37"/>
      <c r="W1449" s="32"/>
      <c r="X1449" s="34"/>
      <c r="Y1449" s="34"/>
      <c r="Z1449" s="36"/>
      <c r="AA1449" s="32" t="s">
        <v>8335</v>
      </c>
      <c r="AB1449" s="32"/>
      <c r="AC1449" s="38" t="str">
        <f aca="false">HYPERLINK("https://biocodex6--c.vf.force.com/0014L00000KFyhHQAT", "RISBOURG JEAN PAUL")</f>
        <v>RISBOURG JEAN PAUL</v>
      </c>
      <c r="AD1449" s="38"/>
      <c r="AE1449" s="39"/>
      <c r="AF1449" s="40"/>
      <c r="AG1449" s="41"/>
      <c r="AH1449" s="32" t="s">
        <v>179</v>
      </c>
      <c r="AI1449" s="32"/>
      <c r="AL1449" s="32"/>
      <c r="AM1449" s="32"/>
      <c r="AN1449" s="32"/>
      <c r="AO1449" s="32"/>
      <c r="AP1449" s="32"/>
      <c r="AQ1449" s="32"/>
      <c r="AR1449" s="32"/>
      <c r="AS1449" s="32"/>
      <c r="AT1449" s="32"/>
      <c r="AU1449" s="32"/>
      <c r="XEY1449" s="27"/>
      <c r="XEZ1449" s="27"/>
      <c r="XFA1449" s="27"/>
      <c r="XFB1449" s="27"/>
      <c r="XFC1449" s="27"/>
      <c r="XFD1449" s="27"/>
    </row>
    <row r="1450" s="42" customFormat="true" ht="14.15" hidden="false" customHeight="true" outlineLevel="0" collapsed="false">
      <c r="A1450" s="28" t="s">
        <v>8336</v>
      </c>
      <c r="B1450" s="29" t="s">
        <v>8337</v>
      </c>
      <c r="C1450" s="29" t="s">
        <v>8338</v>
      </c>
      <c r="D1450" s="30" t="s">
        <v>50</v>
      </c>
      <c r="E1450" s="31"/>
      <c r="F1450" s="32"/>
      <c r="G1450" s="31"/>
      <c r="H1450" s="31" t="n">
        <v>1</v>
      </c>
      <c r="I1450" s="31" t="s">
        <v>295</v>
      </c>
      <c r="J1450" s="29" t="s">
        <v>489</v>
      </c>
      <c r="K1450" s="29" t="s">
        <v>490</v>
      </c>
      <c r="L1450" s="32" t="n">
        <v>3</v>
      </c>
      <c r="M1450" s="33" t="s">
        <v>491</v>
      </c>
      <c r="N1450" s="34" t="n">
        <v>92300</v>
      </c>
      <c r="O1450" s="35" t="s">
        <v>298</v>
      </c>
      <c r="P1450" s="36" t="s">
        <v>8339</v>
      </c>
      <c r="Q1450" s="36" t="n">
        <v>26</v>
      </c>
      <c r="R1450" s="32" t="n">
        <v>109</v>
      </c>
      <c r="S1450" s="32" t="n">
        <v>1</v>
      </c>
      <c r="T1450" s="32"/>
      <c r="U1450" s="32" t="n">
        <v>3</v>
      </c>
      <c r="V1450" s="37"/>
      <c r="W1450" s="32" t="n">
        <v>3</v>
      </c>
      <c r="X1450" s="34" t="n">
        <v>1</v>
      </c>
      <c r="Y1450" s="34" t="n">
        <v>1</v>
      </c>
      <c r="Z1450" s="32"/>
      <c r="AA1450" s="32"/>
      <c r="AB1450" s="32"/>
      <c r="AC1450" s="38"/>
      <c r="AD1450" s="38"/>
      <c r="AE1450" s="39" t="n">
        <v>45183.4166666667</v>
      </c>
      <c r="AF1450" s="40"/>
      <c r="AG1450" s="45"/>
      <c r="AH1450" s="32"/>
      <c r="AI1450" s="32"/>
      <c r="AL1450" s="32"/>
      <c r="AM1450" s="32"/>
      <c r="AN1450" s="32"/>
      <c r="AO1450" s="32"/>
      <c r="AP1450" s="32"/>
      <c r="AQ1450" s="32"/>
      <c r="AR1450" s="32"/>
      <c r="AS1450" s="32"/>
      <c r="AT1450" s="32"/>
      <c r="AU1450" s="32"/>
      <c r="XEY1450" s="27"/>
      <c r="XEZ1450" s="27"/>
      <c r="XFA1450" s="27"/>
      <c r="XFB1450" s="27"/>
      <c r="XFC1450" s="27"/>
      <c r="XFD1450" s="27"/>
    </row>
    <row r="1451" s="42" customFormat="true" ht="14.15" hidden="false" customHeight="true" outlineLevel="0" collapsed="false">
      <c r="A1451" s="28" t="s">
        <v>8340</v>
      </c>
      <c r="B1451" s="29" t="s">
        <v>2794</v>
      </c>
      <c r="C1451" s="29" t="s">
        <v>8341</v>
      </c>
      <c r="D1451" s="30" t="s">
        <v>244</v>
      </c>
      <c r="E1451" s="30" t="s">
        <v>741</v>
      </c>
      <c r="F1451" s="32" t="n">
        <v>78</v>
      </c>
      <c r="G1451" s="31" t="s">
        <v>215</v>
      </c>
      <c r="H1451" s="31" t="n">
        <v>1</v>
      </c>
      <c r="I1451" s="31" t="s">
        <v>99</v>
      </c>
      <c r="J1451" s="29"/>
      <c r="K1451" s="29" t="s">
        <v>8342</v>
      </c>
      <c r="L1451" s="32" t="n">
        <v>78</v>
      </c>
      <c r="M1451" s="33" t="s">
        <v>2143</v>
      </c>
      <c r="N1451" s="34" t="n">
        <v>75015</v>
      </c>
      <c r="O1451" s="35" t="s">
        <v>55</v>
      </c>
      <c r="P1451" s="36" t="s">
        <v>8343</v>
      </c>
      <c r="Q1451" s="36" t="n">
        <v>1</v>
      </c>
      <c r="R1451" s="32" t="n">
        <v>109</v>
      </c>
      <c r="S1451" s="32" t="n">
        <v>1</v>
      </c>
      <c r="T1451" s="32"/>
      <c r="U1451" s="32"/>
      <c r="V1451" s="37"/>
      <c r="W1451" s="32"/>
      <c r="X1451" s="34"/>
      <c r="Y1451" s="34"/>
      <c r="Z1451" s="36"/>
      <c r="AA1451" s="32" t="s">
        <v>8344</v>
      </c>
      <c r="AB1451" s="32" t="s">
        <v>8345</v>
      </c>
      <c r="AC1451" s="38" t="str">
        <f aca="false">HYPERLINK("https://biocodex6--c.vf.force.com/0014L00000KFTHAQA5", "BIALKIEWICZ CLAIRE")</f>
        <v>BIALKIEWICZ CLAIRE</v>
      </c>
      <c r="AD1451" s="38" t="str">
        <f aca="false">HYPERLINK("https://annuairesante.ameli.fr/professionnels-de-sante/recherche/fiche-detaillee-B7c1ljM3MjK1.html", "BIALKIEWICZ CLAIRE")</f>
        <v>BIALKIEWICZ CLAIRE</v>
      </c>
      <c r="AE1451" s="39"/>
      <c r="AF1451" s="40"/>
      <c r="AG1451" s="41"/>
      <c r="AH1451" s="32" t="s">
        <v>179</v>
      </c>
      <c r="AI1451" s="32"/>
      <c r="AL1451" s="43" t="s">
        <v>1268</v>
      </c>
      <c r="AM1451" s="32"/>
      <c r="AN1451" s="43" t="s">
        <v>8346</v>
      </c>
      <c r="AO1451" s="43" t="s">
        <v>4052</v>
      </c>
      <c r="AP1451" s="43" t="s">
        <v>1268</v>
      </c>
      <c r="AQ1451" s="32"/>
      <c r="AR1451" s="43" t="s">
        <v>1268</v>
      </c>
      <c r="AS1451" s="43" t="s">
        <v>4052</v>
      </c>
      <c r="AT1451" s="43" t="s">
        <v>1268</v>
      </c>
      <c r="AU1451" s="32"/>
      <c r="XEY1451" s="27"/>
      <c r="XEZ1451" s="27"/>
      <c r="XFA1451" s="27"/>
      <c r="XFB1451" s="27"/>
      <c r="XFC1451" s="27"/>
      <c r="XFD1451" s="27"/>
    </row>
    <row r="1452" s="42" customFormat="true" ht="14.15" hidden="false" customHeight="true" outlineLevel="0" collapsed="false">
      <c r="A1452" s="28" t="s">
        <v>8347</v>
      </c>
      <c r="B1452" s="29" t="s">
        <v>117</v>
      </c>
      <c r="C1452" s="29" t="s">
        <v>8348</v>
      </c>
      <c r="D1452" s="30" t="s">
        <v>268</v>
      </c>
      <c r="E1452" s="30" t="s">
        <v>5786</v>
      </c>
      <c r="F1452" s="32" t="n">
        <v>76</v>
      </c>
      <c r="G1452" s="31" t="s">
        <v>215</v>
      </c>
      <c r="H1452" s="31" t="n">
        <v>1</v>
      </c>
      <c r="I1452" s="31" t="s">
        <v>197</v>
      </c>
      <c r="J1452" s="29"/>
      <c r="K1452" s="29" t="s">
        <v>8349</v>
      </c>
      <c r="L1452" s="32" t="n">
        <v>275</v>
      </c>
      <c r="M1452" s="33" t="s">
        <v>4230</v>
      </c>
      <c r="N1452" s="34" t="n">
        <v>75017</v>
      </c>
      <c r="O1452" s="35" t="s">
        <v>55</v>
      </c>
      <c r="P1452" s="36" t="s">
        <v>8350</v>
      </c>
      <c r="Q1452" s="36" t="n">
        <v>1</v>
      </c>
      <c r="R1452" s="32" t="n">
        <v>109</v>
      </c>
      <c r="S1452" s="32" t="n">
        <v>1</v>
      </c>
      <c r="T1452" s="32"/>
      <c r="U1452" s="32"/>
      <c r="V1452" s="37"/>
      <c r="W1452" s="32"/>
      <c r="X1452" s="34"/>
      <c r="Y1452" s="34"/>
      <c r="Z1452" s="36"/>
      <c r="AA1452" s="32" t="s">
        <v>8351</v>
      </c>
      <c r="AB1452" s="32" t="s">
        <v>8352</v>
      </c>
      <c r="AC1452" s="38" t="str">
        <f aca="false">HYPERLINK("https://biocodex6--c.vf.force.com/0014L00000KG4CmQAL", "VALADE DOMINIQUE")</f>
        <v>VALADE DOMINIQUE</v>
      </c>
      <c r="AD1452" s="38" t="str">
        <f aca="false">HYPERLINK("https://annuairesante.ameli.fr/professionnels-de-sante/recherche/fiche-detaillee-B7c1kTo5MDuz.html", "VALADE DOMINIQUE")</f>
        <v>VALADE DOMINIQUE</v>
      </c>
      <c r="AE1452" s="39"/>
      <c r="AF1452" s="40"/>
      <c r="AG1452" s="41"/>
      <c r="AH1452" s="32" t="s">
        <v>179</v>
      </c>
      <c r="AI1452" s="32"/>
      <c r="AL1452" s="43" t="s">
        <v>822</v>
      </c>
      <c r="AM1452" s="43" t="s">
        <v>262</v>
      </c>
      <c r="AN1452" s="43" t="s">
        <v>535</v>
      </c>
      <c r="AO1452" s="43" t="s">
        <v>262</v>
      </c>
      <c r="AP1452" s="43" t="s">
        <v>822</v>
      </c>
      <c r="AQ1452" s="43" t="s">
        <v>262</v>
      </c>
      <c r="AR1452" s="43" t="s">
        <v>535</v>
      </c>
      <c r="AS1452" s="43" t="s">
        <v>262</v>
      </c>
      <c r="AT1452" s="43" t="s">
        <v>822</v>
      </c>
      <c r="AU1452" s="43" t="s">
        <v>262</v>
      </c>
      <c r="XEY1452" s="27"/>
      <c r="XEZ1452" s="27"/>
      <c r="XFA1452" s="27"/>
      <c r="XFB1452" s="27"/>
      <c r="XFC1452" s="27"/>
      <c r="XFD1452" s="27"/>
    </row>
    <row r="1453" s="42" customFormat="true" ht="14.15" hidden="false" customHeight="true" outlineLevel="0" collapsed="false">
      <c r="A1453" s="28" t="s">
        <v>8353</v>
      </c>
      <c r="B1453" s="29" t="s">
        <v>1584</v>
      </c>
      <c r="C1453" s="29" t="s">
        <v>8354</v>
      </c>
      <c r="D1453" s="30" t="s">
        <v>244</v>
      </c>
      <c r="E1453" s="30" t="s">
        <v>245</v>
      </c>
      <c r="F1453" s="32" t="n">
        <v>73</v>
      </c>
      <c r="G1453" s="31" t="s">
        <v>215</v>
      </c>
      <c r="H1453" s="31" t="n">
        <v>1</v>
      </c>
      <c r="I1453" s="31" t="s">
        <v>77</v>
      </c>
      <c r="J1453" s="29"/>
      <c r="K1453" s="29" t="s">
        <v>3584</v>
      </c>
      <c r="L1453" s="32" t="n">
        <v>11</v>
      </c>
      <c r="M1453" s="33" t="s">
        <v>3585</v>
      </c>
      <c r="N1453" s="34" t="n">
        <v>92200</v>
      </c>
      <c r="O1453" s="35" t="s">
        <v>81</v>
      </c>
      <c r="P1453" s="36" t="s">
        <v>8355</v>
      </c>
      <c r="Q1453" s="36" t="n">
        <v>3</v>
      </c>
      <c r="R1453" s="32" t="n">
        <v>109</v>
      </c>
      <c r="S1453" s="32" t="n">
        <v>1</v>
      </c>
      <c r="T1453" s="32"/>
      <c r="U1453" s="32"/>
      <c r="V1453" s="37"/>
      <c r="W1453" s="32"/>
      <c r="X1453" s="34"/>
      <c r="Y1453" s="34"/>
      <c r="Z1453" s="36" t="s">
        <v>8356</v>
      </c>
      <c r="AA1453" s="32" t="s">
        <v>8357</v>
      </c>
      <c r="AB1453" s="32" t="s">
        <v>8358</v>
      </c>
      <c r="AC1453" s="38" t="str">
        <f aca="false">HYPERLINK("https://biocodex6--c.vf.force.com/0014L00000KFlAOQA1", "LABASTIRE BAIXAS LAURENCE")</f>
        <v>LABASTIRE BAIXAS LAURENCE</v>
      </c>
      <c r="AD1453" s="38" t="str">
        <f aca="false">HYPERLINK("https://annuairesante.ameli.fr/professionnels-de-sante/recherche/fiche-detaillee-CbA1kjo1NTWy.html", "LABASTIRE BAIXAS LAURENCE")</f>
        <v>LABASTIRE BAIXAS LAURENCE</v>
      </c>
      <c r="AE1453" s="39"/>
      <c r="AF1453" s="40"/>
      <c r="AG1453" s="41"/>
      <c r="AH1453" s="32" t="s">
        <v>179</v>
      </c>
      <c r="AI1453" s="32"/>
      <c r="AL1453" s="32"/>
      <c r="AM1453" s="32"/>
      <c r="AN1453" s="32"/>
      <c r="AO1453" s="32"/>
      <c r="AP1453" s="32"/>
      <c r="AQ1453" s="32"/>
      <c r="AR1453" s="32"/>
      <c r="AS1453" s="32"/>
      <c r="AT1453" s="32"/>
      <c r="AU1453" s="32"/>
      <c r="XEY1453" s="27"/>
      <c r="XEZ1453" s="27"/>
      <c r="XFA1453" s="27"/>
      <c r="XFB1453" s="27"/>
      <c r="XFC1453" s="27"/>
      <c r="XFD1453" s="27"/>
    </row>
    <row r="1454" s="42" customFormat="true" ht="14.15" hidden="false" customHeight="true" outlineLevel="0" collapsed="false">
      <c r="A1454" s="28" t="s">
        <v>8359</v>
      </c>
      <c r="B1454" s="29" t="s">
        <v>1928</v>
      </c>
      <c r="C1454" s="29" t="s">
        <v>8360</v>
      </c>
      <c r="D1454" s="30" t="s">
        <v>112</v>
      </c>
      <c r="E1454" s="30" t="s">
        <v>401</v>
      </c>
      <c r="F1454" s="32" t="n">
        <v>37</v>
      </c>
      <c r="G1454" s="31"/>
      <c r="H1454" s="31" t="n">
        <v>1</v>
      </c>
      <c r="I1454" s="31" t="s">
        <v>51</v>
      </c>
      <c r="J1454" s="29" t="s">
        <v>52</v>
      </c>
      <c r="K1454" s="29" t="s">
        <v>53</v>
      </c>
      <c r="L1454" s="32" t="n">
        <v>149</v>
      </c>
      <c r="M1454" s="33" t="s">
        <v>54</v>
      </c>
      <c r="N1454" s="34" t="n">
        <v>75015</v>
      </c>
      <c r="O1454" s="35" t="s">
        <v>55</v>
      </c>
      <c r="P1454" s="36" t="s">
        <v>8000</v>
      </c>
      <c r="Q1454" s="36" t="n">
        <v>236</v>
      </c>
      <c r="R1454" s="32" t="n">
        <v>108</v>
      </c>
      <c r="S1454" s="32" t="n">
        <v>1</v>
      </c>
      <c r="T1454" s="32"/>
      <c r="U1454" s="32"/>
      <c r="V1454" s="37"/>
      <c r="W1454" s="32"/>
      <c r="X1454" s="34"/>
      <c r="Y1454" s="34"/>
      <c r="Z1454" s="36"/>
      <c r="AA1454" s="32" t="s">
        <v>8361</v>
      </c>
      <c r="AB1454" s="32"/>
      <c r="AC1454" s="38" t="str">
        <f aca="false">HYPERLINK("https://biocodex6--c.vf.force.com/0014L00000KFONDQA5", "MEOT MATHILDE")</f>
        <v>MEOT MATHILDE</v>
      </c>
      <c r="AD1454" s="38"/>
      <c r="AE1454" s="39"/>
      <c r="AF1454" s="40"/>
      <c r="AG1454" s="41"/>
      <c r="AH1454" s="32" t="s">
        <v>179</v>
      </c>
      <c r="AI1454" s="32"/>
      <c r="AL1454" s="32"/>
      <c r="AM1454" s="32"/>
      <c r="AN1454" s="32"/>
      <c r="AO1454" s="32"/>
      <c r="AP1454" s="32"/>
      <c r="AQ1454" s="32"/>
      <c r="AR1454" s="32"/>
      <c r="AS1454" s="32"/>
      <c r="AT1454" s="32"/>
      <c r="AU1454" s="32"/>
      <c r="XEY1454" s="27"/>
      <c r="XEZ1454" s="27"/>
      <c r="XFA1454" s="27"/>
      <c r="XFB1454" s="27"/>
      <c r="XFC1454" s="27"/>
      <c r="XFD1454" s="27"/>
    </row>
    <row r="1455" s="42" customFormat="true" ht="14.15" hidden="false" customHeight="true" outlineLevel="0" collapsed="false">
      <c r="A1455" s="28" t="s">
        <v>8362</v>
      </c>
      <c r="B1455" s="29" t="s">
        <v>1539</v>
      </c>
      <c r="C1455" s="29" t="s">
        <v>8363</v>
      </c>
      <c r="D1455" s="30" t="s">
        <v>112</v>
      </c>
      <c r="E1455" s="31"/>
      <c r="F1455" s="32" t="n">
        <v>44</v>
      </c>
      <c r="G1455" s="31"/>
      <c r="H1455" s="31" t="n">
        <v>1</v>
      </c>
      <c r="I1455" s="31" t="s">
        <v>51</v>
      </c>
      <c r="J1455" s="29" t="s">
        <v>52</v>
      </c>
      <c r="K1455" s="29" t="s">
        <v>53</v>
      </c>
      <c r="L1455" s="32" t="n">
        <v>149</v>
      </c>
      <c r="M1455" s="33" t="s">
        <v>54</v>
      </c>
      <c r="N1455" s="34" t="n">
        <v>75015</v>
      </c>
      <c r="O1455" s="35" t="s">
        <v>55</v>
      </c>
      <c r="P1455" s="36" t="s">
        <v>1815</v>
      </c>
      <c r="Q1455" s="36" t="n">
        <v>236</v>
      </c>
      <c r="R1455" s="32" t="n">
        <v>106</v>
      </c>
      <c r="S1455" s="32" t="n">
        <v>1</v>
      </c>
      <c r="T1455" s="32"/>
      <c r="U1455" s="32"/>
      <c r="V1455" s="37"/>
      <c r="W1455" s="32"/>
      <c r="X1455" s="34"/>
      <c r="Y1455" s="34"/>
      <c r="Z1455" s="36"/>
      <c r="AA1455" s="32" t="s">
        <v>8364</v>
      </c>
      <c r="AB1455" s="32"/>
      <c r="AC1455" s="38" t="str">
        <f aca="false">HYPERLINK("https://biocodex6--c.vf.force.com/0014L00000KFVGQQA5", "BRUNET GUERIN STEPHANIE")</f>
        <v>BRUNET GUERIN STEPHANIE</v>
      </c>
      <c r="AD1455" s="38"/>
      <c r="AE1455" s="39"/>
      <c r="AF1455" s="40"/>
      <c r="AG1455" s="41"/>
      <c r="AH1455" s="32" t="s">
        <v>179</v>
      </c>
      <c r="AI1455" s="32"/>
      <c r="AJ1455" s="42" t="s">
        <v>1817</v>
      </c>
      <c r="AL1455" s="32"/>
      <c r="AM1455" s="32"/>
      <c r="AN1455" s="32"/>
      <c r="AO1455" s="32"/>
      <c r="AP1455" s="32"/>
      <c r="AQ1455" s="32"/>
      <c r="AR1455" s="32"/>
      <c r="AS1455" s="32"/>
      <c r="AT1455" s="32"/>
      <c r="AU1455" s="32"/>
      <c r="XEY1455" s="27"/>
      <c r="XEZ1455" s="27"/>
      <c r="XFA1455" s="27"/>
      <c r="XFB1455" s="27"/>
      <c r="XFC1455" s="27"/>
      <c r="XFD1455" s="27"/>
    </row>
    <row r="1456" s="42" customFormat="true" ht="14.15" hidden="false" customHeight="true" outlineLevel="0" collapsed="false">
      <c r="A1456" s="28" t="s">
        <v>8365</v>
      </c>
      <c r="B1456" s="29" t="s">
        <v>8366</v>
      </c>
      <c r="C1456" s="29" t="s">
        <v>8367</v>
      </c>
      <c r="D1456" s="30" t="s">
        <v>112</v>
      </c>
      <c r="E1456" s="31"/>
      <c r="F1456" s="32" t="n">
        <v>41</v>
      </c>
      <c r="G1456" s="31"/>
      <c r="H1456" s="31" t="n">
        <v>2</v>
      </c>
      <c r="I1456" s="31" t="s">
        <v>51</v>
      </c>
      <c r="J1456" s="29" t="s">
        <v>52</v>
      </c>
      <c r="K1456" s="29" t="s">
        <v>53</v>
      </c>
      <c r="L1456" s="32" t="n">
        <v>149</v>
      </c>
      <c r="M1456" s="33" t="s">
        <v>54</v>
      </c>
      <c r="N1456" s="34" t="n">
        <v>75015</v>
      </c>
      <c r="O1456" s="35" t="s">
        <v>55</v>
      </c>
      <c r="P1456" s="36" t="s">
        <v>2769</v>
      </c>
      <c r="Q1456" s="36" t="n">
        <v>236</v>
      </c>
      <c r="R1456" s="32" t="n">
        <v>106</v>
      </c>
      <c r="S1456" s="32" t="n">
        <v>1</v>
      </c>
      <c r="T1456" s="32"/>
      <c r="U1456" s="32"/>
      <c r="V1456" s="37"/>
      <c r="W1456" s="32"/>
      <c r="X1456" s="34"/>
      <c r="Y1456" s="34"/>
      <c r="Z1456" s="36"/>
      <c r="AA1456" s="32" t="s">
        <v>8368</v>
      </c>
      <c r="AB1456" s="32"/>
      <c r="AC1456" s="38" t="str">
        <f aca="false">HYPERLINK("https://biocodex6--c.vf.force.com/0014L00000KFos6QAD", "LIND KATIA")</f>
        <v>LIND KATIA</v>
      </c>
      <c r="AD1456" s="38"/>
      <c r="AE1456" s="39"/>
      <c r="AF1456" s="40"/>
      <c r="AG1456" s="41"/>
      <c r="AH1456" s="32" t="s">
        <v>179</v>
      </c>
      <c r="AI1456" s="32"/>
      <c r="AL1456" s="32"/>
      <c r="AM1456" s="32"/>
      <c r="AN1456" s="32"/>
      <c r="AO1456" s="32"/>
      <c r="AP1456" s="32"/>
      <c r="AQ1456" s="32"/>
      <c r="AR1456" s="32"/>
      <c r="AS1456" s="32"/>
      <c r="AT1456" s="32"/>
      <c r="AU1456" s="32"/>
      <c r="XEY1456" s="27"/>
      <c r="XEZ1456" s="27"/>
      <c r="XFA1456" s="27"/>
      <c r="XFB1456" s="27"/>
      <c r="XFC1456" s="27"/>
      <c r="XFD1456" s="27"/>
    </row>
    <row r="1457" s="42" customFormat="true" ht="14.15" hidden="false" customHeight="true" outlineLevel="0" collapsed="false">
      <c r="A1457" s="28" t="s">
        <v>8369</v>
      </c>
      <c r="B1457" s="29" t="s">
        <v>652</v>
      </c>
      <c r="C1457" s="29" t="s">
        <v>8370</v>
      </c>
      <c r="D1457" s="30" t="s">
        <v>244</v>
      </c>
      <c r="E1457" s="30" t="s">
        <v>245</v>
      </c>
      <c r="F1457" s="32" t="n">
        <v>41</v>
      </c>
      <c r="G1457" s="31" t="s">
        <v>215</v>
      </c>
      <c r="H1457" s="31" t="n">
        <v>1</v>
      </c>
      <c r="I1457" s="31" t="s">
        <v>51</v>
      </c>
      <c r="J1457" s="29"/>
      <c r="K1457" s="29" t="s">
        <v>8371</v>
      </c>
      <c r="L1457" s="32" t="n">
        <v>6</v>
      </c>
      <c r="M1457" s="33" t="s">
        <v>8372</v>
      </c>
      <c r="N1457" s="34" t="n">
        <v>75015</v>
      </c>
      <c r="O1457" s="35" t="s">
        <v>55</v>
      </c>
      <c r="P1457" s="36" t="s">
        <v>8373</v>
      </c>
      <c r="Q1457" s="36" t="n">
        <v>1</v>
      </c>
      <c r="R1457" s="32" t="n">
        <v>106</v>
      </c>
      <c r="S1457" s="32" t="n">
        <v>1</v>
      </c>
      <c r="T1457" s="32"/>
      <c r="U1457" s="32"/>
      <c r="V1457" s="37"/>
      <c r="W1457" s="32"/>
      <c r="X1457" s="34"/>
      <c r="Y1457" s="34"/>
      <c r="Z1457" s="36"/>
      <c r="AA1457" s="32" t="s">
        <v>8374</v>
      </c>
      <c r="AB1457" s="32" t="s">
        <v>8375</v>
      </c>
      <c r="AC1457" s="38" t="str">
        <f aca="false">HYPERLINK("https://biocodex6--c.vf.force.com/0014L00000KG0FbQAL", "ROY SOPHIE")</f>
        <v>ROY SOPHIE</v>
      </c>
      <c r="AD1457" s="38" t="str">
        <f aca="false">HYPERLINK("https://annuairesante.ameli.fr/professionnels-de-sante/recherche/fiche-detaillee-B7c1kjo4ODCw.html", "ROY SOPHIE")</f>
        <v>ROY SOPHIE</v>
      </c>
      <c r="AE1457" s="39"/>
      <c r="AF1457" s="40"/>
      <c r="AG1457" s="41"/>
      <c r="AH1457" s="32" t="s">
        <v>179</v>
      </c>
      <c r="AI1457" s="32"/>
      <c r="AL1457" s="43" t="s">
        <v>639</v>
      </c>
      <c r="AM1457" s="43" t="s">
        <v>792</v>
      </c>
      <c r="AN1457" s="43" t="s">
        <v>639</v>
      </c>
      <c r="AO1457" s="43" t="s">
        <v>792</v>
      </c>
      <c r="AP1457" s="32"/>
      <c r="AQ1457" s="32"/>
      <c r="AR1457" s="43" t="s">
        <v>995</v>
      </c>
      <c r="AS1457" s="43" t="s">
        <v>137</v>
      </c>
      <c r="AT1457" s="43" t="s">
        <v>995</v>
      </c>
      <c r="AU1457" s="43" t="s">
        <v>476</v>
      </c>
      <c r="XEY1457" s="27"/>
      <c r="XEZ1457" s="27"/>
      <c r="XFA1457" s="27"/>
      <c r="XFB1457" s="27"/>
      <c r="XFC1457" s="27"/>
      <c r="XFD1457" s="27"/>
    </row>
    <row r="1458" s="42" customFormat="true" ht="14.15" hidden="false" customHeight="true" outlineLevel="0" collapsed="false">
      <c r="A1458" s="28" t="s">
        <v>8376</v>
      </c>
      <c r="B1458" s="29" t="s">
        <v>3063</v>
      </c>
      <c r="C1458" s="29" t="s">
        <v>8377</v>
      </c>
      <c r="D1458" s="30" t="s">
        <v>172</v>
      </c>
      <c r="E1458" s="31"/>
      <c r="F1458" s="32" t="n">
        <v>68</v>
      </c>
      <c r="G1458" s="31"/>
      <c r="H1458" s="31" t="n">
        <v>1</v>
      </c>
      <c r="I1458" s="31" t="s">
        <v>295</v>
      </c>
      <c r="J1458" s="29"/>
      <c r="K1458" s="29" t="s">
        <v>8378</v>
      </c>
      <c r="L1458" s="32" t="n">
        <v>6</v>
      </c>
      <c r="M1458" s="33" t="s">
        <v>3510</v>
      </c>
      <c r="N1458" s="34" t="n">
        <v>92300</v>
      </c>
      <c r="O1458" s="35" t="s">
        <v>298</v>
      </c>
      <c r="P1458" s="36" t="s">
        <v>8379</v>
      </c>
      <c r="Q1458" s="36" t="n">
        <v>1</v>
      </c>
      <c r="R1458" s="32" t="n">
        <v>106</v>
      </c>
      <c r="S1458" s="32" t="n">
        <v>1</v>
      </c>
      <c r="T1458" s="43" t="s">
        <v>316</v>
      </c>
      <c r="U1458" s="32"/>
      <c r="V1458" s="37"/>
      <c r="W1458" s="32"/>
      <c r="X1458" s="34"/>
      <c r="Y1458" s="34"/>
      <c r="Z1458" s="36"/>
      <c r="AA1458" s="32" t="s">
        <v>8380</v>
      </c>
      <c r="AB1458" s="32"/>
      <c r="AC1458" s="38" t="str">
        <f aca="false">HYPERLINK("https://biocodex6--c.vf.force.com/0014L00000KFWIVQA5", "CHAUDOYE LUC")</f>
        <v>CHAUDOYE LUC</v>
      </c>
      <c r="AD1458" s="38"/>
      <c r="AE1458" s="39"/>
      <c r="AF1458" s="40"/>
      <c r="AG1458" s="41"/>
      <c r="AH1458" s="32" t="s">
        <v>179</v>
      </c>
      <c r="AI1458" s="32"/>
      <c r="AL1458" s="32"/>
      <c r="AM1458" s="32"/>
      <c r="AN1458" s="32"/>
      <c r="AO1458" s="32"/>
      <c r="AP1458" s="32"/>
      <c r="AQ1458" s="32"/>
      <c r="AR1458" s="32"/>
      <c r="AS1458" s="32"/>
      <c r="AT1458" s="32"/>
      <c r="AU1458" s="32"/>
      <c r="XEY1458" s="27"/>
      <c r="XEZ1458" s="27"/>
      <c r="XFA1458" s="27"/>
      <c r="XFB1458" s="27"/>
      <c r="XFC1458" s="27"/>
      <c r="XFD1458" s="27"/>
    </row>
    <row r="1459" s="42" customFormat="true" ht="14.15" hidden="false" customHeight="true" outlineLevel="0" collapsed="false">
      <c r="A1459" s="28" t="s">
        <v>8381</v>
      </c>
      <c r="B1459" s="29" t="s">
        <v>560</v>
      </c>
      <c r="C1459" s="29" t="s">
        <v>8382</v>
      </c>
      <c r="D1459" s="30" t="s">
        <v>244</v>
      </c>
      <c r="E1459" s="30" t="s">
        <v>245</v>
      </c>
      <c r="F1459" s="32" t="n">
        <v>70</v>
      </c>
      <c r="G1459" s="31" t="s">
        <v>61</v>
      </c>
      <c r="H1459" s="31" t="n">
        <v>1</v>
      </c>
      <c r="I1459" s="31" t="s">
        <v>295</v>
      </c>
      <c r="J1459" s="29"/>
      <c r="K1459" s="29" t="s">
        <v>8383</v>
      </c>
      <c r="L1459" s="32" t="n">
        <v>42</v>
      </c>
      <c r="M1459" s="33" t="s">
        <v>8384</v>
      </c>
      <c r="N1459" s="34" t="n">
        <v>92300</v>
      </c>
      <c r="O1459" s="35" t="s">
        <v>298</v>
      </c>
      <c r="P1459" s="36" t="s">
        <v>8385</v>
      </c>
      <c r="Q1459" s="36" t="n">
        <v>1</v>
      </c>
      <c r="R1459" s="32" t="n">
        <v>106</v>
      </c>
      <c r="S1459" s="32" t="n">
        <v>1</v>
      </c>
      <c r="T1459" s="32"/>
      <c r="U1459" s="32"/>
      <c r="V1459" s="37"/>
      <c r="W1459" s="32" t="n">
        <v>3</v>
      </c>
      <c r="X1459" s="34"/>
      <c r="Y1459" s="34" t="n">
        <v>1</v>
      </c>
      <c r="Z1459" s="36"/>
      <c r="AA1459" s="32" t="s">
        <v>8386</v>
      </c>
      <c r="AB1459" s="44" t="s">
        <v>8387</v>
      </c>
      <c r="AC1459" s="38" t="str">
        <f aca="false">HYPERLINK("https://biocodex6--c.vf.force.com/0014L00000KFW4hQAH", "CHANTELARD ELISABETH")</f>
        <v>CHANTELARD ELISABETH</v>
      </c>
      <c r="AD1459" s="38" t="str">
        <f aca="false">HYPERLINK("https://annuairesante.ameli.fr/professionnels-de-sante/recherche/fiche-detaillee-CbA1kjs4NjKw.html", "CHANTELARD ELISABETH")</f>
        <v>CHANTELARD ELISABETH</v>
      </c>
      <c r="AE1459" s="39"/>
      <c r="AF1459" s="40"/>
      <c r="AG1459" s="41"/>
      <c r="AH1459" s="32" t="s">
        <v>179</v>
      </c>
      <c r="AI1459" s="32"/>
      <c r="AL1459" s="32"/>
      <c r="AM1459" s="32"/>
      <c r="AN1459" s="32"/>
      <c r="AO1459" s="32"/>
      <c r="AP1459" s="32"/>
      <c r="AQ1459" s="32"/>
      <c r="AR1459" s="32"/>
      <c r="AS1459" s="32"/>
      <c r="AT1459" s="32"/>
      <c r="AU1459" s="32"/>
      <c r="XEY1459" s="27"/>
      <c r="XEZ1459" s="27"/>
      <c r="XFA1459" s="27"/>
      <c r="XFB1459" s="27"/>
      <c r="XFC1459" s="27"/>
      <c r="XFD1459" s="27"/>
    </row>
    <row r="1460" s="42" customFormat="true" ht="14.15" hidden="false" customHeight="true" outlineLevel="0" collapsed="false">
      <c r="A1460" s="28" t="s">
        <v>8388</v>
      </c>
      <c r="B1460" s="29" t="s">
        <v>8389</v>
      </c>
      <c r="C1460" s="29" t="s">
        <v>8390</v>
      </c>
      <c r="D1460" s="30" t="s">
        <v>112</v>
      </c>
      <c r="E1460" s="31"/>
      <c r="F1460" s="32" t="n">
        <v>61</v>
      </c>
      <c r="G1460" s="31"/>
      <c r="H1460" s="31" t="n">
        <v>2</v>
      </c>
      <c r="I1460" s="31" t="s">
        <v>77</v>
      </c>
      <c r="J1460" s="29" t="s">
        <v>246</v>
      </c>
      <c r="K1460" s="29" t="s">
        <v>247</v>
      </c>
      <c r="L1460" s="32" t="n">
        <v>36</v>
      </c>
      <c r="M1460" s="33" t="s">
        <v>248</v>
      </c>
      <c r="N1460" s="34" t="n">
        <v>92200</v>
      </c>
      <c r="O1460" s="35" t="s">
        <v>81</v>
      </c>
      <c r="P1460" s="36" t="s">
        <v>365</v>
      </c>
      <c r="Q1460" s="36" t="n">
        <v>49</v>
      </c>
      <c r="R1460" s="32" t="n">
        <v>106</v>
      </c>
      <c r="S1460" s="32" t="n">
        <v>1</v>
      </c>
      <c r="T1460" s="32"/>
      <c r="U1460" s="32"/>
      <c r="V1460" s="37"/>
      <c r="W1460" s="32"/>
      <c r="X1460" s="34"/>
      <c r="Y1460" s="34" t="n">
        <v>1</v>
      </c>
      <c r="Z1460" s="36"/>
      <c r="AA1460" s="32" t="s">
        <v>8391</v>
      </c>
      <c r="AB1460" s="44"/>
      <c r="AC1460" s="38" t="str">
        <f aca="false">HYPERLINK("https://biocodex6--c.vf.force.com/0014L00000KFQ43QAH", "AKIL RACHIDA")</f>
        <v>AKIL RACHIDA</v>
      </c>
      <c r="AD1460" s="38"/>
      <c r="AE1460" s="39"/>
      <c r="AF1460" s="40"/>
      <c r="AG1460" s="41"/>
      <c r="AH1460" s="32" t="s">
        <v>179</v>
      </c>
      <c r="AI1460" s="32"/>
      <c r="AL1460" s="32"/>
      <c r="AM1460" s="32"/>
      <c r="AN1460" s="32"/>
      <c r="AO1460" s="32"/>
      <c r="AP1460" s="32"/>
      <c r="AQ1460" s="32"/>
      <c r="AR1460" s="32"/>
      <c r="AS1460" s="32"/>
      <c r="AT1460" s="32"/>
      <c r="AU1460" s="32"/>
      <c r="XEY1460" s="27"/>
      <c r="XEZ1460" s="27"/>
      <c r="XFA1460" s="27"/>
      <c r="XFB1460" s="27"/>
      <c r="XFC1460" s="27"/>
      <c r="XFD1460" s="27"/>
    </row>
    <row r="1461" s="42" customFormat="true" ht="14.15" hidden="false" customHeight="true" outlineLevel="0" collapsed="false">
      <c r="A1461" s="28" t="s">
        <v>8392</v>
      </c>
      <c r="B1461" s="29" t="s">
        <v>8393</v>
      </c>
      <c r="C1461" s="29" t="s">
        <v>8394</v>
      </c>
      <c r="D1461" s="30" t="s">
        <v>112</v>
      </c>
      <c r="E1461" s="31"/>
      <c r="F1461" s="32" t="n">
        <v>54</v>
      </c>
      <c r="G1461" s="31"/>
      <c r="H1461" s="31" t="n">
        <v>1</v>
      </c>
      <c r="I1461" s="31" t="s">
        <v>77</v>
      </c>
      <c r="J1461" s="29" t="s">
        <v>246</v>
      </c>
      <c r="K1461" s="29" t="s">
        <v>247</v>
      </c>
      <c r="L1461" s="32" t="n">
        <v>36</v>
      </c>
      <c r="M1461" s="33" t="s">
        <v>248</v>
      </c>
      <c r="N1461" s="34" t="n">
        <v>92200</v>
      </c>
      <c r="O1461" s="35" t="s">
        <v>81</v>
      </c>
      <c r="P1461" s="36" t="s">
        <v>365</v>
      </c>
      <c r="Q1461" s="36" t="n">
        <v>49</v>
      </c>
      <c r="R1461" s="32" t="n">
        <v>106</v>
      </c>
      <c r="S1461" s="32" t="n">
        <v>1</v>
      </c>
      <c r="T1461" s="32"/>
      <c r="U1461" s="32"/>
      <c r="V1461" s="37"/>
      <c r="W1461" s="32"/>
      <c r="X1461" s="34"/>
      <c r="Y1461" s="34" t="n">
        <v>1</v>
      </c>
      <c r="Z1461" s="36"/>
      <c r="AA1461" s="32" t="s">
        <v>8395</v>
      </c>
      <c r="AB1461" s="44"/>
      <c r="AC1461" s="38" t="str">
        <f aca="false">HYPERLINK("https://biocodex6--c.vf.force.com/0014L00000KFr3qQAD", "MARCU MARIN MARIANA")</f>
        <v>MARCU MARIN MARIANA</v>
      </c>
      <c r="AD1461" s="38"/>
      <c r="AE1461" s="39"/>
      <c r="AF1461" s="40"/>
      <c r="AG1461" s="41"/>
      <c r="AH1461" s="32" t="s">
        <v>179</v>
      </c>
      <c r="AI1461" s="32"/>
      <c r="AL1461" s="32"/>
      <c r="AM1461" s="32"/>
      <c r="AN1461" s="32"/>
      <c r="AO1461" s="32"/>
      <c r="AP1461" s="32"/>
      <c r="AQ1461" s="32"/>
      <c r="AR1461" s="32"/>
      <c r="AS1461" s="32"/>
      <c r="AT1461" s="32"/>
      <c r="AU1461" s="32"/>
      <c r="XEY1461" s="27"/>
      <c r="XEZ1461" s="27"/>
      <c r="XFA1461" s="27"/>
      <c r="XFB1461" s="27"/>
      <c r="XFC1461" s="27"/>
      <c r="XFD1461" s="27"/>
    </row>
    <row r="1462" s="42" customFormat="true" ht="14.15" hidden="false" customHeight="true" outlineLevel="0" collapsed="false">
      <c r="A1462" s="28" t="s">
        <v>8396</v>
      </c>
      <c r="B1462" s="29" t="s">
        <v>643</v>
      </c>
      <c r="C1462" s="29" t="s">
        <v>8397</v>
      </c>
      <c r="D1462" s="30" t="s">
        <v>112</v>
      </c>
      <c r="E1462" s="31"/>
      <c r="F1462" s="32" t="n">
        <v>52</v>
      </c>
      <c r="G1462" s="31"/>
      <c r="H1462" s="31" t="n">
        <v>2</v>
      </c>
      <c r="I1462" s="31" t="s">
        <v>77</v>
      </c>
      <c r="J1462" s="29" t="s">
        <v>246</v>
      </c>
      <c r="K1462" s="29" t="s">
        <v>247</v>
      </c>
      <c r="L1462" s="32" t="n">
        <v>36</v>
      </c>
      <c r="M1462" s="33" t="s">
        <v>248</v>
      </c>
      <c r="N1462" s="34" t="n">
        <v>92200</v>
      </c>
      <c r="O1462" s="35" t="s">
        <v>81</v>
      </c>
      <c r="P1462" s="36" t="s">
        <v>365</v>
      </c>
      <c r="Q1462" s="36" t="n">
        <v>49</v>
      </c>
      <c r="R1462" s="32" t="n">
        <v>106</v>
      </c>
      <c r="S1462" s="32" t="n">
        <v>1</v>
      </c>
      <c r="T1462" s="32"/>
      <c r="U1462" s="32"/>
      <c r="V1462" s="37"/>
      <c r="W1462" s="32"/>
      <c r="X1462" s="34"/>
      <c r="Y1462" s="34"/>
      <c r="Z1462" s="36"/>
      <c r="AA1462" s="32" t="s">
        <v>8398</v>
      </c>
      <c r="AB1462" s="32"/>
      <c r="AC1462" s="38" t="str">
        <f aca="false">HYPERLINK("https://biocodex6--c.vf.force.com/0014L00000KFcwcQAD", "GATEL PIERRE")</f>
        <v>GATEL PIERRE</v>
      </c>
      <c r="AD1462" s="38"/>
      <c r="AE1462" s="39"/>
      <c r="AF1462" s="40"/>
      <c r="AG1462" s="41"/>
      <c r="AH1462" s="32" t="s">
        <v>179</v>
      </c>
      <c r="AI1462" s="32"/>
      <c r="AL1462" s="32"/>
      <c r="AM1462" s="32"/>
      <c r="AN1462" s="32"/>
      <c r="AO1462" s="32"/>
      <c r="AP1462" s="32"/>
      <c r="AQ1462" s="32"/>
      <c r="AR1462" s="32"/>
      <c r="AS1462" s="32"/>
      <c r="AT1462" s="32"/>
      <c r="AU1462" s="32"/>
      <c r="XEY1462" s="27"/>
      <c r="XEZ1462" s="27"/>
      <c r="XFA1462" s="27"/>
      <c r="XFB1462" s="27"/>
      <c r="XFC1462" s="27"/>
      <c r="XFD1462" s="27"/>
    </row>
    <row r="1463" s="42" customFormat="true" ht="14.15" hidden="false" customHeight="true" outlineLevel="0" collapsed="false">
      <c r="A1463" s="28" t="s">
        <v>8399</v>
      </c>
      <c r="B1463" s="29" t="s">
        <v>8400</v>
      </c>
      <c r="C1463" s="29" t="s">
        <v>8401</v>
      </c>
      <c r="D1463" s="30" t="s">
        <v>112</v>
      </c>
      <c r="E1463" s="31"/>
      <c r="F1463" s="32" t="n">
        <v>61</v>
      </c>
      <c r="G1463" s="31" t="s">
        <v>345</v>
      </c>
      <c r="H1463" s="31" t="n">
        <v>1</v>
      </c>
      <c r="I1463" s="31" t="s">
        <v>77</v>
      </c>
      <c r="J1463" s="29" t="s">
        <v>580</v>
      </c>
      <c r="K1463" s="29" t="s">
        <v>581</v>
      </c>
      <c r="L1463" s="32" t="n">
        <v>63</v>
      </c>
      <c r="M1463" s="33" t="s">
        <v>80</v>
      </c>
      <c r="N1463" s="34" t="n">
        <v>92200</v>
      </c>
      <c r="O1463" s="35" t="s">
        <v>81</v>
      </c>
      <c r="P1463" s="36" t="s">
        <v>2129</v>
      </c>
      <c r="Q1463" s="36" t="n">
        <v>39</v>
      </c>
      <c r="R1463" s="32" t="n">
        <v>106</v>
      </c>
      <c r="S1463" s="32" t="n">
        <v>1</v>
      </c>
      <c r="T1463" s="32"/>
      <c r="U1463" s="32"/>
      <c r="V1463" s="37"/>
      <c r="W1463" s="32" t="n">
        <v>3</v>
      </c>
      <c r="X1463" s="34"/>
      <c r="Y1463" s="34" t="n">
        <v>3</v>
      </c>
      <c r="Z1463" s="36"/>
      <c r="AA1463" s="32" t="s">
        <v>8402</v>
      </c>
      <c r="AB1463" s="44" t="s">
        <v>8403</v>
      </c>
      <c r="AC1463" s="38" t="str">
        <f aca="false">HYPERLINK("https://biocodex6--c.vf.force.com/0014L00000KFpHGQA1", "LOVEJOY JOHN")</f>
        <v>LOVEJOY JOHN</v>
      </c>
      <c r="AD1463" s="38" t="str">
        <f aca="false">HYPERLINK("https://annuairesante.ameli.fr/professionnels-de-sante/recherche/fiche-detaillee-CbA1kzswNzWz.html", "LOVEJOY JOHN")</f>
        <v>LOVEJOY JOHN</v>
      </c>
      <c r="AE1463" s="39"/>
      <c r="AF1463" s="40"/>
      <c r="AG1463" s="41"/>
      <c r="AH1463" s="32" t="s">
        <v>3469</v>
      </c>
      <c r="AI1463" s="32"/>
      <c r="AL1463" s="32"/>
      <c r="AM1463" s="32"/>
      <c r="AN1463" s="32"/>
      <c r="AO1463" s="32"/>
      <c r="AP1463" s="32"/>
      <c r="AQ1463" s="32"/>
      <c r="AR1463" s="32"/>
      <c r="AS1463" s="32"/>
      <c r="AT1463" s="32"/>
      <c r="AU1463" s="32"/>
      <c r="XEY1463" s="27"/>
      <c r="XEZ1463" s="27"/>
      <c r="XFA1463" s="27"/>
      <c r="XFB1463" s="27"/>
      <c r="XFC1463" s="27"/>
      <c r="XFD1463" s="27"/>
    </row>
    <row r="1464" s="42" customFormat="true" ht="14.15" hidden="false" customHeight="true" outlineLevel="0" collapsed="false">
      <c r="A1464" s="28" t="s">
        <v>8404</v>
      </c>
      <c r="B1464" s="29" t="s">
        <v>8405</v>
      </c>
      <c r="C1464" s="29" t="s">
        <v>8406</v>
      </c>
      <c r="D1464" s="30" t="s">
        <v>50</v>
      </c>
      <c r="E1464" s="30" t="s">
        <v>113</v>
      </c>
      <c r="F1464" s="32" t="n">
        <v>39</v>
      </c>
      <c r="G1464" s="31" t="s">
        <v>345</v>
      </c>
      <c r="H1464" s="31" t="n">
        <v>1</v>
      </c>
      <c r="I1464" s="31" t="s">
        <v>197</v>
      </c>
      <c r="J1464" s="29"/>
      <c r="K1464" s="29" t="s">
        <v>8407</v>
      </c>
      <c r="L1464" s="32" t="n">
        <v>61</v>
      </c>
      <c r="M1464" s="33" t="s">
        <v>2957</v>
      </c>
      <c r="N1464" s="34" t="n">
        <v>75017</v>
      </c>
      <c r="O1464" s="35" t="s">
        <v>55</v>
      </c>
      <c r="P1464" s="36" t="s">
        <v>8408</v>
      </c>
      <c r="Q1464" s="36" t="n">
        <v>2</v>
      </c>
      <c r="R1464" s="32" t="n">
        <v>105</v>
      </c>
      <c r="S1464" s="32" t="n">
        <v>1</v>
      </c>
      <c r="T1464" s="32"/>
      <c r="U1464" s="32"/>
      <c r="V1464" s="37"/>
      <c r="W1464" s="32"/>
      <c r="X1464" s="34"/>
      <c r="Y1464" s="34"/>
      <c r="Z1464" s="36"/>
      <c r="AA1464" s="32" t="s">
        <v>8409</v>
      </c>
      <c r="AB1464" s="32" t="s">
        <v>8410</v>
      </c>
      <c r="AC1464" s="38" t="str">
        <f aca="false">HYPERLINK("https://biocodex6--c.vf.force.com/0014L00000KGGyqQAH", "BEN HADDOU GHIZLAINE")</f>
        <v>BEN HADDOU GHIZLAINE</v>
      </c>
      <c r="AD1464" s="38" t="str">
        <f aca="false">HYPERLINK("https://annuairesante.ameli.fr/professionnels-de-sante/recherche/fiche-detaillee-B7c1kzAxMTe3.html", "BEN HADDOU GHIZLAINE")</f>
        <v>BEN HADDOU GHIZLAINE</v>
      </c>
      <c r="AE1464" s="39"/>
      <c r="AF1464" s="40"/>
      <c r="AG1464" s="41"/>
      <c r="AH1464" s="32" t="s">
        <v>179</v>
      </c>
      <c r="AI1464" s="32"/>
      <c r="AL1464" s="32"/>
      <c r="AM1464" s="32"/>
      <c r="AN1464" s="32"/>
      <c r="AO1464" s="32"/>
      <c r="AP1464" s="32"/>
      <c r="AQ1464" s="32"/>
      <c r="AR1464" s="32"/>
      <c r="AS1464" s="32"/>
      <c r="AT1464" s="32"/>
      <c r="AU1464" s="32"/>
      <c r="XEY1464" s="27"/>
      <c r="XEZ1464" s="27"/>
      <c r="XFA1464" s="27"/>
      <c r="XFB1464" s="27"/>
      <c r="XFC1464" s="27"/>
      <c r="XFD1464" s="27"/>
    </row>
    <row r="1465" s="42" customFormat="true" ht="14.15" hidden="false" customHeight="true" outlineLevel="0" collapsed="false">
      <c r="A1465" s="28" t="s">
        <v>8411</v>
      </c>
      <c r="B1465" s="29" t="s">
        <v>1777</v>
      </c>
      <c r="C1465" s="29" t="s">
        <v>8412</v>
      </c>
      <c r="D1465" s="30" t="s">
        <v>112</v>
      </c>
      <c r="E1465" s="31"/>
      <c r="F1465" s="32" t="n">
        <v>67</v>
      </c>
      <c r="G1465" s="31"/>
      <c r="H1465" s="31" t="n">
        <v>1</v>
      </c>
      <c r="I1465" s="31" t="s">
        <v>197</v>
      </c>
      <c r="J1465" s="29"/>
      <c r="K1465" s="29" t="s">
        <v>8413</v>
      </c>
      <c r="L1465" s="32" t="n">
        <v>37</v>
      </c>
      <c r="M1465" s="33" t="s">
        <v>8414</v>
      </c>
      <c r="N1465" s="34" t="n">
        <v>75017</v>
      </c>
      <c r="O1465" s="35" t="s">
        <v>55</v>
      </c>
      <c r="P1465" s="36" t="s">
        <v>8415</v>
      </c>
      <c r="Q1465" s="36" t="n">
        <v>1</v>
      </c>
      <c r="R1465" s="32" t="n">
        <v>105</v>
      </c>
      <c r="S1465" s="32" t="n">
        <v>1</v>
      </c>
      <c r="T1465" s="32"/>
      <c r="U1465" s="32"/>
      <c r="V1465" s="37"/>
      <c r="W1465" s="32"/>
      <c r="X1465" s="34"/>
      <c r="Y1465" s="34"/>
      <c r="Z1465" s="36"/>
      <c r="AA1465" s="32" t="s">
        <v>8416</v>
      </c>
      <c r="AB1465" s="32"/>
      <c r="AC1465" s="38" t="str">
        <f aca="false">HYPERLINK("https://biocodex6--c.vf.force.com/0014L00000KFeUvQAL", "FRELAUT VALERIE")</f>
        <v>FRELAUT VALERIE</v>
      </c>
      <c r="AD1465" s="38"/>
      <c r="AE1465" s="39"/>
      <c r="AF1465" s="40"/>
      <c r="AG1465" s="41"/>
      <c r="AH1465" s="32" t="s">
        <v>179</v>
      </c>
      <c r="AI1465" s="32"/>
      <c r="AL1465" s="32"/>
      <c r="AM1465" s="32"/>
      <c r="AN1465" s="32"/>
      <c r="AO1465" s="32"/>
      <c r="AP1465" s="32"/>
      <c r="AQ1465" s="32"/>
      <c r="AR1465" s="32"/>
      <c r="AS1465" s="32"/>
      <c r="AT1465" s="32"/>
      <c r="AU1465" s="32"/>
      <c r="XEY1465" s="27"/>
      <c r="XEZ1465" s="27"/>
      <c r="XFA1465" s="27"/>
      <c r="XFB1465" s="27"/>
      <c r="XFC1465" s="27"/>
      <c r="XFD1465" s="27"/>
    </row>
    <row r="1466" s="42" customFormat="true" ht="14.15" hidden="false" customHeight="true" outlineLevel="0" collapsed="false">
      <c r="A1466" s="28" t="s">
        <v>8417</v>
      </c>
      <c r="B1466" s="29" t="s">
        <v>936</v>
      </c>
      <c r="C1466" s="29" t="s">
        <v>8418</v>
      </c>
      <c r="D1466" s="30" t="s">
        <v>244</v>
      </c>
      <c r="E1466" s="30" t="s">
        <v>245</v>
      </c>
      <c r="F1466" s="32" t="n">
        <v>44</v>
      </c>
      <c r="G1466" s="31" t="s">
        <v>215</v>
      </c>
      <c r="H1466" s="31" t="n">
        <v>1</v>
      </c>
      <c r="I1466" s="31" t="s">
        <v>119</v>
      </c>
      <c r="J1466" s="29" t="s">
        <v>4001</v>
      </c>
      <c r="K1466" s="29" t="s">
        <v>4002</v>
      </c>
      <c r="L1466" s="32" t="n">
        <v>19</v>
      </c>
      <c r="M1466" s="33" t="s">
        <v>4003</v>
      </c>
      <c r="N1466" s="34" t="n">
        <v>75007</v>
      </c>
      <c r="O1466" s="35" t="s">
        <v>55</v>
      </c>
      <c r="P1466" s="36" t="s">
        <v>4668</v>
      </c>
      <c r="Q1466" s="36" t="n">
        <v>5</v>
      </c>
      <c r="R1466" s="32" t="n">
        <v>104</v>
      </c>
      <c r="S1466" s="32" t="n">
        <v>1</v>
      </c>
      <c r="T1466" s="32"/>
      <c r="U1466" s="32"/>
      <c r="V1466" s="37"/>
      <c r="W1466" s="32"/>
      <c r="X1466" s="34"/>
      <c r="Y1466" s="34"/>
      <c r="Z1466" s="36"/>
      <c r="AA1466" s="32" t="s">
        <v>8419</v>
      </c>
      <c r="AB1466" s="32" t="s">
        <v>8420</v>
      </c>
      <c r="AC1466" s="38" t="str">
        <f aca="false">HYPERLINK("https://biocodex6--c.vf.force.com/0014L00000KFUCaQAP", "BAILLY EMMANUEL")</f>
        <v>BAILLY EMMANUEL</v>
      </c>
      <c r="AD1466" s="38" t="str">
        <f aca="false">HYPERLINK("https://annuairesante.ameli.fr/professionnels-de-sante/recherche/fiche-detaillee-B7c1mzY5NTq7.html", "BAILLY EMMANUEL")</f>
        <v>BAILLY EMMANUEL</v>
      </c>
      <c r="AE1466" s="39"/>
      <c r="AF1466" s="40"/>
      <c r="AG1466" s="41"/>
      <c r="AH1466" s="32" t="s">
        <v>179</v>
      </c>
      <c r="AI1466" s="32"/>
      <c r="AL1466" s="43" t="s">
        <v>657</v>
      </c>
      <c r="AM1466" s="43" t="s">
        <v>262</v>
      </c>
      <c r="AN1466" s="32"/>
      <c r="AO1466" s="43" t="s">
        <v>137</v>
      </c>
      <c r="AP1466" s="32"/>
      <c r="AQ1466" s="32"/>
      <c r="AR1466" s="43" t="s">
        <v>657</v>
      </c>
      <c r="AS1466" s="43" t="s">
        <v>137</v>
      </c>
      <c r="AT1466" s="43" t="s">
        <v>338</v>
      </c>
      <c r="AU1466" s="32"/>
      <c r="XEY1466" s="27"/>
      <c r="XEZ1466" s="27"/>
      <c r="XFA1466" s="27"/>
      <c r="XFB1466" s="27"/>
      <c r="XFC1466" s="27"/>
      <c r="XFD1466" s="27"/>
    </row>
    <row r="1467" s="42" customFormat="true" ht="14.15" hidden="false" customHeight="true" outlineLevel="0" collapsed="false">
      <c r="A1467" s="28" t="s">
        <v>8421</v>
      </c>
      <c r="B1467" s="29" t="s">
        <v>8422</v>
      </c>
      <c r="C1467" s="29" t="s">
        <v>8423</v>
      </c>
      <c r="D1467" s="30" t="s">
        <v>112</v>
      </c>
      <c r="E1467" s="31"/>
      <c r="F1467" s="32" t="n">
        <v>72</v>
      </c>
      <c r="G1467" s="31" t="s">
        <v>215</v>
      </c>
      <c r="H1467" s="31" t="n">
        <v>1</v>
      </c>
      <c r="I1467" s="31" t="s">
        <v>387</v>
      </c>
      <c r="J1467" s="29"/>
      <c r="K1467" s="29" t="s">
        <v>6794</v>
      </c>
      <c r="L1467" s="32" t="n">
        <v>104</v>
      </c>
      <c r="M1467" s="33" t="s">
        <v>2778</v>
      </c>
      <c r="N1467" s="34" t="n">
        <v>75016</v>
      </c>
      <c r="O1467" s="35" t="s">
        <v>55</v>
      </c>
      <c r="P1467" s="36" t="s">
        <v>8424</v>
      </c>
      <c r="Q1467" s="36" t="n">
        <v>2</v>
      </c>
      <c r="R1467" s="32" t="n">
        <v>103</v>
      </c>
      <c r="S1467" s="32" t="n">
        <v>1</v>
      </c>
      <c r="T1467" s="32"/>
      <c r="U1467" s="32"/>
      <c r="V1467" s="37"/>
      <c r="W1467" s="32"/>
      <c r="X1467" s="34"/>
      <c r="Y1467" s="34"/>
      <c r="Z1467" s="36"/>
      <c r="AA1467" s="32" t="s">
        <v>8425</v>
      </c>
      <c r="AB1467" s="32" t="s">
        <v>8426</v>
      </c>
      <c r="AC1467" s="38" t="str">
        <f aca="false">HYPERLINK("https://biocodex6--c.vf.force.com/0014L00000KFWKtQAP", "CHAUVEL YVON")</f>
        <v>CHAUVEL YVON</v>
      </c>
      <c r="AD1467" s="38" t="str">
        <f aca="false">HYPERLINK("https://annuairesante.ameli.fr/professionnels-de-sante/recherche/fiche-detaillee-B7c1ljA4OTu2.html", "CHAUVEL YVON")</f>
        <v>CHAUVEL YVON</v>
      </c>
      <c r="AE1467" s="39" t="n">
        <v>45253.5625</v>
      </c>
      <c r="AF1467" s="40"/>
      <c r="AG1467" s="41"/>
      <c r="AH1467" s="32" t="s">
        <v>179</v>
      </c>
      <c r="AI1467" s="32"/>
      <c r="AL1467" s="43" t="s">
        <v>169</v>
      </c>
      <c r="AM1467" s="43" t="s">
        <v>8427</v>
      </c>
      <c r="AN1467" s="43" t="s">
        <v>169</v>
      </c>
      <c r="AO1467" s="43" t="s">
        <v>8427</v>
      </c>
      <c r="AP1467" s="43" t="s">
        <v>169</v>
      </c>
      <c r="AQ1467" s="43" t="s">
        <v>8427</v>
      </c>
      <c r="AR1467" s="43" t="s">
        <v>169</v>
      </c>
      <c r="AS1467" s="43" t="s">
        <v>8427</v>
      </c>
      <c r="AT1467" s="43" t="s">
        <v>169</v>
      </c>
      <c r="AU1467" s="43" t="s">
        <v>8427</v>
      </c>
      <c r="XEY1467" s="27"/>
      <c r="XEZ1467" s="27"/>
      <c r="XFA1467" s="27"/>
      <c r="XFB1467" s="27"/>
      <c r="XFC1467" s="27"/>
      <c r="XFD1467" s="27"/>
    </row>
    <row r="1468" s="42" customFormat="true" ht="14.15" hidden="false" customHeight="true" outlineLevel="0" collapsed="false">
      <c r="A1468" s="28" t="s">
        <v>8428</v>
      </c>
      <c r="B1468" s="29" t="s">
        <v>231</v>
      </c>
      <c r="C1468" s="29" t="s">
        <v>8429</v>
      </c>
      <c r="D1468" s="30" t="s">
        <v>244</v>
      </c>
      <c r="E1468" s="30" t="s">
        <v>245</v>
      </c>
      <c r="F1468" s="32" t="n">
        <v>53</v>
      </c>
      <c r="G1468" s="31"/>
      <c r="H1468" s="31" t="n">
        <v>2</v>
      </c>
      <c r="I1468" s="31" t="s">
        <v>99</v>
      </c>
      <c r="J1468" s="29" t="s">
        <v>595</v>
      </c>
      <c r="K1468" s="29" t="s">
        <v>596</v>
      </c>
      <c r="L1468" s="32" t="n">
        <v>20</v>
      </c>
      <c r="M1468" s="33" t="s">
        <v>597</v>
      </c>
      <c r="N1468" s="34" t="n">
        <v>75015</v>
      </c>
      <c r="O1468" s="35" t="s">
        <v>55</v>
      </c>
      <c r="P1468" s="36" t="s">
        <v>2773</v>
      </c>
      <c r="Q1468" s="36" t="n">
        <v>90</v>
      </c>
      <c r="R1468" s="32" t="n">
        <v>103</v>
      </c>
      <c r="S1468" s="32" t="n">
        <v>1</v>
      </c>
      <c r="T1468" s="32"/>
      <c r="U1468" s="32"/>
      <c r="V1468" s="37"/>
      <c r="W1468" s="32"/>
      <c r="X1468" s="34"/>
      <c r="Y1468" s="34"/>
      <c r="Z1468" s="36" t="s">
        <v>8430</v>
      </c>
      <c r="AA1468" s="32" t="s">
        <v>8431</v>
      </c>
      <c r="AB1468" s="32"/>
      <c r="AC1468" s="38" t="str">
        <f aca="false">HYPERLINK("https://biocodex6--c.vf.force.com/0014L00000KFr4OQAT", "MARCOLLET ANNE")</f>
        <v>MARCOLLET ANNE</v>
      </c>
      <c r="AD1468" s="38"/>
      <c r="AE1468" s="39"/>
      <c r="AF1468" s="40"/>
      <c r="AG1468" s="41"/>
      <c r="AH1468" s="32" t="s">
        <v>179</v>
      </c>
      <c r="AI1468" s="32"/>
      <c r="AL1468" s="32"/>
      <c r="AM1468" s="32"/>
      <c r="AN1468" s="32"/>
      <c r="AO1468" s="32"/>
      <c r="AP1468" s="32"/>
      <c r="AQ1468" s="32"/>
      <c r="AR1468" s="32"/>
      <c r="AS1468" s="32"/>
      <c r="AT1468" s="32"/>
      <c r="AU1468" s="32"/>
      <c r="XEY1468" s="27"/>
      <c r="XEZ1468" s="27"/>
      <c r="XFA1468" s="27"/>
      <c r="XFB1468" s="27"/>
      <c r="XFC1468" s="27"/>
      <c r="XFD1468" s="27"/>
    </row>
    <row r="1469" s="42" customFormat="true" ht="14.15" hidden="false" customHeight="true" outlineLevel="0" collapsed="false">
      <c r="A1469" s="28" t="s">
        <v>8432</v>
      </c>
      <c r="B1469" s="29" t="s">
        <v>8433</v>
      </c>
      <c r="C1469" s="29" t="s">
        <v>8434</v>
      </c>
      <c r="D1469" s="30" t="s">
        <v>244</v>
      </c>
      <c r="E1469" s="30" t="s">
        <v>2290</v>
      </c>
      <c r="F1469" s="32" t="n">
        <v>58</v>
      </c>
      <c r="G1469" s="31" t="s">
        <v>215</v>
      </c>
      <c r="H1469" s="31" t="n">
        <v>1</v>
      </c>
      <c r="I1469" s="31" t="s">
        <v>119</v>
      </c>
      <c r="J1469" s="29"/>
      <c r="K1469" s="29" t="s">
        <v>7624</v>
      </c>
      <c r="L1469" s="32" t="n">
        <v>5</v>
      </c>
      <c r="M1469" s="33" t="s">
        <v>7625</v>
      </c>
      <c r="N1469" s="34" t="n">
        <v>75007</v>
      </c>
      <c r="O1469" s="35" t="s">
        <v>55</v>
      </c>
      <c r="P1469" s="36" t="s">
        <v>7626</v>
      </c>
      <c r="Q1469" s="36" t="n">
        <v>3</v>
      </c>
      <c r="R1469" s="32" t="n">
        <v>103</v>
      </c>
      <c r="S1469" s="32" t="n">
        <v>1</v>
      </c>
      <c r="T1469" s="32"/>
      <c r="U1469" s="32"/>
      <c r="V1469" s="37"/>
      <c r="W1469" s="32"/>
      <c r="X1469" s="34"/>
      <c r="Y1469" s="34"/>
      <c r="Z1469" s="36"/>
      <c r="AA1469" s="32" t="s">
        <v>8435</v>
      </c>
      <c r="AB1469" s="32" t="s">
        <v>8436</v>
      </c>
      <c r="AC1469" s="38" t="str">
        <f aca="false">HYPERLINK("https://biocodex6--c.vf.force.com/0014L00000KFbUoQAL", "FANCHIN RENATO")</f>
        <v>FANCHIN RENATO</v>
      </c>
      <c r="AD1469" s="38" t="str">
        <f aca="false">HYPERLINK("https://annuairesante.ameli.fr/professionnels-de-sante/recherche/fiche-detaillee-B7c1kjowNju0.html", "FANCHIN RENATO")</f>
        <v>FANCHIN RENATO</v>
      </c>
      <c r="AE1469" s="39"/>
      <c r="AF1469" s="40"/>
      <c r="AG1469" s="41"/>
      <c r="AH1469" s="32" t="s">
        <v>179</v>
      </c>
      <c r="AI1469" s="32"/>
      <c r="AL1469" s="32"/>
      <c r="AM1469" s="32"/>
      <c r="AN1469" s="32"/>
      <c r="AO1469" s="32"/>
      <c r="AP1469" s="32"/>
      <c r="AQ1469" s="32"/>
      <c r="AR1469" s="32"/>
      <c r="AS1469" s="32"/>
      <c r="AT1469" s="32"/>
      <c r="AU1469" s="32"/>
      <c r="XEY1469" s="27"/>
      <c r="XEZ1469" s="27"/>
      <c r="XFA1469" s="27"/>
      <c r="XFB1469" s="27"/>
      <c r="XFC1469" s="27"/>
      <c r="XFD1469" s="27"/>
    </row>
    <row r="1470" s="42" customFormat="true" ht="14.15" hidden="false" customHeight="true" outlineLevel="0" collapsed="false">
      <c r="A1470" s="28" t="s">
        <v>8437</v>
      </c>
      <c r="B1470" s="29" t="s">
        <v>811</v>
      </c>
      <c r="C1470" s="29" t="s">
        <v>8438</v>
      </c>
      <c r="D1470" s="30" t="s">
        <v>244</v>
      </c>
      <c r="E1470" s="30" t="s">
        <v>1602</v>
      </c>
      <c r="F1470" s="32" t="n">
        <v>48</v>
      </c>
      <c r="G1470" s="31" t="s">
        <v>215</v>
      </c>
      <c r="H1470" s="31" t="n">
        <v>1</v>
      </c>
      <c r="I1470" s="31" t="s">
        <v>51</v>
      </c>
      <c r="J1470" s="29"/>
      <c r="K1470" s="29" t="s">
        <v>8439</v>
      </c>
      <c r="L1470" s="32" t="n">
        <v>4</v>
      </c>
      <c r="M1470" s="33" t="s">
        <v>8440</v>
      </c>
      <c r="N1470" s="34" t="n">
        <v>75015</v>
      </c>
      <c r="O1470" s="35" t="s">
        <v>55</v>
      </c>
      <c r="P1470" s="36" t="s">
        <v>8441</v>
      </c>
      <c r="Q1470" s="36" t="n">
        <v>1</v>
      </c>
      <c r="R1470" s="32" t="n">
        <v>103</v>
      </c>
      <c r="S1470" s="32" t="n">
        <v>1</v>
      </c>
      <c r="T1470" s="32"/>
      <c r="U1470" s="32"/>
      <c r="V1470" s="37"/>
      <c r="W1470" s="32"/>
      <c r="X1470" s="34"/>
      <c r="Y1470" s="34"/>
      <c r="Z1470" s="36"/>
      <c r="AA1470" s="32" t="s">
        <v>8442</v>
      </c>
      <c r="AB1470" s="32" t="s">
        <v>8443</v>
      </c>
      <c r="AC1470" s="38" t="str">
        <f aca="false">HYPERLINK("https://biocodex6--c.vf.force.com/0014L00000KFUHAQA5", "BIGORIE VERONIQUE")</f>
        <v>BIGORIE VERONIQUE</v>
      </c>
      <c r="AD1470" s="38" t="str">
        <f aca="false">HYPERLINK("https://annuairesante.ameli.fr/professionnels-de-sante/recherche/fiche-detaillee-B7c1kjA5ODG6.html", "BIGORIE VERONIQUE")</f>
        <v>BIGORIE VERONIQUE</v>
      </c>
      <c r="AE1470" s="39"/>
      <c r="AF1470" s="40"/>
      <c r="AG1470" s="41"/>
      <c r="AH1470" s="32" t="s">
        <v>179</v>
      </c>
      <c r="AI1470" s="32"/>
      <c r="AL1470" s="43" t="s">
        <v>995</v>
      </c>
      <c r="AM1470" s="43" t="s">
        <v>262</v>
      </c>
      <c r="AN1470" s="43" t="s">
        <v>2148</v>
      </c>
      <c r="AO1470" s="43" t="s">
        <v>126</v>
      </c>
      <c r="AP1470" s="43" t="s">
        <v>2148</v>
      </c>
      <c r="AQ1470" s="43" t="s">
        <v>126</v>
      </c>
      <c r="AR1470" s="43" t="s">
        <v>2148</v>
      </c>
      <c r="AS1470" s="43" t="s">
        <v>126</v>
      </c>
      <c r="AT1470" s="43" t="s">
        <v>8444</v>
      </c>
      <c r="AU1470" s="43" t="s">
        <v>8445</v>
      </c>
      <c r="XEY1470" s="27"/>
      <c r="XEZ1470" s="27"/>
      <c r="XFA1470" s="27"/>
      <c r="XFB1470" s="27"/>
      <c r="XFC1470" s="27"/>
      <c r="XFD1470" s="27"/>
    </row>
    <row r="1471" s="42" customFormat="true" ht="14.15" hidden="false" customHeight="true" outlineLevel="0" collapsed="false">
      <c r="A1471" s="28" t="s">
        <v>8446</v>
      </c>
      <c r="B1471" s="29" t="s">
        <v>2043</v>
      </c>
      <c r="C1471" s="29" t="s">
        <v>8447</v>
      </c>
      <c r="D1471" s="30" t="s">
        <v>244</v>
      </c>
      <c r="E1471" s="30" t="s">
        <v>245</v>
      </c>
      <c r="F1471" s="32" t="n">
        <v>43</v>
      </c>
      <c r="G1471" s="31" t="s">
        <v>215</v>
      </c>
      <c r="H1471" s="31" t="n">
        <v>1</v>
      </c>
      <c r="I1471" s="31" t="s">
        <v>197</v>
      </c>
      <c r="J1471" s="29"/>
      <c r="K1471" s="29" t="s">
        <v>8448</v>
      </c>
      <c r="L1471" s="32" t="n">
        <v>24</v>
      </c>
      <c r="M1471" s="33" t="s">
        <v>5921</v>
      </c>
      <c r="N1471" s="34" t="n">
        <v>75017</v>
      </c>
      <c r="O1471" s="35" t="s">
        <v>55</v>
      </c>
      <c r="P1471" s="36" t="s">
        <v>7801</v>
      </c>
      <c r="Q1471" s="36" t="n">
        <v>1</v>
      </c>
      <c r="R1471" s="32" t="n">
        <v>103</v>
      </c>
      <c r="S1471" s="32" t="n">
        <v>1</v>
      </c>
      <c r="T1471" s="32"/>
      <c r="U1471" s="32"/>
      <c r="V1471" s="37"/>
      <c r="W1471" s="32"/>
      <c r="X1471" s="34"/>
      <c r="Y1471" s="34"/>
      <c r="Z1471" s="36"/>
      <c r="AA1471" s="32" t="s">
        <v>8449</v>
      </c>
      <c r="AB1471" s="32" t="s">
        <v>8450</v>
      </c>
      <c r="AC1471" s="38" t="str">
        <f aca="false">HYPERLINK("https://biocodex6--c.vf.force.com/0014L00000KFR6kQAH", "ADDA HERZOG ELODIE")</f>
        <v>ADDA HERZOG ELODIE</v>
      </c>
      <c r="AD1471" s="38" t="str">
        <f aca="false">HYPERLINK("https://annuairesante.ameli.fr/professionnels-de-sante/recherche/fiche-detaillee-B7c1lTYzOTC3.html", "ADDA HERZOG ELODIE")</f>
        <v>ADDA HERZOG ELODIE</v>
      </c>
      <c r="AE1471" s="39"/>
      <c r="AF1471" s="40"/>
      <c r="AG1471" s="41"/>
      <c r="AH1471" s="32" t="s">
        <v>179</v>
      </c>
      <c r="AI1471" s="32"/>
      <c r="AL1471" s="32"/>
      <c r="AM1471" s="32"/>
      <c r="AN1471" s="32"/>
      <c r="AO1471" s="32"/>
      <c r="AP1471" s="32"/>
      <c r="AQ1471" s="32"/>
      <c r="AR1471" s="32"/>
      <c r="AS1471" s="32"/>
      <c r="AT1471" s="32"/>
      <c r="AU1471" s="32"/>
      <c r="XEY1471" s="27"/>
      <c r="XEZ1471" s="27"/>
      <c r="XFA1471" s="27"/>
      <c r="XFB1471" s="27"/>
      <c r="XFC1471" s="27"/>
      <c r="XFD1471" s="27"/>
    </row>
    <row r="1472" s="42" customFormat="true" ht="14.15" hidden="false" customHeight="true" outlineLevel="0" collapsed="false">
      <c r="A1472" s="28" t="s">
        <v>8451</v>
      </c>
      <c r="B1472" s="29" t="s">
        <v>8452</v>
      </c>
      <c r="C1472" s="29" t="s">
        <v>8453</v>
      </c>
      <c r="D1472" s="30" t="s">
        <v>244</v>
      </c>
      <c r="E1472" s="30" t="s">
        <v>245</v>
      </c>
      <c r="F1472" s="32" t="n">
        <v>40</v>
      </c>
      <c r="G1472" s="31" t="s">
        <v>215</v>
      </c>
      <c r="H1472" s="31" t="n">
        <v>1</v>
      </c>
      <c r="I1472" s="31" t="s">
        <v>173</v>
      </c>
      <c r="J1472" s="29"/>
      <c r="K1472" s="29" t="s">
        <v>8454</v>
      </c>
      <c r="L1472" s="32" t="n">
        <v>26</v>
      </c>
      <c r="M1472" s="33" t="s">
        <v>1832</v>
      </c>
      <c r="N1472" s="34" t="n">
        <v>75016</v>
      </c>
      <c r="O1472" s="35" t="s">
        <v>55</v>
      </c>
      <c r="P1472" s="36" t="s">
        <v>897</v>
      </c>
      <c r="Q1472" s="36" t="n">
        <v>1</v>
      </c>
      <c r="R1472" s="32" t="n">
        <v>103</v>
      </c>
      <c r="S1472" s="32" t="n">
        <v>1</v>
      </c>
      <c r="T1472" s="32"/>
      <c r="U1472" s="32"/>
      <c r="V1472" s="37"/>
      <c r="W1472" s="32"/>
      <c r="X1472" s="34"/>
      <c r="Y1472" s="34"/>
      <c r="Z1472" s="36"/>
      <c r="AA1472" s="32" t="s">
        <v>8455</v>
      </c>
      <c r="AB1472" s="32" t="s">
        <v>8456</v>
      </c>
      <c r="AC1472" s="38" t="str">
        <f aca="false">HYPERLINK("https://biocodex6--c.vf.force.com/0014L00000KFR6zQAH", "AHDAD YATA NAOUEL")</f>
        <v>AHDAD YATA NAOUEL</v>
      </c>
      <c r="AD1472" s="38" t="str">
        <f aca="false">HYPERLINK("https://annuairesante.ameli.fr/professionnels-de-sante/recherche/fiche-detaillee-CbA1kjM0NzGz.html", "AHDAD YATA NAOUEL")</f>
        <v>AHDAD YATA NAOUEL</v>
      </c>
      <c r="AE1472" s="39"/>
      <c r="AF1472" s="40"/>
      <c r="AG1472" s="41"/>
      <c r="AH1472" s="32" t="s">
        <v>179</v>
      </c>
      <c r="AI1472" s="32"/>
      <c r="AL1472" s="32"/>
      <c r="AM1472" s="32"/>
      <c r="AN1472" s="32"/>
      <c r="AO1472" s="32"/>
      <c r="AP1472" s="32"/>
      <c r="AQ1472" s="32"/>
      <c r="AR1472" s="32"/>
      <c r="AS1472" s="32"/>
      <c r="AT1472" s="32"/>
      <c r="AU1472" s="32"/>
      <c r="XEY1472" s="27"/>
      <c r="XEZ1472" s="27"/>
      <c r="XFA1472" s="27"/>
      <c r="XFB1472" s="27"/>
      <c r="XFC1472" s="27"/>
      <c r="XFD1472" s="27"/>
    </row>
    <row r="1473" s="42" customFormat="true" ht="14.15" hidden="false" customHeight="true" outlineLevel="0" collapsed="false">
      <c r="A1473" s="28" t="s">
        <v>8457</v>
      </c>
      <c r="B1473" s="29" t="s">
        <v>543</v>
      </c>
      <c r="C1473" s="29" t="s">
        <v>8458</v>
      </c>
      <c r="D1473" s="30" t="s">
        <v>244</v>
      </c>
      <c r="E1473" s="30" t="s">
        <v>2740</v>
      </c>
      <c r="F1473" s="32" t="n">
        <v>69</v>
      </c>
      <c r="G1473" s="31" t="s">
        <v>215</v>
      </c>
      <c r="H1473" s="31" t="n">
        <v>1</v>
      </c>
      <c r="I1473" s="31" t="s">
        <v>197</v>
      </c>
      <c r="J1473" s="29"/>
      <c r="K1473" s="29" t="s">
        <v>4377</v>
      </c>
      <c r="L1473" s="32" t="n">
        <v>85</v>
      </c>
      <c r="M1473" s="33" t="s">
        <v>2936</v>
      </c>
      <c r="N1473" s="34" t="n">
        <v>75017</v>
      </c>
      <c r="O1473" s="35" t="s">
        <v>55</v>
      </c>
      <c r="P1473" s="36"/>
      <c r="Q1473" s="36" t="n">
        <v>2</v>
      </c>
      <c r="R1473" s="32" t="n">
        <v>102</v>
      </c>
      <c r="S1473" s="32" t="n">
        <v>1</v>
      </c>
      <c r="T1473" s="32"/>
      <c r="U1473" s="32"/>
      <c r="V1473" s="37"/>
      <c r="W1473" s="32"/>
      <c r="X1473" s="34"/>
      <c r="Y1473" s="34"/>
      <c r="Z1473" s="36"/>
      <c r="AA1473" s="32" t="s">
        <v>8459</v>
      </c>
      <c r="AB1473" s="32" t="s">
        <v>8460</v>
      </c>
      <c r="AC1473" s="38" t="str">
        <f aca="false">HYPERLINK("https://biocodex6--c.vf.force.com/0014L00000KG41fQAD", "UTZMANN CHRISTINE")</f>
        <v>UTZMANN CHRISTINE</v>
      </c>
      <c r="AD1473" s="38" t="str">
        <f aca="false">HYPERLINK("https://annuairesante.ameli.fr/professionnels-de-sante/recherche/fiche-detaillee-B7c1ljs5OTe1.html", "UTZMANN CHRISTINE")</f>
        <v>UTZMANN CHRISTINE</v>
      </c>
      <c r="AE1473" s="39"/>
      <c r="AF1473" s="40"/>
      <c r="AG1473" s="41"/>
      <c r="AH1473" s="32" t="s">
        <v>179</v>
      </c>
      <c r="AI1473" s="32"/>
      <c r="AL1473" s="32"/>
      <c r="AM1473" s="32"/>
      <c r="AN1473" s="32"/>
      <c r="AO1473" s="32"/>
      <c r="AP1473" s="32"/>
      <c r="AQ1473" s="32"/>
      <c r="AR1473" s="32"/>
      <c r="AS1473" s="32"/>
      <c r="AT1473" s="32"/>
      <c r="AU1473" s="32"/>
      <c r="XEY1473" s="27"/>
      <c r="XEZ1473" s="27"/>
      <c r="XFA1473" s="27"/>
      <c r="XFB1473" s="27"/>
      <c r="XFC1473" s="27"/>
      <c r="XFD1473" s="27"/>
    </row>
    <row r="1474" s="42" customFormat="true" ht="14.15" hidden="false" customHeight="true" outlineLevel="0" collapsed="false">
      <c r="A1474" s="28" t="s">
        <v>8461</v>
      </c>
      <c r="B1474" s="29" t="s">
        <v>3388</v>
      </c>
      <c r="C1474" s="29" t="s">
        <v>8462</v>
      </c>
      <c r="D1474" s="30" t="s">
        <v>244</v>
      </c>
      <c r="E1474" s="30" t="s">
        <v>245</v>
      </c>
      <c r="F1474" s="32" t="n">
        <v>57</v>
      </c>
      <c r="G1474" s="31"/>
      <c r="H1474" s="31" t="n">
        <v>1</v>
      </c>
      <c r="I1474" s="31" t="s">
        <v>233</v>
      </c>
      <c r="J1474" s="29"/>
      <c r="K1474" s="29" t="s">
        <v>8463</v>
      </c>
      <c r="L1474" s="32" t="n">
        <v>65</v>
      </c>
      <c r="M1474" s="33" t="s">
        <v>974</v>
      </c>
      <c r="N1474" s="34" t="n">
        <v>75015</v>
      </c>
      <c r="O1474" s="35" t="s">
        <v>55</v>
      </c>
      <c r="P1474" s="36"/>
      <c r="Q1474" s="36" t="n">
        <v>1</v>
      </c>
      <c r="R1474" s="32" t="n">
        <v>102</v>
      </c>
      <c r="S1474" s="32" t="n">
        <v>1</v>
      </c>
      <c r="T1474" s="32"/>
      <c r="U1474" s="32"/>
      <c r="V1474" s="37"/>
      <c r="W1474" s="32"/>
      <c r="X1474" s="34"/>
      <c r="Y1474" s="34"/>
      <c r="Z1474" s="36" t="s">
        <v>8464</v>
      </c>
      <c r="AA1474" s="32" t="s">
        <v>8465</v>
      </c>
      <c r="AB1474" s="32"/>
      <c r="AC1474" s="38" t="str">
        <f aca="false">HYPERLINK("https://biocodex6--c.vf.force.com/0014L00000KFnpPQAT", "LAUDE LEMOINE AGNES")</f>
        <v>LAUDE LEMOINE AGNES</v>
      </c>
      <c r="AD1474" s="38"/>
      <c r="AE1474" s="39"/>
      <c r="AF1474" s="40"/>
      <c r="AG1474" s="41"/>
      <c r="AH1474" s="32" t="s">
        <v>179</v>
      </c>
      <c r="AI1474" s="32"/>
      <c r="AL1474" s="32"/>
      <c r="AM1474" s="32"/>
      <c r="AN1474" s="32"/>
      <c r="AO1474" s="32"/>
      <c r="AP1474" s="32"/>
      <c r="AQ1474" s="32"/>
      <c r="AR1474" s="32"/>
      <c r="AS1474" s="32"/>
      <c r="AT1474" s="32"/>
      <c r="AU1474" s="32"/>
      <c r="XEY1474" s="27"/>
      <c r="XEZ1474" s="27"/>
      <c r="XFA1474" s="27"/>
      <c r="XFB1474" s="27"/>
      <c r="XFC1474" s="27"/>
      <c r="XFD1474" s="27"/>
    </row>
    <row r="1475" s="42" customFormat="true" ht="14.15" hidden="false" customHeight="true" outlineLevel="0" collapsed="false">
      <c r="A1475" s="28" t="s">
        <v>8466</v>
      </c>
      <c r="B1475" s="29" t="s">
        <v>8467</v>
      </c>
      <c r="C1475" s="29" t="s">
        <v>8468</v>
      </c>
      <c r="D1475" s="30" t="s">
        <v>112</v>
      </c>
      <c r="E1475" s="31"/>
      <c r="F1475" s="32" t="n">
        <v>64</v>
      </c>
      <c r="G1475" s="31"/>
      <c r="H1475" s="31" t="n">
        <v>1</v>
      </c>
      <c r="I1475" s="31" t="s">
        <v>295</v>
      </c>
      <c r="J1475" s="29"/>
      <c r="K1475" s="29" t="s">
        <v>8469</v>
      </c>
      <c r="L1475" s="32" t="n">
        <v>83</v>
      </c>
      <c r="M1475" s="33" t="s">
        <v>1317</v>
      </c>
      <c r="N1475" s="34" t="n">
        <v>92300</v>
      </c>
      <c r="O1475" s="35" t="s">
        <v>298</v>
      </c>
      <c r="P1475" s="36" t="s">
        <v>8470</v>
      </c>
      <c r="Q1475" s="36" t="n">
        <v>1</v>
      </c>
      <c r="R1475" s="32" t="n">
        <v>102</v>
      </c>
      <c r="S1475" s="32" t="n">
        <v>1</v>
      </c>
      <c r="T1475" s="32"/>
      <c r="U1475" s="32"/>
      <c r="V1475" s="37"/>
      <c r="W1475" s="32"/>
      <c r="X1475" s="34"/>
      <c r="Y1475" s="34"/>
      <c r="Z1475" s="32"/>
      <c r="AA1475" s="32" t="s">
        <v>8471</v>
      </c>
      <c r="AB1475" s="32"/>
      <c r="AC1475" s="38" t="str">
        <f aca="false">HYPERLINK("https://biocodex6--c.vf.force.com/0014L00000KFoc3QAD", "LIZOP MARIE MADELEINE")</f>
        <v>LIZOP MARIE MADELEINE</v>
      </c>
      <c r="AD1475" s="38"/>
      <c r="AE1475" s="39"/>
      <c r="AF1475" s="40"/>
      <c r="AG1475" s="41"/>
      <c r="AH1475" s="32"/>
      <c r="AI1475" s="32"/>
      <c r="AL1475" s="32"/>
      <c r="AM1475" s="32"/>
      <c r="AN1475" s="32"/>
      <c r="AO1475" s="32"/>
      <c r="AP1475" s="32"/>
      <c r="AQ1475" s="32"/>
      <c r="AR1475" s="32"/>
      <c r="AS1475" s="32"/>
      <c r="AT1475" s="32"/>
      <c r="AU1475" s="32"/>
      <c r="XEY1475" s="27"/>
      <c r="XEZ1475" s="27"/>
      <c r="XFA1475" s="27"/>
      <c r="XFB1475" s="27"/>
      <c r="XFC1475" s="27"/>
      <c r="XFD1475" s="27"/>
    </row>
    <row r="1476" s="42" customFormat="true" ht="14.15" hidden="false" customHeight="true" outlineLevel="0" collapsed="false">
      <c r="A1476" s="28" t="s">
        <v>8472</v>
      </c>
      <c r="B1476" s="29" t="s">
        <v>1777</v>
      </c>
      <c r="C1476" s="29" t="s">
        <v>8473</v>
      </c>
      <c r="D1476" s="30" t="s">
        <v>244</v>
      </c>
      <c r="E1476" s="30" t="s">
        <v>2740</v>
      </c>
      <c r="F1476" s="32"/>
      <c r="G1476" s="31" t="s">
        <v>215</v>
      </c>
      <c r="H1476" s="31" t="n">
        <v>1</v>
      </c>
      <c r="I1476" s="31" t="s">
        <v>77</v>
      </c>
      <c r="J1476" s="29" t="s">
        <v>5738</v>
      </c>
      <c r="K1476" s="29" t="s">
        <v>5739</v>
      </c>
      <c r="L1476" s="32" t="n">
        <v>5</v>
      </c>
      <c r="M1476" s="33" t="s">
        <v>5740</v>
      </c>
      <c r="N1476" s="34" t="n">
        <v>92200</v>
      </c>
      <c r="O1476" s="35" t="s">
        <v>81</v>
      </c>
      <c r="P1476" s="36" t="s">
        <v>5741</v>
      </c>
      <c r="Q1476" s="36" t="n">
        <v>5</v>
      </c>
      <c r="R1476" s="32" t="n">
        <v>101</v>
      </c>
      <c r="S1476" s="32" t="n">
        <v>1</v>
      </c>
      <c r="T1476" s="32"/>
      <c r="U1476" s="32"/>
      <c r="V1476" s="37"/>
      <c r="W1476" s="32"/>
      <c r="X1476" s="34"/>
      <c r="Y1476" s="34"/>
      <c r="Z1476" s="36" t="s">
        <v>8474</v>
      </c>
      <c r="AA1476" s="32" t="s">
        <v>8475</v>
      </c>
      <c r="AB1476" s="32" t="s">
        <v>8476</v>
      </c>
      <c r="AC1476" s="38" t="str">
        <f aca="false">HYPERLINK("https://biocodex6--c.vf.force.com/0014L00000KG2ERQA1", "SCARABIN CARRE VALERIE")</f>
        <v>SCARABIN CARRE VALERIE</v>
      </c>
      <c r="AD1476" s="38" t="str">
        <f aca="false">HYPERLINK("https://annuairesante.ameli.fr/professionnels-de-sante/recherche/fiche-detaillee-CbA1mjYyMzCw.html", "SCARABIN CARRE VALERIE")</f>
        <v>SCARABIN CARRE VALERIE</v>
      </c>
      <c r="AE1476" s="39"/>
      <c r="AF1476" s="40"/>
      <c r="AG1476" s="41"/>
      <c r="AH1476" s="32" t="s">
        <v>179</v>
      </c>
      <c r="AI1476" s="32"/>
      <c r="AL1476" s="32"/>
      <c r="AM1476" s="32"/>
      <c r="AN1476" s="32"/>
      <c r="AO1476" s="32"/>
      <c r="AP1476" s="32"/>
      <c r="AQ1476" s="32"/>
      <c r="AR1476" s="32"/>
      <c r="AS1476" s="32"/>
      <c r="AT1476" s="32"/>
      <c r="AU1476" s="32"/>
      <c r="XEY1476" s="27"/>
      <c r="XEZ1476" s="27"/>
      <c r="XFA1476" s="27"/>
      <c r="XFB1476" s="27"/>
      <c r="XFC1476" s="27"/>
      <c r="XFD1476" s="27"/>
    </row>
    <row r="1477" s="42" customFormat="true" ht="14.15" hidden="false" customHeight="true" outlineLevel="0" collapsed="false">
      <c r="A1477" s="28" t="s">
        <v>4992</v>
      </c>
      <c r="B1477" s="29" t="s">
        <v>2038</v>
      </c>
      <c r="C1477" s="29" t="s">
        <v>8477</v>
      </c>
      <c r="D1477" s="30" t="s">
        <v>244</v>
      </c>
      <c r="E1477" s="30" t="s">
        <v>245</v>
      </c>
      <c r="F1477" s="32" t="n">
        <v>75</v>
      </c>
      <c r="G1477" s="31"/>
      <c r="H1477" s="31" t="n">
        <v>1</v>
      </c>
      <c r="I1477" s="31" t="s">
        <v>119</v>
      </c>
      <c r="J1477" s="29"/>
      <c r="K1477" s="29" t="s">
        <v>7624</v>
      </c>
      <c r="L1477" s="32" t="n">
        <v>5</v>
      </c>
      <c r="M1477" s="33" t="s">
        <v>7625</v>
      </c>
      <c r="N1477" s="34" t="n">
        <v>75007</v>
      </c>
      <c r="O1477" s="35" t="s">
        <v>55</v>
      </c>
      <c r="P1477" s="36" t="s">
        <v>7626</v>
      </c>
      <c r="Q1477" s="36" t="n">
        <v>3</v>
      </c>
      <c r="R1477" s="32" t="n">
        <v>100</v>
      </c>
      <c r="S1477" s="32" t="n">
        <v>1</v>
      </c>
      <c r="T1477" s="32"/>
      <c r="U1477" s="32"/>
      <c r="V1477" s="37"/>
      <c r="W1477" s="32"/>
      <c r="X1477" s="34"/>
      <c r="Y1477" s="34"/>
      <c r="Z1477" s="36"/>
      <c r="AA1477" s="32" t="s">
        <v>8478</v>
      </c>
      <c r="AB1477" s="32"/>
      <c r="AC1477" s="38" t="str">
        <f aca="false">HYPERLINK("https://biocodex6--c.vf.force.com/0014L00000KFWCYQA5", "CHARRIER ANNIE")</f>
        <v>CHARRIER ANNIE</v>
      </c>
      <c r="AD1477" s="38"/>
      <c r="AE1477" s="39"/>
      <c r="AF1477" s="40"/>
      <c r="AG1477" s="41"/>
      <c r="AH1477" s="32" t="s">
        <v>179</v>
      </c>
      <c r="AI1477" s="32"/>
      <c r="AL1477" s="32"/>
      <c r="AM1477" s="32"/>
      <c r="AN1477" s="32"/>
      <c r="AO1477" s="32"/>
      <c r="AP1477" s="32"/>
      <c r="AQ1477" s="32"/>
      <c r="AR1477" s="32"/>
      <c r="AS1477" s="32"/>
      <c r="AT1477" s="32"/>
      <c r="AU1477" s="32"/>
      <c r="XEY1477" s="27"/>
      <c r="XEZ1477" s="27"/>
      <c r="XFA1477" s="27"/>
      <c r="XFB1477" s="27"/>
      <c r="XFC1477" s="27"/>
      <c r="XFD1477" s="27"/>
    </row>
    <row r="1478" s="42" customFormat="true" ht="14.15" hidden="false" customHeight="true" outlineLevel="0" collapsed="false">
      <c r="A1478" s="28" t="s">
        <v>8479</v>
      </c>
      <c r="B1478" s="29" t="s">
        <v>4169</v>
      </c>
      <c r="C1478" s="29" t="s">
        <v>8480</v>
      </c>
      <c r="D1478" s="30" t="s">
        <v>112</v>
      </c>
      <c r="E1478" s="31"/>
      <c r="F1478" s="32" t="n">
        <v>37</v>
      </c>
      <c r="G1478" s="31"/>
      <c r="H1478" s="31" t="n">
        <v>2</v>
      </c>
      <c r="I1478" s="31" t="s">
        <v>51</v>
      </c>
      <c r="J1478" s="29" t="s">
        <v>52</v>
      </c>
      <c r="K1478" s="29" t="s">
        <v>53</v>
      </c>
      <c r="L1478" s="32" t="n">
        <v>149</v>
      </c>
      <c r="M1478" s="33" t="s">
        <v>54</v>
      </c>
      <c r="N1478" s="34" t="n">
        <v>75015</v>
      </c>
      <c r="O1478" s="35" t="s">
        <v>55</v>
      </c>
      <c r="P1478" s="36" t="s">
        <v>687</v>
      </c>
      <c r="Q1478" s="36" t="n">
        <v>236</v>
      </c>
      <c r="R1478" s="32" t="n">
        <v>100</v>
      </c>
      <c r="S1478" s="32" t="n">
        <v>1</v>
      </c>
      <c r="T1478" s="32"/>
      <c r="U1478" s="32"/>
      <c r="V1478" s="37"/>
      <c r="W1478" s="32"/>
      <c r="X1478" s="34"/>
      <c r="Y1478" s="34"/>
      <c r="Z1478" s="32"/>
      <c r="AA1478" s="32" t="s">
        <v>8481</v>
      </c>
      <c r="AB1478" s="32"/>
      <c r="AC1478" s="38" t="str">
        <f aca="false">HYPERLINK("https://biocodex6--c.vf.force.com/0014L00000KFPm7QAH", "FOY FOULQUES ELISE")</f>
        <v>FOY FOULQUES ELISE</v>
      </c>
      <c r="AD1478" s="38"/>
      <c r="AE1478" s="39"/>
      <c r="AF1478" s="40"/>
      <c r="AG1478" s="41"/>
      <c r="AH1478" s="32"/>
      <c r="AI1478" s="32"/>
      <c r="AL1478" s="32"/>
      <c r="AM1478" s="32"/>
      <c r="AN1478" s="32"/>
      <c r="AO1478" s="32"/>
      <c r="AP1478" s="32"/>
      <c r="AQ1478" s="32"/>
      <c r="AR1478" s="32"/>
      <c r="AS1478" s="32"/>
      <c r="AT1478" s="32"/>
      <c r="AU1478" s="32"/>
      <c r="XEY1478" s="27"/>
      <c r="XEZ1478" s="27"/>
      <c r="XFA1478" s="27"/>
      <c r="XFB1478" s="27"/>
      <c r="XFC1478" s="27"/>
      <c r="XFD1478" s="27"/>
    </row>
    <row r="1479" s="42" customFormat="true" ht="14.15" hidden="false" customHeight="true" outlineLevel="0" collapsed="false">
      <c r="A1479" s="28" t="s">
        <v>8482</v>
      </c>
      <c r="B1479" s="29" t="s">
        <v>1455</v>
      </c>
      <c r="C1479" s="29" t="s">
        <v>8483</v>
      </c>
      <c r="D1479" s="30" t="s">
        <v>244</v>
      </c>
      <c r="E1479" s="30" t="s">
        <v>741</v>
      </c>
      <c r="F1479" s="32" t="n">
        <v>70</v>
      </c>
      <c r="G1479" s="31" t="s">
        <v>215</v>
      </c>
      <c r="H1479" s="31" t="n">
        <v>2</v>
      </c>
      <c r="I1479" s="31" t="s">
        <v>197</v>
      </c>
      <c r="J1479" s="29"/>
      <c r="K1479" s="29" t="s">
        <v>8484</v>
      </c>
      <c r="L1479" s="32" t="n">
        <v>59</v>
      </c>
      <c r="M1479" s="33" t="s">
        <v>4514</v>
      </c>
      <c r="N1479" s="34" t="n">
        <v>75017</v>
      </c>
      <c r="O1479" s="35" t="s">
        <v>55</v>
      </c>
      <c r="P1479" s="36" t="s">
        <v>8485</v>
      </c>
      <c r="Q1479" s="36" t="n">
        <v>1</v>
      </c>
      <c r="R1479" s="32" t="n">
        <v>100</v>
      </c>
      <c r="S1479" s="32" t="n">
        <v>1</v>
      </c>
      <c r="T1479" s="32"/>
      <c r="U1479" s="32"/>
      <c r="V1479" s="37"/>
      <c r="W1479" s="32" t="n">
        <v>3</v>
      </c>
      <c r="X1479" s="34"/>
      <c r="Y1479" s="34" t="n">
        <v>1</v>
      </c>
      <c r="Z1479" s="32" t="s">
        <v>8486</v>
      </c>
      <c r="AA1479" s="32" t="s">
        <v>8487</v>
      </c>
      <c r="AB1479" s="32" t="s">
        <v>8488</v>
      </c>
      <c r="AC1479" s="38" t="str">
        <f aca="false">HYPERLINK("https://biocodex6--c.vf.force.com/0014L00000KFWkYQAX", "CHPINDEL BRUNO MYRIAM")</f>
        <v>CHPINDEL BRUNO MYRIAM</v>
      </c>
      <c r="AD1479" s="38" t="str">
        <f aca="false">HYPERLINK("https://annuairesante.ameli.fr/professionnels-de-sante/recherche/fiche-detaillee-B7c1ljI1OTa6.html", "CHPINDEL BRUNO MYRIAM")</f>
        <v>CHPINDEL BRUNO MYRIAM</v>
      </c>
      <c r="AE1479" s="39"/>
      <c r="AF1479" s="40"/>
      <c r="AG1479" s="41"/>
      <c r="AH1479" s="32"/>
      <c r="AI1479" s="32"/>
      <c r="AL1479" s="32"/>
      <c r="AM1479" s="32"/>
      <c r="AN1479" s="32"/>
      <c r="AO1479" s="32"/>
      <c r="AP1479" s="32"/>
      <c r="AQ1479" s="32"/>
      <c r="AR1479" s="32"/>
      <c r="AS1479" s="32"/>
      <c r="AT1479" s="32"/>
      <c r="AU1479" s="32"/>
      <c r="XEY1479" s="27"/>
      <c r="XEZ1479" s="27"/>
      <c r="XFA1479" s="27"/>
      <c r="XFB1479" s="27"/>
      <c r="XFC1479" s="27"/>
      <c r="XFD1479" s="27"/>
    </row>
    <row r="1480" s="42" customFormat="true" ht="14.15" hidden="false" customHeight="true" outlineLevel="0" collapsed="false">
      <c r="A1480" s="28" t="s">
        <v>8489</v>
      </c>
      <c r="B1480" s="29" t="s">
        <v>8490</v>
      </c>
      <c r="C1480" s="29" t="s">
        <v>8491</v>
      </c>
      <c r="D1480" s="30" t="s">
        <v>112</v>
      </c>
      <c r="E1480" s="30" t="s">
        <v>972</v>
      </c>
      <c r="F1480" s="32" t="n">
        <v>0</v>
      </c>
      <c r="G1480" s="31"/>
      <c r="H1480" s="31" t="n">
        <v>1</v>
      </c>
      <c r="I1480" s="31" t="s">
        <v>51</v>
      </c>
      <c r="J1480" s="29" t="s">
        <v>52</v>
      </c>
      <c r="K1480" s="29" t="s">
        <v>53</v>
      </c>
      <c r="L1480" s="32" t="n">
        <v>149</v>
      </c>
      <c r="M1480" s="33" t="s">
        <v>54</v>
      </c>
      <c r="N1480" s="34" t="n">
        <v>75015</v>
      </c>
      <c r="O1480" s="35" t="s">
        <v>55</v>
      </c>
      <c r="P1480" s="36" t="s">
        <v>2030</v>
      </c>
      <c r="Q1480" s="36" t="n">
        <v>236</v>
      </c>
      <c r="R1480" s="32" t="n">
        <v>99</v>
      </c>
      <c r="S1480" s="32" t="n">
        <v>1</v>
      </c>
      <c r="T1480" s="32"/>
      <c r="U1480" s="32"/>
      <c r="V1480" s="37"/>
      <c r="W1480" s="32"/>
      <c r="X1480" s="34"/>
      <c r="Y1480" s="34"/>
      <c r="Z1480" s="36"/>
      <c r="AA1480" s="32" t="s">
        <v>8492</v>
      </c>
      <c r="AB1480" s="32"/>
      <c r="AC1480" s="38" t="str">
        <f aca="false">HYPERLINK("https://biocodex6--c.vf.force.com/0014L00000KGKiWQAX", "SAREIDAKI DOXA")</f>
        <v>SAREIDAKI DOXA</v>
      </c>
      <c r="AD1480" s="38"/>
      <c r="AE1480" s="39"/>
      <c r="AF1480" s="40"/>
      <c r="AG1480" s="41"/>
      <c r="AH1480" s="32" t="s">
        <v>179</v>
      </c>
      <c r="AI1480" s="32"/>
      <c r="AL1480" s="32"/>
      <c r="AM1480" s="32"/>
      <c r="AN1480" s="32"/>
      <c r="AO1480" s="32"/>
      <c r="AP1480" s="32"/>
      <c r="AQ1480" s="32"/>
      <c r="AR1480" s="32"/>
      <c r="AS1480" s="32"/>
      <c r="AT1480" s="32"/>
      <c r="AU1480" s="32"/>
      <c r="XEY1480" s="27"/>
      <c r="XEZ1480" s="27"/>
      <c r="XFA1480" s="27"/>
      <c r="XFB1480" s="27"/>
      <c r="XFC1480" s="27"/>
      <c r="XFD1480" s="27"/>
    </row>
    <row r="1481" s="42" customFormat="true" ht="14.15" hidden="false" customHeight="true" outlineLevel="0" collapsed="false">
      <c r="A1481" s="28" t="s">
        <v>8493</v>
      </c>
      <c r="B1481" s="29" t="s">
        <v>2794</v>
      </c>
      <c r="C1481" s="29" t="s">
        <v>8494</v>
      </c>
      <c r="D1481" s="30" t="s">
        <v>244</v>
      </c>
      <c r="E1481" s="30" t="s">
        <v>245</v>
      </c>
      <c r="F1481" s="32" t="n">
        <v>47</v>
      </c>
      <c r="G1481" s="31" t="s">
        <v>215</v>
      </c>
      <c r="H1481" s="31" t="n">
        <v>2</v>
      </c>
      <c r="I1481" s="31" t="s">
        <v>173</v>
      </c>
      <c r="J1481" s="29"/>
      <c r="K1481" s="29" t="s">
        <v>5501</v>
      </c>
      <c r="L1481" s="32" t="n">
        <v>134</v>
      </c>
      <c r="M1481" s="33" t="s">
        <v>175</v>
      </c>
      <c r="N1481" s="34" t="n">
        <v>75016</v>
      </c>
      <c r="O1481" s="35" t="s">
        <v>55</v>
      </c>
      <c r="P1481" s="36" t="s">
        <v>8495</v>
      </c>
      <c r="Q1481" s="36" t="n">
        <v>2</v>
      </c>
      <c r="R1481" s="32" t="n">
        <v>99</v>
      </c>
      <c r="S1481" s="32" t="n">
        <v>1</v>
      </c>
      <c r="T1481" s="32"/>
      <c r="U1481" s="32"/>
      <c r="V1481" s="37"/>
      <c r="W1481" s="32"/>
      <c r="X1481" s="34"/>
      <c r="Y1481" s="34"/>
      <c r="Z1481" s="36" t="s">
        <v>8496</v>
      </c>
      <c r="AA1481" s="32" t="s">
        <v>8497</v>
      </c>
      <c r="AB1481" s="32" t="s">
        <v>8498</v>
      </c>
      <c r="AC1481" s="38" t="str">
        <f aca="false">HYPERLINK("https://biocodex6--c.vf.force.com/0014L00000KFxpAQAT", "PIETIN VIALLE CLAIRE")</f>
        <v>PIETIN VIALLE CLAIRE</v>
      </c>
      <c r="AD1481" s="38" t="str">
        <f aca="false">HYPERLINK("https://annuairesante.ameli.fr/professionnels-de-sante/recherche/fiche-detaillee-B7c1mzczNTC2.html", "PIETIN VIALLE CLAIRE")</f>
        <v>PIETIN VIALLE CLAIRE</v>
      </c>
      <c r="AE1481" s="39"/>
      <c r="AF1481" s="40"/>
      <c r="AG1481" s="41"/>
      <c r="AH1481" s="32" t="s">
        <v>179</v>
      </c>
      <c r="AI1481" s="32"/>
      <c r="AL1481" s="43" t="s">
        <v>657</v>
      </c>
      <c r="AM1481" s="43" t="s">
        <v>262</v>
      </c>
      <c r="AN1481" s="43" t="s">
        <v>657</v>
      </c>
      <c r="AO1481" s="43" t="s">
        <v>262</v>
      </c>
      <c r="AP1481" s="43" t="s">
        <v>6311</v>
      </c>
      <c r="AQ1481" s="32"/>
      <c r="AR1481" s="32"/>
      <c r="AS1481" s="32"/>
      <c r="AT1481" s="43" t="s">
        <v>657</v>
      </c>
      <c r="AU1481" s="43" t="s">
        <v>262</v>
      </c>
      <c r="XEY1481" s="27"/>
      <c r="XEZ1481" s="27"/>
      <c r="XFA1481" s="27"/>
      <c r="XFB1481" s="27"/>
      <c r="XFC1481" s="27"/>
      <c r="XFD1481" s="27"/>
    </row>
    <row r="1482" s="42" customFormat="true" ht="14.15" hidden="false" customHeight="true" outlineLevel="0" collapsed="false">
      <c r="A1482" s="28" t="s">
        <v>8499</v>
      </c>
      <c r="B1482" s="29" t="s">
        <v>8500</v>
      </c>
      <c r="C1482" s="29" t="s">
        <v>8501</v>
      </c>
      <c r="D1482" s="30" t="s">
        <v>268</v>
      </c>
      <c r="E1482" s="31"/>
      <c r="F1482" s="32" t="n">
        <v>50</v>
      </c>
      <c r="G1482" s="31"/>
      <c r="H1482" s="31" t="n">
        <v>1</v>
      </c>
      <c r="I1482" s="31" t="s">
        <v>77</v>
      </c>
      <c r="J1482" s="29" t="s">
        <v>580</v>
      </c>
      <c r="K1482" s="29" t="s">
        <v>581</v>
      </c>
      <c r="L1482" s="32" t="n">
        <v>63</v>
      </c>
      <c r="M1482" s="33" t="s">
        <v>80</v>
      </c>
      <c r="N1482" s="34" t="n">
        <v>92200</v>
      </c>
      <c r="O1482" s="35" t="s">
        <v>81</v>
      </c>
      <c r="P1482" s="36" t="s">
        <v>3916</v>
      </c>
      <c r="Q1482" s="36" t="n">
        <v>39</v>
      </c>
      <c r="R1482" s="32" t="n">
        <v>97</v>
      </c>
      <c r="S1482" s="32" t="n">
        <v>1</v>
      </c>
      <c r="T1482" s="32"/>
      <c r="U1482" s="32"/>
      <c r="V1482" s="37"/>
      <c r="W1482" s="32"/>
      <c r="X1482" s="34"/>
      <c r="Y1482" s="34"/>
      <c r="Z1482" s="32"/>
      <c r="AA1482" s="32" t="s">
        <v>8502</v>
      </c>
      <c r="AB1482" s="32"/>
      <c r="AC1482" s="38" t="str">
        <f aca="false">HYPERLINK("https://biocodex6--c.vf.force.com/0014L00000KFg5iQAD", "SCHNEBLE IBOS AUGE NATHANAELLE")</f>
        <v>SCHNEBLE IBOS AUGE NATHANAELLE</v>
      </c>
      <c r="AD1482" s="38"/>
      <c r="AE1482" s="39"/>
      <c r="AF1482" s="40"/>
      <c r="AG1482" s="41"/>
      <c r="AH1482" s="32"/>
      <c r="AI1482" s="32"/>
      <c r="AL1482" s="32"/>
      <c r="AM1482" s="32"/>
      <c r="AN1482" s="32"/>
      <c r="AO1482" s="32"/>
      <c r="AP1482" s="32"/>
      <c r="AQ1482" s="32"/>
      <c r="AR1482" s="32"/>
      <c r="AS1482" s="32"/>
      <c r="AT1482" s="32"/>
      <c r="AU1482" s="32"/>
      <c r="XEY1482" s="27"/>
      <c r="XEZ1482" s="27"/>
      <c r="XFA1482" s="27"/>
      <c r="XFB1482" s="27"/>
      <c r="XFC1482" s="27"/>
      <c r="XFD1482" s="27"/>
    </row>
    <row r="1483" s="42" customFormat="true" ht="14.15" hidden="false" customHeight="true" outlineLevel="0" collapsed="false">
      <c r="A1483" s="28" t="s">
        <v>8503</v>
      </c>
      <c r="B1483" s="29" t="s">
        <v>8504</v>
      </c>
      <c r="C1483" s="29" t="s">
        <v>8505</v>
      </c>
      <c r="D1483" s="30" t="s">
        <v>244</v>
      </c>
      <c r="E1483" s="30" t="s">
        <v>245</v>
      </c>
      <c r="F1483" s="32" t="n">
        <v>59</v>
      </c>
      <c r="G1483" s="31"/>
      <c r="H1483" s="31" t="n">
        <v>1</v>
      </c>
      <c r="I1483" s="31" t="s">
        <v>295</v>
      </c>
      <c r="J1483" s="29"/>
      <c r="K1483" s="29" t="s">
        <v>8506</v>
      </c>
      <c r="L1483" s="32" t="n">
        <v>46</v>
      </c>
      <c r="M1483" s="33" t="s">
        <v>5523</v>
      </c>
      <c r="N1483" s="34" t="n">
        <v>92300</v>
      </c>
      <c r="O1483" s="35" t="s">
        <v>298</v>
      </c>
      <c r="P1483" s="36" t="s">
        <v>8507</v>
      </c>
      <c r="Q1483" s="36" t="n">
        <v>1</v>
      </c>
      <c r="R1483" s="32" t="n">
        <v>96</v>
      </c>
      <c r="S1483" s="32" t="n">
        <v>1</v>
      </c>
      <c r="T1483" s="32"/>
      <c r="U1483" s="32"/>
      <c r="V1483" s="37"/>
      <c r="W1483" s="32"/>
      <c r="X1483" s="34"/>
      <c r="Y1483" s="34"/>
      <c r="Z1483" s="36" t="s">
        <v>8508</v>
      </c>
      <c r="AA1483" s="32" t="s">
        <v>8509</v>
      </c>
      <c r="AB1483" s="32"/>
      <c r="AC1483" s="38" t="str">
        <f aca="false">HYPERLINK("https://biocodex6--c.vf.force.com/0014L00000KFhnhQAD", "GUITI HAMIDIEH SEPIDEH")</f>
        <v>GUITI HAMIDIEH SEPIDEH</v>
      </c>
      <c r="AD1483" s="38"/>
      <c r="AE1483" s="39"/>
      <c r="AF1483" s="40"/>
      <c r="AG1483" s="41"/>
      <c r="AH1483" s="32" t="s">
        <v>179</v>
      </c>
      <c r="AI1483" s="32"/>
      <c r="AL1483" s="32"/>
      <c r="AM1483" s="32"/>
      <c r="AN1483" s="32"/>
      <c r="AO1483" s="32"/>
      <c r="AP1483" s="32"/>
      <c r="AQ1483" s="32"/>
      <c r="AR1483" s="32"/>
      <c r="AS1483" s="32"/>
      <c r="AT1483" s="32"/>
      <c r="AU1483" s="32"/>
      <c r="XEY1483" s="27"/>
      <c r="XEZ1483" s="27"/>
      <c r="XFA1483" s="27"/>
      <c r="XFB1483" s="27"/>
      <c r="XFC1483" s="27"/>
      <c r="XFD1483" s="27"/>
    </row>
    <row r="1484" s="42" customFormat="true" ht="14.15" hidden="false" customHeight="true" outlineLevel="0" collapsed="false">
      <c r="A1484" s="28" t="s">
        <v>3270</v>
      </c>
      <c r="B1484" s="29" t="s">
        <v>5648</v>
      </c>
      <c r="C1484" s="29" t="s">
        <v>8510</v>
      </c>
      <c r="D1484" s="30" t="s">
        <v>112</v>
      </c>
      <c r="E1484" s="31"/>
      <c r="F1484" s="32" t="n">
        <v>75</v>
      </c>
      <c r="G1484" s="31" t="s">
        <v>61</v>
      </c>
      <c r="H1484" s="31" t="n">
        <v>1</v>
      </c>
      <c r="I1484" s="31" t="s">
        <v>387</v>
      </c>
      <c r="J1484" s="29"/>
      <c r="K1484" s="29" t="s">
        <v>8511</v>
      </c>
      <c r="L1484" s="32" t="n">
        <v>19</v>
      </c>
      <c r="M1484" s="33" t="s">
        <v>7850</v>
      </c>
      <c r="N1484" s="34" t="n">
        <v>75016</v>
      </c>
      <c r="O1484" s="35" t="s">
        <v>55</v>
      </c>
      <c r="P1484" s="36" t="s">
        <v>8512</v>
      </c>
      <c r="Q1484" s="36" t="n">
        <v>2</v>
      </c>
      <c r="R1484" s="32" t="n">
        <v>95</v>
      </c>
      <c r="S1484" s="32" t="n">
        <v>1</v>
      </c>
      <c r="T1484" s="32"/>
      <c r="U1484" s="32"/>
      <c r="V1484" s="37"/>
      <c r="W1484" s="32"/>
      <c r="X1484" s="34"/>
      <c r="Y1484" s="34"/>
      <c r="Z1484" s="36"/>
      <c r="AA1484" s="32" t="s">
        <v>8513</v>
      </c>
      <c r="AB1484" s="32" t="s">
        <v>8514</v>
      </c>
      <c r="AC1484" s="38" t="str">
        <f aca="false">HYPERLINK("https://biocodex6--c.vf.force.com/0014L00000KFQQoQAP", "ANDRE PASCAL")</f>
        <v>ANDRE PASCAL</v>
      </c>
      <c r="AD1484" s="38" t="str">
        <f aca="false">HYPERLINK("https://annuairesante.ameli.fr/professionnels-de-sante/recherche/fiche-detaillee-B7c1kTY2MjSz.html", "ANDRE PASCAL")</f>
        <v>ANDRE PASCAL</v>
      </c>
      <c r="AE1484" s="39" t="n">
        <v>45202.5</v>
      </c>
      <c r="AF1484" s="40"/>
      <c r="AG1484" s="41"/>
      <c r="AH1484" s="32" t="s">
        <v>179</v>
      </c>
      <c r="AI1484" s="32"/>
      <c r="AL1484" s="32"/>
      <c r="AM1484" s="32"/>
      <c r="AN1484" s="32"/>
      <c r="AO1484" s="32"/>
      <c r="AP1484" s="32"/>
      <c r="AQ1484" s="32"/>
      <c r="AR1484" s="32"/>
      <c r="AS1484" s="32"/>
      <c r="AT1484" s="32"/>
      <c r="AU1484" s="32"/>
      <c r="XEY1484" s="27"/>
      <c r="XEZ1484" s="27"/>
      <c r="XFA1484" s="27"/>
      <c r="XFB1484" s="27"/>
      <c r="XFC1484" s="27"/>
      <c r="XFD1484" s="27"/>
    </row>
    <row r="1485" s="42" customFormat="true" ht="14.15" hidden="false" customHeight="true" outlineLevel="0" collapsed="false">
      <c r="A1485" s="28" t="s">
        <v>8515</v>
      </c>
      <c r="B1485" s="29" t="s">
        <v>8516</v>
      </c>
      <c r="C1485" s="29" t="s">
        <v>8517</v>
      </c>
      <c r="D1485" s="30" t="s">
        <v>244</v>
      </c>
      <c r="E1485" s="30" t="s">
        <v>245</v>
      </c>
      <c r="F1485" s="32" t="n">
        <v>39</v>
      </c>
      <c r="G1485" s="31"/>
      <c r="H1485" s="31" t="n">
        <v>2</v>
      </c>
      <c r="I1485" s="31" t="s">
        <v>51</v>
      </c>
      <c r="J1485" s="29"/>
      <c r="K1485" s="29" t="s">
        <v>8448</v>
      </c>
      <c r="L1485" s="32" t="n">
        <v>24</v>
      </c>
      <c r="M1485" s="33" t="s">
        <v>5921</v>
      </c>
      <c r="N1485" s="34" t="n">
        <v>75015</v>
      </c>
      <c r="O1485" s="35" t="s">
        <v>55</v>
      </c>
      <c r="P1485" s="36" t="s">
        <v>7801</v>
      </c>
      <c r="Q1485" s="36" t="n">
        <v>1</v>
      </c>
      <c r="R1485" s="32" t="n">
        <v>95</v>
      </c>
      <c r="S1485" s="32" t="n">
        <v>1</v>
      </c>
      <c r="T1485" s="32"/>
      <c r="U1485" s="32"/>
      <c r="V1485" s="37"/>
      <c r="W1485" s="32"/>
      <c r="X1485" s="34"/>
      <c r="Y1485" s="34"/>
      <c r="Z1485" s="32" t="s">
        <v>8518</v>
      </c>
      <c r="AA1485" s="32" t="s">
        <v>8519</v>
      </c>
      <c r="AB1485" s="32"/>
      <c r="AC1485" s="38" t="str">
        <f aca="false">HYPERLINK("https://biocodex6--c.vf.force.com/0014L00000KFKv5QAH", "JEFFERY KIM JOANNE")</f>
        <v>JEFFERY KIM JOANNE</v>
      </c>
      <c r="AD1485" s="38"/>
      <c r="AE1485" s="39"/>
      <c r="AF1485" s="40"/>
      <c r="AG1485" s="41"/>
      <c r="AH1485" s="32"/>
      <c r="AI1485" s="32"/>
      <c r="AL1485" s="32"/>
      <c r="AM1485" s="32"/>
      <c r="AN1485" s="32"/>
      <c r="AO1485" s="32"/>
      <c r="AP1485" s="32"/>
      <c r="AQ1485" s="32"/>
      <c r="AR1485" s="32"/>
      <c r="AS1485" s="32"/>
      <c r="AT1485" s="32"/>
      <c r="AU1485" s="32"/>
      <c r="XEY1485" s="27"/>
      <c r="XEZ1485" s="27"/>
      <c r="XFA1485" s="27"/>
      <c r="XFB1485" s="27"/>
      <c r="XFC1485" s="27"/>
      <c r="XFD1485" s="27"/>
    </row>
    <row r="1486" s="42" customFormat="true" ht="14.15" hidden="false" customHeight="true" outlineLevel="0" collapsed="false">
      <c r="A1486" s="28" t="s">
        <v>8520</v>
      </c>
      <c r="B1486" s="29" t="s">
        <v>4375</v>
      </c>
      <c r="C1486" s="29" t="s">
        <v>8521</v>
      </c>
      <c r="D1486" s="30" t="s">
        <v>244</v>
      </c>
      <c r="E1486" s="30" t="s">
        <v>2740</v>
      </c>
      <c r="F1486" s="32" t="n">
        <v>76</v>
      </c>
      <c r="G1486" s="31" t="s">
        <v>215</v>
      </c>
      <c r="H1486" s="31" t="n">
        <v>1</v>
      </c>
      <c r="I1486" s="31" t="s">
        <v>62</v>
      </c>
      <c r="J1486" s="29"/>
      <c r="K1486" s="29" t="s">
        <v>8522</v>
      </c>
      <c r="L1486" s="32" t="n">
        <v>19</v>
      </c>
      <c r="M1486" s="33" t="s">
        <v>833</v>
      </c>
      <c r="N1486" s="34" t="n">
        <v>75017</v>
      </c>
      <c r="O1486" s="35" t="s">
        <v>55</v>
      </c>
      <c r="P1486" s="36"/>
      <c r="Q1486" s="36" t="n">
        <v>1</v>
      </c>
      <c r="R1486" s="32" t="n">
        <v>95</v>
      </c>
      <c r="S1486" s="32" t="n">
        <v>1</v>
      </c>
      <c r="T1486" s="32"/>
      <c r="U1486" s="32"/>
      <c r="V1486" s="37"/>
      <c r="W1486" s="32"/>
      <c r="X1486" s="34"/>
      <c r="Y1486" s="34"/>
      <c r="Z1486" s="36"/>
      <c r="AA1486" s="32" t="s">
        <v>8523</v>
      </c>
      <c r="AB1486" s="32" t="s">
        <v>8524</v>
      </c>
      <c r="AC1486" s="38" t="str">
        <f aca="false">HYPERLINK("https://biocodex6--c.vf.force.com/0014L00000KFgPlQAL", "GOETA JACQUELINE")</f>
        <v>GOETA JACQUELINE</v>
      </c>
      <c r="AD1486" s="38" t="str">
        <f aca="false">HYPERLINK("https://annuairesante.ameli.fr/professionnels-de-sante/recherche/fiche-detaillee-B7c1lzc1NTux.html", "GOETA JACQUELINE")</f>
        <v>GOETA JACQUELINE</v>
      </c>
      <c r="AE1486" s="39"/>
      <c r="AF1486" s="40"/>
      <c r="AG1486" s="41"/>
      <c r="AH1486" s="32" t="s">
        <v>179</v>
      </c>
      <c r="AI1486" s="32"/>
      <c r="AL1486" s="32"/>
      <c r="AM1486" s="32"/>
      <c r="AN1486" s="32"/>
      <c r="AO1486" s="32"/>
      <c r="AP1486" s="32"/>
      <c r="AQ1486" s="32"/>
      <c r="AR1486" s="32"/>
      <c r="AS1486" s="32"/>
      <c r="AT1486" s="32"/>
      <c r="AU1486" s="32"/>
      <c r="XEY1486" s="27"/>
      <c r="XEZ1486" s="27"/>
      <c r="XFA1486" s="27"/>
      <c r="XFB1486" s="27"/>
      <c r="XFC1486" s="27"/>
      <c r="XFD1486" s="27"/>
    </row>
    <row r="1487" s="42" customFormat="true" ht="14.15" hidden="false" customHeight="true" outlineLevel="0" collapsed="false">
      <c r="A1487" s="28" t="s">
        <v>8525</v>
      </c>
      <c r="B1487" s="29" t="s">
        <v>231</v>
      </c>
      <c r="C1487" s="29" t="s">
        <v>8526</v>
      </c>
      <c r="D1487" s="30" t="s">
        <v>244</v>
      </c>
      <c r="E1487" s="30" t="s">
        <v>245</v>
      </c>
      <c r="F1487" s="32" t="n">
        <v>54</v>
      </c>
      <c r="G1487" s="31" t="s">
        <v>215</v>
      </c>
      <c r="H1487" s="31" t="n">
        <v>1</v>
      </c>
      <c r="I1487" s="31" t="s">
        <v>62</v>
      </c>
      <c r="J1487" s="29"/>
      <c r="K1487" s="29" t="s">
        <v>6324</v>
      </c>
      <c r="L1487" s="32" t="n">
        <v>21</v>
      </c>
      <c r="M1487" s="33" t="s">
        <v>6325</v>
      </c>
      <c r="N1487" s="34" t="n">
        <v>75017</v>
      </c>
      <c r="O1487" s="35" t="s">
        <v>55</v>
      </c>
      <c r="P1487" s="36" t="s">
        <v>8527</v>
      </c>
      <c r="Q1487" s="36" t="n">
        <v>4</v>
      </c>
      <c r="R1487" s="32" t="n">
        <v>95</v>
      </c>
      <c r="S1487" s="32" t="n">
        <v>1</v>
      </c>
      <c r="T1487" s="32"/>
      <c r="U1487" s="32"/>
      <c r="V1487" s="37"/>
      <c r="W1487" s="32"/>
      <c r="X1487" s="34"/>
      <c r="Y1487" s="34"/>
      <c r="Z1487" s="36"/>
      <c r="AA1487" s="32" t="s">
        <v>8528</v>
      </c>
      <c r="AB1487" s="32" t="s">
        <v>8529</v>
      </c>
      <c r="AC1487" s="38" t="str">
        <f aca="false">HYPERLINK("https://biocodex6--c.vf.force.com/0014L00000KG4ogQAD", "THOURY ANNE")</f>
        <v>THOURY ANNE</v>
      </c>
      <c r="AD1487" s="38" t="str">
        <f aca="false">HYPERLINK("https://annuairesante.ameli.fr/professionnels-de-sante/recherche/fiche-detaillee-B7c1lTY2MjK3.html", "THOURY ANNE")</f>
        <v>THOURY ANNE</v>
      </c>
      <c r="AE1487" s="39"/>
      <c r="AF1487" s="40"/>
      <c r="AG1487" s="41"/>
      <c r="AH1487" s="32" t="s">
        <v>179</v>
      </c>
      <c r="AI1487" s="32"/>
      <c r="AL1487" s="32"/>
      <c r="AM1487" s="32"/>
      <c r="AN1487" s="32"/>
      <c r="AO1487" s="32"/>
      <c r="AP1487" s="32"/>
      <c r="AQ1487" s="32"/>
      <c r="AR1487" s="32"/>
      <c r="AS1487" s="32"/>
      <c r="AT1487" s="32"/>
      <c r="AU1487" s="32"/>
      <c r="XEY1487" s="27"/>
      <c r="XEZ1487" s="27"/>
      <c r="XFA1487" s="27"/>
      <c r="XFB1487" s="27"/>
      <c r="XFC1487" s="27"/>
      <c r="XFD1487" s="27"/>
    </row>
    <row r="1488" s="42" customFormat="true" ht="14.15" hidden="false" customHeight="true" outlineLevel="0" collapsed="false">
      <c r="A1488" s="28" t="s">
        <v>8530</v>
      </c>
      <c r="B1488" s="29" t="s">
        <v>829</v>
      </c>
      <c r="C1488" s="29" t="s">
        <v>8531</v>
      </c>
      <c r="D1488" s="30" t="s">
        <v>75</v>
      </c>
      <c r="E1488" s="31"/>
      <c r="F1488" s="32" t="n">
        <v>71</v>
      </c>
      <c r="G1488" s="31" t="s">
        <v>215</v>
      </c>
      <c r="H1488" s="31" t="n">
        <v>1</v>
      </c>
      <c r="I1488" s="31" t="s">
        <v>119</v>
      </c>
      <c r="J1488" s="29" t="s">
        <v>2361</v>
      </c>
      <c r="K1488" s="29" t="s">
        <v>2362</v>
      </c>
      <c r="L1488" s="32" t="n">
        <v>41</v>
      </c>
      <c r="M1488" s="33" t="s">
        <v>2363</v>
      </c>
      <c r="N1488" s="34" t="n">
        <v>75007</v>
      </c>
      <c r="O1488" s="35" t="s">
        <v>55</v>
      </c>
      <c r="P1488" s="36" t="s">
        <v>2364</v>
      </c>
      <c r="Q1488" s="36" t="n">
        <v>5</v>
      </c>
      <c r="R1488" s="32" t="n">
        <v>94</v>
      </c>
      <c r="S1488" s="32" t="n">
        <v>1</v>
      </c>
      <c r="T1488" s="32"/>
      <c r="U1488" s="32"/>
      <c r="V1488" s="37"/>
      <c r="W1488" s="32"/>
      <c r="X1488" s="34"/>
      <c r="Y1488" s="34"/>
      <c r="Z1488" s="36"/>
      <c r="AA1488" s="32" t="s">
        <v>8532</v>
      </c>
      <c r="AB1488" s="32" t="s">
        <v>8533</v>
      </c>
      <c r="AC1488" s="38" t="str">
        <f aca="false">HYPERLINK("https://biocodex6--c.vf.force.com/0014L00000KFogrQAD", "LOISEAU DIDIER")</f>
        <v>LOISEAU DIDIER</v>
      </c>
      <c r="AD1488" s="38" t="str">
        <f aca="false">HYPERLINK("https://annuairesante.ameli.fr/professionnels-de-sante/recherche/fiche-detaillee-B7c1lzMxNzOy.html", "LOISEAU DIDIER")</f>
        <v>LOISEAU DIDIER</v>
      </c>
      <c r="AE1488" s="39"/>
      <c r="AF1488" s="40"/>
      <c r="AG1488" s="41"/>
      <c r="AH1488" s="32" t="s">
        <v>179</v>
      </c>
      <c r="AI1488" s="32"/>
      <c r="AL1488" s="32"/>
      <c r="AM1488" s="32"/>
      <c r="AN1488" s="32"/>
      <c r="AO1488" s="32"/>
      <c r="AP1488" s="32"/>
      <c r="AQ1488" s="32"/>
      <c r="AR1488" s="32"/>
      <c r="AS1488" s="32"/>
      <c r="AT1488" s="32"/>
      <c r="AU1488" s="32"/>
      <c r="XEY1488" s="27"/>
      <c r="XEZ1488" s="27"/>
      <c r="XFA1488" s="27"/>
      <c r="XFB1488" s="27"/>
      <c r="XFC1488" s="27"/>
      <c r="XFD1488" s="27"/>
    </row>
    <row r="1489" s="42" customFormat="true" ht="14.15" hidden="false" customHeight="true" outlineLevel="0" collapsed="false">
      <c r="A1489" s="28" t="s">
        <v>8534</v>
      </c>
      <c r="B1489" s="29" t="s">
        <v>8535</v>
      </c>
      <c r="C1489" s="29" t="s">
        <v>8536</v>
      </c>
      <c r="D1489" s="30" t="s">
        <v>50</v>
      </c>
      <c r="E1489" s="31"/>
      <c r="F1489" s="32" t="n">
        <v>35</v>
      </c>
      <c r="G1489" s="31"/>
      <c r="H1489" s="31" t="n">
        <v>2</v>
      </c>
      <c r="I1489" s="31" t="s">
        <v>99</v>
      </c>
      <c r="J1489" s="29"/>
      <c r="K1489" s="29" t="s">
        <v>1264</v>
      </c>
      <c r="L1489" s="32" t="n">
        <v>60</v>
      </c>
      <c r="M1489" s="33" t="s">
        <v>469</v>
      </c>
      <c r="N1489" s="34" t="n">
        <v>75015</v>
      </c>
      <c r="O1489" s="35" t="s">
        <v>55</v>
      </c>
      <c r="P1489" s="36" t="s">
        <v>1265</v>
      </c>
      <c r="Q1489" s="36" t="n">
        <v>3</v>
      </c>
      <c r="R1489" s="32" t="n">
        <v>93</v>
      </c>
      <c r="S1489" s="32" t="n">
        <v>1</v>
      </c>
      <c r="T1489" s="32"/>
      <c r="U1489" s="32"/>
      <c r="V1489" s="37"/>
      <c r="W1489" s="32"/>
      <c r="X1489" s="34"/>
      <c r="Y1489" s="34"/>
      <c r="Z1489" s="36"/>
      <c r="AA1489" s="32" t="s">
        <v>8537</v>
      </c>
      <c r="AB1489" s="32"/>
      <c r="AC1489" s="38" t="str">
        <f aca="false">HYPERLINK("https://biocodex6--c.vf.force.com/0014L00000KGBplQAH", "KHAU JEREMY")</f>
        <v>KHAU JEREMY</v>
      </c>
      <c r="AD1489" s="38"/>
      <c r="AE1489" s="39"/>
      <c r="AF1489" s="40"/>
      <c r="AG1489" s="41"/>
      <c r="AH1489" s="32" t="s">
        <v>179</v>
      </c>
      <c r="AI1489" s="32"/>
      <c r="AL1489" s="32"/>
      <c r="AM1489" s="32"/>
      <c r="AN1489" s="32"/>
      <c r="AO1489" s="32"/>
      <c r="AP1489" s="32"/>
      <c r="AQ1489" s="32"/>
      <c r="AR1489" s="32"/>
      <c r="AS1489" s="32"/>
      <c r="AT1489" s="32"/>
      <c r="AU1489" s="32"/>
      <c r="XEY1489" s="27"/>
      <c r="XEZ1489" s="27"/>
      <c r="XFA1489" s="27"/>
      <c r="XFB1489" s="27"/>
      <c r="XFC1489" s="27"/>
      <c r="XFD1489" s="27"/>
    </row>
    <row r="1490" s="42" customFormat="true" ht="14.15" hidden="false" customHeight="true" outlineLevel="0" collapsed="false">
      <c r="A1490" s="28" t="s">
        <v>8538</v>
      </c>
      <c r="B1490" s="29" t="s">
        <v>8539</v>
      </c>
      <c r="C1490" s="29" t="s">
        <v>8540</v>
      </c>
      <c r="D1490" s="30" t="s">
        <v>50</v>
      </c>
      <c r="E1490" s="31"/>
      <c r="F1490" s="32" t="n">
        <v>32</v>
      </c>
      <c r="G1490" s="31"/>
      <c r="H1490" s="31" t="n">
        <v>1</v>
      </c>
      <c r="I1490" s="31" t="s">
        <v>99</v>
      </c>
      <c r="J1490" s="29"/>
      <c r="K1490" s="29" t="s">
        <v>1935</v>
      </c>
      <c r="L1490" s="32" t="n">
        <v>10</v>
      </c>
      <c r="M1490" s="33" t="s">
        <v>1474</v>
      </c>
      <c r="N1490" s="34" t="n">
        <v>75015</v>
      </c>
      <c r="O1490" s="35" t="s">
        <v>55</v>
      </c>
      <c r="P1490" s="36" t="s">
        <v>1936</v>
      </c>
      <c r="Q1490" s="36" t="n">
        <v>5</v>
      </c>
      <c r="R1490" s="32" t="n">
        <v>93</v>
      </c>
      <c r="S1490" s="32" t="n">
        <v>1</v>
      </c>
      <c r="T1490" s="32"/>
      <c r="U1490" s="32"/>
      <c r="V1490" s="37"/>
      <c r="W1490" s="32"/>
      <c r="X1490" s="34"/>
      <c r="Y1490" s="34"/>
      <c r="Z1490" s="36"/>
      <c r="AA1490" s="32" t="s">
        <v>8541</v>
      </c>
      <c r="AB1490" s="32"/>
      <c r="AC1490" s="38" t="str">
        <f aca="false">HYPERLINK("https://biocodex6--c.vf.force.com/0014L00000KGGryQAH", "GEORGY HERMINE")</f>
        <v>GEORGY HERMINE</v>
      </c>
      <c r="AD1490" s="38"/>
      <c r="AE1490" s="39"/>
      <c r="AF1490" s="40"/>
      <c r="AG1490" s="41"/>
      <c r="AH1490" s="32" t="s">
        <v>179</v>
      </c>
      <c r="AI1490" s="32"/>
      <c r="AJ1490" s="42" t="s">
        <v>1128</v>
      </c>
      <c r="AL1490" s="32"/>
      <c r="AM1490" s="32"/>
      <c r="AN1490" s="32"/>
      <c r="AO1490" s="32"/>
      <c r="AP1490" s="32"/>
      <c r="AQ1490" s="32"/>
      <c r="AR1490" s="32"/>
      <c r="AS1490" s="32"/>
      <c r="AT1490" s="32"/>
      <c r="AU1490" s="32"/>
      <c r="XEY1490" s="27"/>
      <c r="XEZ1490" s="27"/>
      <c r="XFA1490" s="27"/>
      <c r="XFB1490" s="27"/>
      <c r="XFC1490" s="27"/>
      <c r="XFD1490" s="27"/>
    </row>
    <row r="1491" s="42" customFormat="true" ht="14.15" hidden="false" customHeight="true" outlineLevel="0" collapsed="false">
      <c r="A1491" s="28" t="s">
        <v>8542</v>
      </c>
      <c r="B1491" s="29" t="s">
        <v>1600</v>
      </c>
      <c r="C1491" s="29" t="s">
        <v>8543</v>
      </c>
      <c r="D1491" s="30" t="s">
        <v>50</v>
      </c>
      <c r="E1491" s="31"/>
      <c r="F1491" s="32" t="n">
        <v>38</v>
      </c>
      <c r="G1491" s="31"/>
      <c r="H1491" s="31" t="n">
        <v>3</v>
      </c>
      <c r="I1491" s="31" t="s">
        <v>51</v>
      </c>
      <c r="J1491" s="29"/>
      <c r="K1491" s="29" t="s">
        <v>2023</v>
      </c>
      <c r="L1491" s="32" t="n">
        <v>27</v>
      </c>
      <c r="M1491" s="33" t="s">
        <v>588</v>
      </c>
      <c r="N1491" s="34" t="n">
        <v>75015</v>
      </c>
      <c r="O1491" s="35" t="s">
        <v>55</v>
      </c>
      <c r="P1491" s="36" t="s">
        <v>2024</v>
      </c>
      <c r="Q1491" s="36" t="n">
        <v>3</v>
      </c>
      <c r="R1491" s="32" t="n">
        <v>93</v>
      </c>
      <c r="S1491" s="32" t="n">
        <v>1</v>
      </c>
      <c r="T1491" s="32"/>
      <c r="U1491" s="32"/>
      <c r="V1491" s="37"/>
      <c r="W1491" s="32"/>
      <c r="X1491" s="34"/>
      <c r="Y1491" s="34"/>
      <c r="Z1491" s="36"/>
      <c r="AA1491" s="32" t="s">
        <v>8544</v>
      </c>
      <c r="AB1491" s="32"/>
      <c r="AC1491" s="38" t="str">
        <f aca="false">HYPERLINK("https://biocodex6--c.vf.force.com/0014L00000KFOOjQAP", "GRANDJEAN CAROLINE")</f>
        <v>GRANDJEAN CAROLINE</v>
      </c>
      <c r="AD1491" s="38"/>
      <c r="AE1491" s="39"/>
      <c r="AF1491" s="40"/>
      <c r="AG1491" s="41"/>
      <c r="AH1491" s="32" t="s">
        <v>179</v>
      </c>
      <c r="AI1491" s="32"/>
      <c r="AL1491" s="32"/>
      <c r="AM1491" s="32"/>
      <c r="AN1491" s="32"/>
      <c r="AO1491" s="32"/>
      <c r="AP1491" s="32"/>
      <c r="AQ1491" s="32"/>
      <c r="AR1491" s="32"/>
      <c r="AS1491" s="32"/>
      <c r="AT1491" s="32"/>
      <c r="AU1491" s="32"/>
      <c r="XEY1491" s="27"/>
      <c r="XEZ1491" s="27"/>
      <c r="XFA1491" s="27"/>
      <c r="XFB1491" s="27"/>
      <c r="XFC1491" s="27"/>
      <c r="XFD1491" s="27"/>
    </row>
    <row r="1492" s="42" customFormat="true" ht="14.15" hidden="false" customHeight="true" outlineLevel="0" collapsed="false">
      <c r="A1492" s="28" t="s">
        <v>8545</v>
      </c>
      <c r="B1492" s="29" t="s">
        <v>376</v>
      </c>
      <c r="C1492" s="29" t="s">
        <v>8546</v>
      </c>
      <c r="D1492" s="30" t="s">
        <v>50</v>
      </c>
      <c r="E1492" s="31"/>
      <c r="F1492" s="32" t="n">
        <v>47</v>
      </c>
      <c r="G1492" s="31"/>
      <c r="H1492" s="31" t="n">
        <v>1</v>
      </c>
      <c r="I1492" s="31" t="s">
        <v>51</v>
      </c>
      <c r="J1492" s="29"/>
      <c r="K1492" s="29" t="s">
        <v>7324</v>
      </c>
      <c r="L1492" s="32" t="n">
        <v>18</v>
      </c>
      <c r="M1492" s="33" t="s">
        <v>3442</v>
      </c>
      <c r="N1492" s="34" t="n">
        <v>75015</v>
      </c>
      <c r="O1492" s="35" t="s">
        <v>55</v>
      </c>
      <c r="P1492" s="36" t="s">
        <v>7325</v>
      </c>
      <c r="Q1492" s="36" t="n">
        <v>2</v>
      </c>
      <c r="R1492" s="32" t="n">
        <v>93</v>
      </c>
      <c r="S1492" s="32" t="n">
        <v>1</v>
      </c>
      <c r="T1492" s="32"/>
      <c r="U1492" s="32"/>
      <c r="V1492" s="37"/>
      <c r="W1492" s="32"/>
      <c r="X1492" s="34"/>
      <c r="Y1492" s="34"/>
      <c r="Z1492" s="36"/>
      <c r="AA1492" s="32" t="s">
        <v>8547</v>
      </c>
      <c r="AB1492" s="32"/>
      <c r="AC1492" s="38" t="str">
        <f aca="false">HYPERLINK("https://biocodex6--c.vf.force.com/0014L00000KFQsLQAX", "ENTREMONT ALEXANDRE")</f>
        <v>ENTREMONT ALEXANDRE</v>
      </c>
      <c r="AD1492" s="38"/>
      <c r="AE1492" s="39"/>
      <c r="AF1492" s="40"/>
      <c r="AG1492" s="41"/>
      <c r="AH1492" s="32" t="s">
        <v>179</v>
      </c>
      <c r="AI1492" s="32"/>
      <c r="AL1492" s="32"/>
      <c r="AM1492" s="32"/>
      <c r="AN1492" s="32"/>
      <c r="AO1492" s="32"/>
      <c r="AP1492" s="32"/>
      <c r="AQ1492" s="32"/>
      <c r="AR1492" s="32"/>
      <c r="AS1492" s="32"/>
      <c r="AT1492" s="32"/>
      <c r="AU1492" s="32"/>
      <c r="XEY1492" s="27"/>
      <c r="XEZ1492" s="27"/>
      <c r="XFA1492" s="27"/>
      <c r="XFB1492" s="27"/>
      <c r="XFC1492" s="27"/>
      <c r="XFD1492" s="27"/>
    </row>
    <row r="1493" s="42" customFormat="true" ht="14.15" hidden="false" customHeight="true" outlineLevel="0" collapsed="false">
      <c r="A1493" s="28" t="s">
        <v>8548</v>
      </c>
      <c r="B1493" s="29" t="s">
        <v>142</v>
      </c>
      <c r="C1493" s="29" t="s">
        <v>8549</v>
      </c>
      <c r="D1493" s="30" t="s">
        <v>75</v>
      </c>
      <c r="E1493" s="30" t="s">
        <v>1554</v>
      </c>
      <c r="F1493" s="32" t="n">
        <v>74</v>
      </c>
      <c r="G1493" s="31" t="s">
        <v>61</v>
      </c>
      <c r="H1493" s="31" t="n">
        <v>1</v>
      </c>
      <c r="I1493" s="31" t="s">
        <v>173</v>
      </c>
      <c r="J1493" s="29"/>
      <c r="K1493" s="29" t="s">
        <v>4320</v>
      </c>
      <c r="L1493" s="32" t="n">
        <v>5</v>
      </c>
      <c r="M1493" s="33" t="s">
        <v>4321</v>
      </c>
      <c r="N1493" s="34" t="n">
        <v>75016</v>
      </c>
      <c r="O1493" s="35" t="s">
        <v>55</v>
      </c>
      <c r="P1493" s="36"/>
      <c r="Q1493" s="36" t="n">
        <v>3</v>
      </c>
      <c r="R1493" s="32" t="n">
        <v>92</v>
      </c>
      <c r="S1493" s="32" t="n">
        <v>1</v>
      </c>
      <c r="T1493" s="32"/>
      <c r="U1493" s="32"/>
      <c r="V1493" s="37"/>
      <c r="W1493" s="32"/>
      <c r="X1493" s="34"/>
      <c r="Y1493" s="34"/>
      <c r="Z1493" s="36"/>
      <c r="AA1493" s="32" t="s">
        <v>8550</v>
      </c>
      <c r="AB1493" s="32" t="s">
        <v>8551</v>
      </c>
      <c r="AC1493" s="38" t="str">
        <f aca="false">HYPERLINK("https://biocodex6--c.vf.force.com/0014L00000KFrXtQAL", "MESNER MICHEL")</f>
        <v>MESNER MICHEL</v>
      </c>
      <c r="AD1493" s="38" t="str">
        <f aca="false">HYPERLINK("https://annuairesante.ameli.fr/professionnels-de-sante/recherche/fiche-detaillee-B7c1ljA4ODG6.html", "MESNER MICHEL")</f>
        <v>MESNER MICHEL</v>
      </c>
      <c r="AE1493" s="39"/>
      <c r="AF1493" s="40"/>
      <c r="AG1493" s="41"/>
      <c r="AH1493" s="32" t="s">
        <v>179</v>
      </c>
      <c r="AI1493" s="32"/>
      <c r="AL1493" s="32"/>
      <c r="AM1493" s="32"/>
      <c r="AN1493" s="32"/>
      <c r="AO1493" s="32"/>
      <c r="AP1493" s="32"/>
      <c r="AQ1493" s="32"/>
      <c r="AR1493" s="32"/>
      <c r="AS1493" s="32"/>
      <c r="AT1493" s="32"/>
      <c r="AU1493" s="32"/>
      <c r="XEY1493" s="27"/>
      <c r="XEZ1493" s="27"/>
      <c r="XFA1493" s="27"/>
      <c r="XFB1493" s="27"/>
      <c r="XFC1493" s="27"/>
      <c r="XFD1493" s="27"/>
    </row>
    <row r="1494" s="42" customFormat="true" ht="14.15" hidden="false" customHeight="true" outlineLevel="0" collapsed="false">
      <c r="A1494" s="28" t="s">
        <v>8552</v>
      </c>
      <c r="B1494" s="29" t="s">
        <v>1977</v>
      </c>
      <c r="C1494" s="29" t="s">
        <v>8553</v>
      </c>
      <c r="D1494" s="30" t="s">
        <v>244</v>
      </c>
      <c r="E1494" s="31"/>
      <c r="F1494" s="32" t="n">
        <v>62</v>
      </c>
      <c r="G1494" s="31"/>
      <c r="H1494" s="31" t="n">
        <v>1</v>
      </c>
      <c r="I1494" s="31" t="s">
        <v>119</v>
      </c>
      <c r="J1494" s="29"/>
      <c r="K1494" s="29" t="s">
        <v>1575</v>
      </c>
      <c r="L1494" s="32" t="n">
        <v>25</v>
      </c>
      <c r="M1494" s="33" t="s">
        <v>1576</v>
      </c>
      <c r="N1494" s="34" t="n">
        <v>75007</v>
      </c>
      <c r="O1494" s="35" t="s">
        <v>55</v>
      </c>
      <c r="P1494" s="36"/>
      <c r="Q1494" s="36" t="n">
        <v>2</v>
      </c>
      <c r="R1494" s="32" t="n">
        <v>91</v>
      </c>
      <c r="S1494" s="32" t="n">
        <v>1</v>
      </c>
      <c r="T1494" s="32"/>
      <c r="U1494" s="32"/>
      <c r="V1494" s="37"/>
      <c r="W1494" s="32"/>
      <c r="X1494" s="34"/>
      <c r="Y1494" s="34"/>
      <c r="Z1494" s="36"/>
      <c r="AA1494" s="32" t="s">
        <v>8554</v>
      </c>
      <c r="AB1494" s="32"/>
      <c r="AC1494" s="38" t="str">
        <f aca="false">HYPERLINK("https://biocodex6--c.vf.force.com/0014L00000KFiA7QAL", "CAMBOURIS PERRINE SOLANGE")</f>
        <v>CAMBOURIS PERRINE SOLANGE</v>
      </c>
      <c r="AD1494" s="38"/>
      <c r="AE1494" s="39"/>
      <c r="AF1494" s="40"/>
      <c r="AG1494" s="41"/>
      <c r="AH1494" s="32" t="s">
        <v>179</v>
      </c>
      <c r="AI1494" s="32"/>
      <c r="AL1494" s="32"/>
      <c r="AM1494" s="32"/>
      <c r="AN1494" s="32"/>
      <c r="AO1494" s="32"/>
      <c r="AP1494" s="32"/>
      <c r="AQ1494" s="32"/>
      <c r="AR1494" s="32"/>
      <c r="AS1494" s="32"/>
      <c r="AT1494" s="32"/>
      <c r="AU1494" s="32"/>
      <c r="XEY1494" s="27"/>
      <c r="XEZ1494" s="27"/>
      <c r="XFA1494" s="27"/>
      <c r="XFB1494" s="27"/>
      <c r="XFC1494" s="27"/>
      <c r="XFD1494" s="27"/>
    </row>
    <row r="1495" s="42" customFormat="true" ht="14.15" hidden="false" customHeight="true" outlineLevel="0" collapsed="false">
      <c r="A1495" s="28" t="s">
        <v>8555</v>
      </c>
      <c r="B1495" s="29" t="s">
        <v>8556</v>
      </c>
      <c r="C1495" s="29" t="s">
        <v>8557</v>
      </c>
      <c r="D1495" s="30" t="s">
        <v>244</v>
      </c>
      <c r="E1495" s="30" t="s">
        <v>245</v>
      </c>
      <c r="F1495" s="32" t="n">
        <v>44</v>
      </c>
      <c r="G1495" s="31"/>
      <c r="H1495" s="31" t="n">
        <v>1</v>
      </c>
      <c r="I1495" s="31" t="s">
        <v>119</v>
      </c>
      <c r="J1495" s="29"/>
      <c r="K1495" s="29" t="s">
        <v>8558</v>
      </c>
      <c r="L1495" s="32" t="n">
        <v>77</v>
      </c>
      <c r="M1495" s="33" t="s">
        <v>2226</v>
      </c>
      <c r="N1495" s="34" t="n">
        <v>75007</v>
      </c>
      <c r="O1495" s="35" t="s">
        <v>55</v>
      </c>
      <c r="P1495" s="36"/>
      <c r="Q1495" s="36" t="n">
        <v>1</v>
      </c>
      <c r="R1495" s="32" t="n">
        <v>91</v>
      </c>
      <c r="S1495" s="32" t="n">
        <v>1</v>
      </c>
      <c r="T1495" s="32"/>
      <c r="U1495" s="32"/>
      <c r="V1495" s="37"/>
      <c r="W1495" s="32"/>
      <c r="X1495" s="34"/>
      <c r="Y1495" s="34"/>
      <c r="Z1495" s="36"/>
      <c r="AA1495" s="32" t="s">
        <v>8559</v>
      </c>
      <c r="AB1495" s="32"/>
      <c r="AC1495" s="38" t="str">
        <f aca="false">HYPERLINK("https://biocodex6--c.vf.force.com/0014L00000KIh5WQAT", "BINET LUKASZEWICZ ANNA MARIA")</f>
        <v>BINET LUKASZEWICZ ANNA MARIA</v>
      </c>
      <c r="AD1495" s="38"/>
      <c r="AE1495" s="39"/>
      <c r="AF1495" s="40"/>
      <c r="AG1495" s="41"/>
      <c r="AH1495" s="32" t="s">
        <v>179</v>
      </c>
      <c r="AI1495" s="32"/>
      <c r="AL1495" s="32"/>
      <c r="AM1495" s="32"/>
      <c r="AN1495" s="32"/>
      <c r="AO1495" s="32"/>
      <c r="AP1495" s="32"/>
      <c r="AQ1495" s="32"/>
      <c r="AR1495" s="32"/>
      <c r="AS1495" s="32"/>
      <c r="AT1495" s="32"/>
      <c r="AU1495" s="32"/>
      <c r="XEY1495" s="27"/>
      <c r="XEZ1495" s="27"/>
      <c r="XFA1495" s="27"/>
      <c r="XFB1495" s="27"/>
      <c r="XFC1495" s="27"/>
      <c r="XFD1495" s="27"/>
    </row>
    <row r="1496" s="42" customFormat="true" ht="14.15" hidden="false" customHeight="true" outlineLevel="0" collapsed="false">
      <c r="A1496" s="28" t="s">
        <v>8560</v>
      </c>
      <c r="B1496" s="29" t="s">
        <v>8561</v>
      </c>
      <c r="C1496" s="29" t="s">
        <v>8562</v>
      </c>
      <c r="D1496" s="30" t="s">
        <v>244</v>
      </c>
      <c r="E1496" s="30" t="s">
        <v>245</v>
      </c>
      <c r="F1496" s="32"/>
      <c r="G1496" s="31" t="s">
        <v>215</v>
      </c>
      <c r="H1496" s="31" t="n">
        <v>2</v>
      </c>
      <c r="I1496" s="31" t="s">
        <v>77</v>
      </c>
      <c r="J1496" s="29" t="s">
        <v>5738</v>
      </c>
      <c r="K1496" s="29" t="s">
        <v>5739</v>
      </c>
      <c r="L1496" s="32" t="n">
        <v>5</v>
      </c>
      <c r="M1496" s="33" t="s">
        <v>5740</v>
      </c>
      <c r="N1496" s="34" t="n">
        <v>92200</v>
      </c>
      <c r="O1496" s="35" t="s">
        <v>81</v>
      </c>
      <c r="P1496" s="36" t="s">
        <v>8563</v>
      </c>
      <c r="Q1496" s="36" t="n">
        <v>5</v>
      </c>
      <c r="R1496" s="32" t="n">
        <v>91</v>
      </c>
      <c r="S1496" s="32" t="n">
        <v>1</v>
      </c>
      <c r="T1496" s="32"/>
      <c r="U1496" s="32"/>
      <c r="V1496" s="37"/>
      <c r="W1496" s="32"/>
      <c r="X1496" s="34"/>
      <c r="Y1496" s="34"/>
      <c r="Z1496" s="36" t="s">
        <v>8564</v>
      </c>
      <c r="AA1496" s="32" t="s">
        <v>8565</v>
      </c>
      <c r="AB1496" s="32" t="s">
        <v>8566</v>
      </c>
      <c r="AC1496" s="38" t="str">
        <f aca="false">HYPERLINK("https://biocodex6--c.vf.force.com/0014L00000KFmk7QAD", "LEMAITRE JOUMANA")</f>
        <v>LEMAITRE JOUMANA</v>
      </c>
      <c r="AD1496" s="38" t="str">
        <f aca="false">HYPERLINK("https://annuairesante.ameli.fr/professionnels-de-sante/recherche/fiche-detaillee-CbA1lTMzNjuz.html", "LEMAITRE JOUMANA")</f>
        <v>LEMAITRE JOUMANA</v>
      </c>
      <c r="AE1496" s="39"/>
      <c r="AF1496" s="40"/>
      <c r="AG1496" s="41"/>
      <c r="AH1496" s="32" t="s">
        <v>179</v>
      </c>
      <c r="AI1496" s="32"/>
      <c r="AL1496" s="32"/>
      <c r="AM1496" s="32"/>
      <c r="AN1496" s="32"/>
      <c r="AO1496" s="32"/>
      <c r="AP1496" s="32"/>
      <c r="AQ1496" s="32"/>
      <c r="AR1496" s="32"/>
      <c r="AS1496" s="32"/>
      <c r="AT1496" s="32"/>
      <c r="AU1496" s="32"/>
      <c r="XEY1496" s="27"/>
      <c r="XEZ1496" s="27"/>
      <c r="XFA1496" s="27"/>
      <c r="XFB1496" s="27"/>
      <c r="XFC1496" s="27"/>
      <c r="XFD1496" s="27"/>
    </row>
    <row r="1497" s="42" customFormat="true" ht="14.15" hidden="false" customHeight="true" outlineLevel="0" collapsed="false">
      <c r="A1497" s="28" t="s">
        <v>8567</v>
      </c>
      <c r="B1497" s="29" t="s">
        <v>4191</v>
      </c>
      <c r="C1497" s="29" t="s">
        <v>8568</v>
      </c>
      <c r="D1497" s="30" t="s">
        <v>112</v>
      </c>
      <c r="E1497" s="31"/>
      <c r="F1497" s="32" t="n">
        <v>38</v>
      </c>
      <c r="G1497" s="31" t="s">
        <v>215</v>
      </c>
      <c r="H1497" s="31" t="n">
        <v>1</v>
      </c>
      <c r="I1497" s="31" t="s">
        <v>119</v>
      </c>
      <c r="J1497" s="29"/>
      <c r="K1497" s="29" t="s">
        <v>553</v>
      </c>
      <c r="L1497" s="32" t="n">
        <v>2</v>
      </c>
      <c r="M1497" s="33" t="s">
        <v>554</v>
      </c>
      <c r="N1497" s="34" t="n">
        <v>75007</v>
      </c>
      <c r="O1497" s="35" t="s">
        <v>55</v>
      </c>
      <c r="P1497" s="36" t="s">
        <v>7166</v>
      </c>
      <c r="Q1497" s="36" t="n">
        <v>5</v>
      </c>
      <c r="R1497" s="32" t="n">
        <v>90</v>
      </c>
      <c r="S1497" s="32" t="n">
        <v>1</v>
      </c>
      <c r="T1497" s="32"/>
      <c r="U1497" s="32"/>
      <c r="V1497" s="37"/>
      <c r="W1497" s="32"/>
      <c r="X1497" s="34"/>
      <c r="Y1497" s="34"/>
      <c r="Z1497" s="36"/>
      <c r="AA1497" s="32" t="s">
        <v>8569</v>
      </c>
      <c r="AB1497" s="32" t="s">
        <v>8570</v>
      </c>
      <c r="AC1497" s="38" t="str">
        <f aca="false">HYPERLINK("https://biocodex6--c.vf.force.com/0014L00000KFLdXQAX", "HONORE GOLDMAN NINA")</f>
        <v>HONORE GOLDMAN NINA</v>
      </c>
      <c r="AD1497" s="38" t="str">
        <f aca="false">HYPERLINK("https://annuairesante.ameli.fr/professionnels-de-sante/recherche/fiche-detaillee-B7c1kjA1ODC7.html", "HONORE GOLDMAN NINA")</f>
        <v>HONORE GOLDMAN NINA</v>
      </c>
      <c r="AE1497" s="39" t="n">
        <v>45208.5625</v>
      </c>
      <c r="AF1497" s="40"/>
      <c r="AG1497" s="41"/>
      <c r="AH1497" s="32" t="s">
        <v>179</v>
      </c>
      <c r="AI1497" s="32"/>
      <c r="AL1497" s="43" t="s">
        <v>85</v>
      </c>
      <c r="AM1497" s="43" t="s">
        <v>262</v>
      </c>
      <c r="AN1497" s="43" t="s">
        <v>85</v>
      </c>
      <c r="AO1497" s="43" t="s">
        <v>262</v>
      </c>
      <c r="AP1497" s="43" t="s">
        <v>85</v>
      </c>
      <c r="AQ1497" s="43" t="s">
        <v>262</v>
      </c>
      <c r="AR1497" s="43" t="s">
        <v>85</v>
      </c>
      <c r="AS1497" s="43" t="s">
        <v>262</v>
      </c>
      <c r="AT1497" s="43" t="s">
        <v>85</v>
      </c>
      <c r="AU1497" s="43" t="s">
        <v>262</v>
      </c>
      <c r="XEY1497" s="27"/>
      <c r="XEZ1497" s="27"/>
      <c r="XFA1497" s="27"/>
      <c r="XFB1497" s="27"/>
      <c r="XFC1497" s="27"/>
      <c r="XFD1497" s="27"/>
    </row>
    <row r="1498" s="42" customFormat="true" ht="14.15" hidden="false" customHeight="true" outlineLevel="0" collapsed="false">
      <c r="A1498" s="28" t="s">
        <v>3984</v>
      </c>
      <c r="B1498" s="29" t="s">
        <v>8571</v>
      </c>
      <c r="C1498" s="29" t="s">
        <v>8572</v>
      </c>
      <c r="D1498" s="30" t="s">
        <v>50</v>
      </c>
      <c r="E1498" s="31"/>
      <c r="F1498" s="32" t="n">
        <v>64</v>
      </c>
      <c r="G1498" s="31"/>
      <c r="H1498" s="31" t="n">
        <v>3</v>
      </c>
      <c r="I1498" s="31" t="s">
        <v>197</v>
      </c>
      <c r="J1498" s="29"/>
      <c r="K1498" s="29" t="s">
        <v>679</v>
      </c>
      <c r="L1498" s="32" t="n">
        <v>6</v>
      </c>
      <c r="M1498" s="33" t="s">
        <v>680</v>
      </c>
      <c r="N1498" s="34" t="n">
        <v>75017</v>
      </c>
      <c r="O1498" s="35" t="s">
        <v>55</v>
      </c>
      <c r="P1498" s="36" t="s">
        <v>8573</v>
      </c>
      <c r="Q1498" s="36" t="n">
        <v>2</v>
      </c>
      <c r="R1498" s="32" t="n">
        <v>90</v>
      </c>
      <c r="S1498" s="32" t="n">
        <v>1</v>
      </c>
      <c r="T1498" s="32"/>
      <c r="U1498" s="32"/>
      <c r="V1498" s="37"/>
      <c r="W1498" s="32"/>
      <c r="X1498" s="34"/>
      <c r="Y1498" s="34"/>
      <c r="Z1498" s="32"/>
      <c r="AA1498" s="32" t="s">
        <v>8574</v>
      </c>
      <c r="AB1498" s="32"/>
      <c r="AC1498" s="38" t="str">
        <f aca="false">HYPERLINK("https://biocodex6--c.vf.force.com/0014L00000KFnIKQA1", "LEVY VICTOR")</f>
        <v>LEVY VICTOR</v>
      </c>
      <c r="AD1498" s="38"/>
      <c r="AE1498" s="39"/>
      <c r="AF1498" s="40"/>
      <c r="AG1498" s="41"/>
      <c r="AH1498" s="32"/>
      <c r="AI1498" s="32"/>
      <c r="AL1498" s="32"/>
      <c r="AM1498" s="32"/>
      <c r="AN1498" s="32"/>
      <c r="AO1498" s="32"/>
      <c r="AP1498" s="32"/>
      <c r="AQ1498" s="32"/>
      <c r="AR1498" s="32"/>
      <c r="AS1498" s="32"/>
      <c r="AT1498" s="32"/>
      <c r="AU1498" s="32"/>
      <c r="XEY1498" s="27"/>
      <c r="XEZ1498" s="27"/>
      <c r="XFA1498" s="27"/>
      <c r="XFB1498" s="27"/>
      <c r="XFC1498" s="27"/>
      <c r="XFD1498" s="27"/>
    </row>
    <row r="1499" s="42" customFormat="true" ht="14.15" hidden="false" customHeight="true" outlineLevel="0" collapsed="false">
      <c r="A1499" s="28" t="s">
        <v>8575</v>
      </c>
      <c r="B1499" s="29" t="s">
        <v>8535</v>
      </c>
      <c r="C1499" s="29" t="s">
        <v>8576</v>
      </c>
      <c r="D1499" s="30" t="s">
        <v>244</v>
      </c>
      <c r="E1499" s="30" t="s">
        <v>245</v>
      </c>
      <c r="F1499" s="32" t="n">
        <v>37</v>
      </c>
      <c r="G1499" s="31" t="s">
        <v>215</v>
      </c>
      <c r="H1499" s="31" t="n">
        <v>2</v>
      </c>
      <c r="I1499" s="31" t="s">
        <v>197</v>
      </c>
      <c r="J1499" s="29"/>
      <c r="K1499" s="29" t="s">
        <v>7548</v>
      </c>
      <c r="L1499" s="32" t="n">
        <v>45</v>
      </c>
      <c r="M1499" s="33" t="s">
        <v>646</v>
      </c>
      <c r="N1499" s="34" t="n">
        <v>75017</v>
      </c>
      <c r="O1499" s="35" t="s">
        <v>55</v>
      </c>
      <c r="P1499" s="36" t="s">
        <v>7549</v>
      </c>
      <c r="Q1499" s="36" t="n">
        <v>2</v>
      </c>
      <c r="R1499" s="32" t="n">
        <v>90</v>
      </c>
      <c r="S1499" s="32" t="n">
        <v>1</v>
      </c>
      <c r="T1499" s="32"/>
      <c r="U1499" s="32"/>
      <c r="V1499" s="37"/>
      <c r="W1499" s="32"/>
      <c r="X1499" s="34"/>
      <c r="Y1499" s="34"/>
      <c r="Z1499" s="36"/>
      <c r="AA1499" s="32" t="s">
        <v>8577</v>
      </c>
      <c r="AB1499" s="32" t="s">
        <v>8578</v>
      </c>
      <c r="AC1499" s="38" t="str">
        <f aca="false">HYPERLINK("https://biocodex6--c.vf.force.com/0014L00000KFPUZQA5", "CALVO JEREMY")</f>
        <v>CALVO JEREMY</v>
      </c>
      <c r="AD1499" s="38" t="str">
        <f aca="false">HYPERLINK("https://annuairesante.ameli.fr/professionnels-de-sante/recherche/fiche-detaillee-B7c1kjsyOTqy.html", "CALVO JEREMY")</f>
        <v>CALVO JEREMY</v>
      </c>
      <c r="AE1499" s="39"/>
      <c r="AF1499" s="40"/>
      <c r="AG1499" s="41"/>
      <c r="AH1499" s="32" t="s">
        <v>179</v>
      </c>
      <c r="AI1499" s="32"/>
      <c r="AL1499" s="43" t="s">
        <v>85</v>
      </c>
      <c r="AM1499" s="43" t="s">
        <v>137</v>
      </c>
      <c r="AN1499" s="43" t="s">
        <v>85</v>
      </c>
      <c r="AO1499" s="43" t="s">
        <v>137</v>
      </c>
      <c r="AP1499" s="43" t="s">
        <v>1065</v>
      </c>
      <c r="AQ1499" s="32"/>
      <c r="AR1499" s="32"/>
      <c r="AS1499" s="32"/>
      <c r="AT1499" s="43" t="s">
        <v>85</v>
      </c>
      <c r="AU1499" s="43" t="s">
        <v>262</v>
      </c>
      <c r="XEY1499" s="27"/>
      <c r="XEZ1499" s="27"/>
      <c r="XFA1499" s="27"/>
      <c r="XFB1499" s="27"/>
      <c r="XFC1499" s="27"/>
      <c r="XFD1499" s="27"/>
    </row>
    <row r="1500" s="42" customFormat="true" ht="14.15" hidden="false" customHeight="true" outlineLevel="0" collapsed="false">
      <c r="A1500" s="28" t="s">
        <v>8579</v>
      </c>
      <c r="B1500" s="29" t="s">
        <v>619</v>
      </c>
      <c r="C1500" s="29" t="s">
        <v>8580</v>
      </c>
      <c r="D1500" s="30" t="s">
        <v>172</v>
      </c>
      <c r="E1500" s="30" t="s">
        <v>818</v>
      </c>
      <c r="F1500" s="32" t="n">
        <v>62</v>
      </c>
      <c r="G1500" s="31"/>
      <c r="H1500" s="31" t="n">
        <v>1</v>
      </c>
      <c r="I1500" s="31" t="s">
        <v>295</v>
      </c>
      <c r="J1500" s="29"/>
      <c r="K1500" s="29" t="s">
        <v>5062</v>
      </c>
      <c r="L1500" s="32" t="n">
        <v>6</v>
      </c>
      <c r="M1500" s="33" t="s">
        <v>5063</v>
      </c>
      <c r="N1500" s="34" t="n">
        <v>92300</v>
      </c>
      <c r="O1500" s="35" t="s">
        <v>298</v>
      </c>
      <c r="P1500" s="36" t="s">
        <v>8581</v>
      </c>
      <c r="Q1500" s="36" t="n">
        <v>2</v>
      </c>
      <c r="R1500" s="32" t="n">
        <v>90</v>
      </c>
      <c r="S1500" s="32" t="n">
        <v>1</v>
      </c>
      <c r="T1500" s="43" t="s">
        <v>1107</v>
      </c>
      <c r="U1500" s="32" t="n">
        <v>3</v>
      </c>
      <c r="V1500" s="37" t="n">
        <v>3</v>
      </c>
      <c r="W1500" s="32"/>
      <c r="X1500" s="34"/>
      <c r="Y1500" s="34"/>
      <c r="Z1500" s="36"/>
      <c r="AA1500" s="32" t="s">
        <v>8582</v>
      </c>
      <c r="AB1500" s="32"/>
      <c r="AC1500" s="38" t="str">
        <f aca="false">HYPERLINK("https://biocodex6--c.vf.force.com/0014L00000KFhMeQAL", "GUENOUX CHARLES")</f>
        <v>GUENOUX CHARLES</v>
      </c>
      <c r="AD1500" s="38"/>
      <c r="AE1500" s="39"/>
      <c r="AF1500" s="40"/>
      <c r="AG1500" s="41"/>
      <c r="AH1500" s="32" t="s">
        <v>179</v>
      </c>
      <c r="AI1500" s="32"/>
      <c r="AL1500" s="32"/>
      <c r="AM1500" s="32"/>
      <c r="AN1500" s="32"/>
      <c r="AO1500" s="32"/>
      <c r="AP1500" s="32"/>
      <c r="AQ1500" s="32"/>
      <c r="AR1500" s="32"/>
      <c r="AS1500" s="32"/>
      <c r="AT1500" s="32"/>
      <c r="AU1500" s="32"/>
      <c r="XEY1500" s="27"/>
      <c r="XEZ1500" s="27"/>
      <c r="XFA1500" s="27"/>
      <c r="XFB1500" s="27"/>
      <c r="XFC1500" s="27"/>
      <c r="XFD1500" s="27"/>
    </row>
    <row r="1501" s="42" customFormat="true" ht="14.15" hidden="false" customHeight="true" outlineLevel="0" collapsed="false">
      <c r="A1501" s="28" t="s">
        <v>8583</v>
      </c>
      <c r="B1501" s="29" t="s">
        <v>195</v>
      </c>
      <c r="C1501" s="29" t="s">
        <v>8584</v>
      </c>
      <c r="D1501" s="30" t="s">
        <v>75</v>
      </c>
      <c r="E1501" s="30" t="s">
        <v>818</v>
      </c>
      <c r="F1501" s="32" t="n">
        <v>71</v>
      </c>
      <c r="G1501" s="31"/>
      <c r="H1501" s="31" t="n">
        <v>1</v>
      </c>
      <c r="I1501" s="31" t="s">
        <v>233</v>
      </c>
      <c r="J1501" s="29"/>
      <c r="K1501" s="29" t="s">
        <v>8036</v>
      </c>
      <c r="L1501" s="32" t="n">
        <v>136</v>
      </c>
      <c r="M1501" s="33" t="s">
        <v>588</v>
      </c>
      <c r="N1501" s="34" t="n">
        <v>75015</v>
      </c>
      <c r="O1501" s="35" t="s">
        <v>55</v>
      </c>
      <c r="P1501" s="36"/>
      <c r="Q1501" s="36" t="n">
        <v>3</v>
      </c>
      <c r="R1501" s="32" t="n">
        <v>89</v>
      </c>
      <c r="S1501" s="32" t="n">
        <v>1</v>
      </c>
      <c r="T1501" s="32"/>
      <c r="U1501" s="32"/>
      <c r="V1501" s="37"/>
      <c r="W1501" s="32"/>
      <c r="X1501" s="34"/>
      <c r="Y1501" s="34"/>
      <c r="Z1501" s="36"/>
      <c r="AA1501" s="32" t="s">
        <v>8585</v>
      </c>
      <c r="AB1501" s="32"/>
      <c r="AC1501" s="38" t="str">
        <f aca="false">HYPERLINK("https://biocodex6--c.vf.force.com/0014L00000KFrRmQAL", "MERIGOT DE TREIGNY PHILIPPE")</f>
        <v>MERIGOT DE TREIGNY PHILIPPE</v>
      </c>
      <c r="AD1501" s="38"/>
      <c r="AE1501" s="39"/>
      <c r="AF1501" s="40"/>
      <c r="AG1501" s="41"/>
      <c r="AH1501" s="32" t="s">
        <v>179</v>
      </c>
      <c r="AI1501" s="32"/>
      <c r="AL1501" s="32"/>
      <c r="AM1501" s="32"/>
      <c r="AN1501" s="32"/>
      <c r="AO1501" s="32"/>
      <c r="AP1501" s="32"/>
      <c r="AQ1501" s="32"/>
      <c r="AR1501" s="32"/>
      <c r="AS1501" s="32"/>
      <c r="AT1501" s="32"/>
      <c r="AU1501" s="32"/>
      <c r="XEY1501" s="27"/>
      <c r="XEZ1501" s="27"/>
      <c r="XFA1501" s="27"/>
      <c r="XFB1501" s="27"/>
      <c r="XFC1501" s="27"/>
      <c r="XFD1501" s="27"/>
    </row>
    <row r="1502" s="42" customFormat="true" ht="14.15" hidden="false" customHeight="true" outlineLevel="0" collapsed="false">
      <c r="A1502" s="28" t="s">
        <v>2595</v>
      </c>
      <c r="B1502" s="29" t="s">
        <v>2827</v>
      </c>
      <c r="C1502" s="29" t="s">
        <v>8586</v>
      </c>
      <c r="D1502" s="30" t="s">
        <v>112</v>
      </c>
      <c r="E1502" s="31"/>
      <c r="F1502" s="32" t="n">
        <v>67</v>
      </c>
      <c r="G1502" s="31" t="s">
        <v>215</v>
      </c>
      <c r="H1502" s="31" t="n">
        <v>1</v>
      </c>
      <c r="I1502" s="31" t="s">
        <v>387</v>
      </c>
      <c r="J1502" s="29"/>
      <c r="K1502" s="29" t="s">
        <v>8587</v>
      </c>
      <c r="L1502" s="32" t="n">
        <v>75</v>
      </c>
      <c r="M1502" s="33" t="s">
        <v>1627</v>
      </c>
      <c r="N1502" s="34" t="n">
        <v>75016</v>
      </c>
      <c r="O1502" s="35" t="s">
        <v>55</v>
      </c>
      <c r="P1502" s="36" t="s">
        <v>8588</v>
      </c>
      <c r="Q1502" s="36" t="n">
        <v>1</v>
      </c>
      <c r="R1502" s="32" t="n">
        <v>88</v>
      </c>
      <c r="S1502" s="32" t="n">
        <v>1</v>
      </c>
      <c r="T1502" s="32"/>
      <c r="U1502" s="32"/>
      <c r="V1502" s="37"/>
      <c r="W1502" s="32"/>
      <c r="X1502" s="34"/>
      <c r="Y1502" s="34"/>
      <c r="Z1502" s="32"/>
      <c r="AA1502" s="32" t="s">
        <v>8589</v>
      </c>
      <c r="AB1502" s="32" t="s">
        <v>8590</v>
      </c>
      <c r="AC1502" s="38" t="str">
        <f aca="false">HYPERLINK("https://biocodex6--c.vf.force.com/0014L00000KFlnyQAD", "LAMBERTI ELENA")</f>
        <v>LAMBERTI ELENA</v>
      </c>
      <c r="AD1502" s="38" t="str">
        <f aca="false">HYPERLINK("https://annuairesante.ameli.fr/professionnels-de-sante/recherche/fiche-detaillee-B7c1ljsxOTK3.html", "LAMBERTI ELENA")</f>
        <v>LAMBERTI ELENA</v>
      </c>
      <c r="AE1502" s="39" t="n">
        <v>45253.4791666667</v>
      </c>
      <c r="AF1502" s="40"/>
      <c r="AG1502" s="41"/>
      <c r="AH1502" s="36"/>
      <c r="AI1502" s="32"/>
      <c r="AL1502" s="32"/>
      <c r="AM1502" s="32"/>
      <c r="AN1502" s="32"/>
      <c r="AO1502" s="32"/>
      <c r="AP1502" s="32"/>
      <c r="AQ1502" s="32"/>
      <c r="AR1502" s="32"/>
      <c r="AS1502" s="32"/>
      <c r="AT1502" s="32"/>
      <c r="AU1502" s="32"/>
      <c r="XEY1502" s="27"/>
      <c r="XEZ1502" s="27"/>
      <c r="XFA1502" s="27"/>
      <c r="XFB1502" s="27"/>
      <c r="XFC1502" s="27"/>
      <c r="XFD1502" s="27"/>
    </row>
    <row r="1503" s="42" customFormat="true" ht="14.15" hidden="false" customHeight="true" outlineLevel="0" collapsed="false">
      <c r="A1503" s="28" t="s">
        <v>8591</v>
      </c>
      <c r="B1503" s="29" t="s">
        <v>4542</v>
      </c>
      <c r="C1503" s="29" t="s">
        <v>8592</v>
      </c>
      <c r="D1503" s="30" t="s">
        <v>244</v>
      </c>
      <c r="E1503" s="30" t="s">
        <v>245</v>
      </c>
      <c r="F1503" s="32" t="n">
        <v>71</v>
      </c>
      <c r="G1503" s="31" t="s">
        <v>215</v>
      </c>
      <c r="H1503" s="31" t="n">
        <v>1</v>
      </c>
      <c r="I1503" s="31" t="s">
        <v>62</v>
      </c>
      <c r="J1503" s="29"/>
      <c r="K1503" s="29" t="s">
        <v>8593</v>
      </c>
      <c r="L1503" s="32" t="n">
        <v>112</v>
      </c>
      <c r="M1503" s="33" t="s">
        <v>4230</v>
      </c>
      <c r="N1503" s="34" t="n">
        <v>75017</v>
      </c>
      <c r="O1503" s="35" t="s">
        <v>55</v>
      </c>
      <c r="P1503" s="36" t="s">
        <v>8594</v>
      </c>
      <c r="Q1503" s="36" t="n">
        <v>1</v>
      </c>
      <c r="R1503" s="32" t="n">
        <v>88</v>
      </c>
      <c r="S1503" s="32" t="n">
        <v>1</v>
      </c>
      <c r="T1503" s="32"/>
      <c r="U1503" s="32"/>
      <c r="V1503" s="37"/>
      <c r="W1503" s="32"/>
      <c r="X1503" s="34"/>
      <c r="Y1503" s="34"/>
      <c r="Z1503" s="36"/>
      <c r="AA1503" s="32" t="s">
        <v>8595</v>
      </c>
      <c r="AB1503" s="32" t="s">
        <v>8596</v>
      </c>
      <c r="AC1503" s="38" t="str">
        <f aca="false">HYPERLINK("https://biocodex6--c.vf.force.com/0014L00000KG5LxQAL", "VINCENTI BOSCHI OLIVIA")</f>
        <v>VINCENTI BOSCHI OLIVIA</v>
      </c>
      <c r="AD1503" s="38" t="str">
        <f aca="false">HYPERLINK("https://annuairesante.ameli.fr/professionnels-de-sante/recherche/fiche-detaillee-B7c1ljQ5NDWz.html", "VINCENTI BOSCHI OLIVIA")</f>
        <v>VINCENTI BOSCHI OLIVIA</v>
      </c>
      <c r="AE1503" s="39"/>
      <c r="AF1503" s="40"/>
      <c r="AG1503" s="41"/>
      <c r="AH1503" s="32" t="s">
        <v>179</v>
      </c>
      <c r="AI1503" s="32"/>
      <c r="AL1503" s="32"/>
      <c r="AM1503" s="32"/>
      <c r="AN1503" s="32"/>
      <c r="AO1503" s="32"/>
      <c r="AP1503" s="32"/>
      <c r="AQ1503" s="32"/>
      <c r="AR1503" s="32"/>
      <c r="AS1503" s="32"/>
      <c r="AT1503" s="32"/>
      <c r="AU1503" s="32"/>
      <c r="XEY1503" s="27"/>
      <c r="XEZ1503" s="27"/>
      <c r="XFA1503" s="27"/>
      <c r="XFB1503" s="27"/>
      <c r="XFC1503" s="27"/>
      <c r="XFD1503" s="27"/>
    </row>
    <row r="1504" s="42" customFormat="true" ht="14.15" hidden="false" customHeight="true" outlineLevel="0" collapsed="false">
      <c r="A1504" s="28" t="s">
        <v>8597</v>
      </c>
      <c r="B1504" s="29" t="s">
        <v>8598</v>
      </c>
      <c r="C1504" s="29" t="s">
        <v>8599</v>
      </c>
      <c r="D1504" s="30" t="s">
        <v>112</v>
      </c>
      <c r="E1504" s="30" t="s">
        <v>401</v>
      </c>
      <c r="F1504" s="32" t="n">
        <v>53</v>
      </c>
      <c r="G1504" s="31"/>
      <c r="H1504" s="31" t="n">
        <v>1</v>
      </c>
      <c r="I1504" s="31" t="s">
        <v>51</v>
      </c>
      <c r="J1504" s="29" t="s">
        <v>52</v>
      </c>
      <c r="K1504" s="29" t="s">
        <v>53</v>
      </c>
      <c r="L1504" s="32" t="n">
        <v>149</v>
      </c>
      <c r="M1504" s="33" t="s">
        <v>54</v>
      </c>
      <c r="N1504" s="34" t="n">
        <v>75015</v>
      </c>
      <c r="O1504" s="35" t="s">
        <v>55</v>
      </c>
      <c r="P1504" s="36" t="s">
        <v>1949</v>
      </c>
      <c r="Q1504" s="36" t="n">
        <v>236</v>
      </c>
      <c r="R1504" s="32" t="n">
        <v>86</v>
      </c>
      <c r="S1504" s="32" t="n">
        <v>1</v>
      </c>
      <c r="T1504" s="32"/>
      <c r="U1504" s="32"/>
      <c r="V1504" s="37"/>
      <c r="W1504" s="32"/>
      <c r="X1504" s="34"/>
      <c r="Y1504" s="34"/>
      <c r="Z1504" s="36"/>
      <c r="AA1504" s="32" t="s">
        <v>8600</v>
      </c>
      <c r="AB1504" s="32"/>
      <c r="AC1504" s="38" t="str">
        <f aca="false">HYPERLINK("https://biocodex6--c.vf.force.com/0014L00000KFVkYQAX", "BOUDJEMLINE YOUNES")</f>
        <v>BOUDJEMLINE YOUNES</v>
      </c>
      <c r="AD1504" s="38"/>
      <c r="AE1504" s="39"/>
      <c r="AF1504" s="40"/>
      <c r="AG1504" s="41"/>
      <c r="AH1504" s="32" t="s">
        <v>179</v>
      </c>
      <c r="AI1504" s="32"/>
      <c r="AL1504" s="32"/>
      <c r="AM1504" s="32"/>
      <c r="AN1504" s="32"/>
      <c r="AO1504" s="32"/>
      <c r="AP1504" s="32"/>
      <c r="AQ1504" s="32"/>
      <c r="AR1504" s="32"/>
      <c r="AS1504" s="32"/>
      <c r="AT1504" s="32"/>
      <c r="AU1504" s="32"/>
      <c r="XEY1504" s="27"/>
      <c r="XEZ1504" s="27"/>
      <c r="XFA1504" s="27"/>
      <c r="XFB1504" s="27"/>
      <c r="XFC1504" s="27"/>
      <c r="XFD1504" s="27"/>
    </row>
    <row r="1505" s="42" customFormat="true" ht="14.15" hidden="false" customHeight="true" outlineLevel="0" collapsed="false">
      <c r="A1505" s="28" t="s">
        <v>8601</v>
      </c>
      <c r="B1505" s="29" t="s">
        <v>1460</v>
      </c>
      <c r="C1505" s="29" t="s">
        <v>8602</v>
      </c>
      <c r="D1505" s="30" t="s">
        <v>50</v>
      </c>
      <c r="E1505" s="31"/>
      <c r="F1505" s="32" t="n">
        <v>37</v>
      </c>
      <c r="G1505" s="31" t="s">
        <v>98</v>
      </c>
      <c r="H1505" s="31" t="n">
        <v>1</v>
      </c>
      <c r="I1505" s="31" t="s">
        <v>233</v>
      </c>
      <c r="J1505" s="29"/>
      <c r="K1505" s="29" t="s">
        <v>8603</v>
      </c>
      <c r="L1505" s="32" t="n">
        <v>25</v>
      </c>
      <c r="M1505" s="33" t="s">
        <v>8604</v>
      </c>
      <c r="N1505" s="34" t="n">
        <v>75015</v>
      </c>
      <c r="O1505" s="35" t="s">
        <v>55</v>
      </c>
      <c r="P1505" s="36"/>
      <c r="Q1505" s="36" t="n">
        <v>1</v>
      </c>
      <c r="R1505" s="32" t="n">
        <v>86</v>
      </c>
      <c r="S1505" s="32" t="n">
        <v>1</v>
      </c>
      <c r="T1505" s="32"/>
      <c r="U1505" s="32"/>
      <c r="V1505" s="37"/>
      <c r="W1505" s="32"/>
      <c r="X1505" s="34"/>
      <c r="Y1505" s="34"/>
      <c r="Z1505" s="36"/>
      <c r="AA1505" s="32" t="s">
        <v>8605</v>
      </c>
      <c r="AB1505" s="32" t="s">
        <v>8606</v>
      </c>
      <c r="AC1505" s="38" t="str">
        <f aca="false">HYPERLINK("https://biocodex6--c.vf.force.com/0014L00000KG8TjQAL", "LEZMY BARACASSA AUDREY")</f>
        <v>LEZMY BARACASSA AUDREY</v>
      </c>
      <c r="AD1505" s="38" t="str">
        <f aca="false">HYPERLINK("https://annuairesante.ameli.fr/professionnels-de-sante/recherche/fiche-detaillee-B7c1kjowNTK0.html", "LEZMY BARACASSA AUDREY")</f>
        <v>LEZMY BARACASSA AUDREY</v>
      </c>
      <c r="AE1505" s="39"/>
      <c r="AF1505" s="40"/>
      <c r="AG1505" s="41"/>
      <c r="AH1505" s="32" t="s">
        <v>179</v>
      </c>
      <c r="AI1505" s="32"/>
      <c r="AL1505" s="43" t="s">
        <v>657</v>
      </c>
      <c r="AM1505" s="43" t="s">
        <v>137</v>
      </c>
      <c r="AN1505" s="43" t="s">
        <v>338</v>
      </c>
      <c r="AO1505" s="32"/>
      <c r="AP1505" s="43" t="s">
        <v>263</v>
      </c>
      <c r="AQ1505" s="43" t="s">
        <v>137</v>
      </c>
      <c r="AR1505" s="43" t="s">
        <v>639</v>
      </c>
      <c r="AS1505" s="43" t="s">
        <v>137</v>
      </c>
      <c r="AT1505" s="43" t="s">
        <v>338</v>
      </c>
      <c r="AU1505" s="32"/>
      <c r="XEY1505" s="27"/>
      <c r="XEZ1505" s="27"/>
      <c r="XFA1505" s="27"/>
      <c r="XFB1505" s="27"/>
      <c r="XFC1505" s="27"/>
      <c r="XFD1505" s="27"/>
    </row>
    <row r="1506" s="42" customFormat="true" ht="14.15" hidden="false" customHeight="true" outlineLevel="0" collapsed="false">
      <c r="A1506" s="28" t="s">
        <v>8607</v>
      </c>
      <c r="B1506" s="29" t="s">
        <v>8608</v>
      </c>
      <c r="C1506" s="29" t="s">
        <v>8609</v>
      </c>
      <c r="D1506" s="30" t="s">
        <v>75</v>
      </c>
      <c r="E1506" s="31"/>
      <c r="F1506" s="32" t="n">
        <v>59</v>
      </c>
      <c r="G1506" s="31"/>
      <c r="H1506" s="31" t="n">
        <v>2</v>
      </c>
      <c r="I1506" s="31" t="s">
        <v>51</v>
      </c>
      <c r="J1506" s="29" t="s">
        <v>52</v>
      </c>
      <c r="K1506" s="29" t="s">
        <v>53</v>
      </c>
      <c r="L1506" s="32" t="n">
        <v>149</v>
      </c>
      <c r="M1506" s="33" t="s">
        <v>54</v>
      </c>
      <c r="N1506" s="34" t="n">
        <v>75015</v>
      </c>
      <c r="O1506" s="35" t="s">
        <v>55</v>
      </c>
      <c r="P1506" s="36" t="s">
        <v>1807</v>
      </c>
      <c r="Q1506" s="36" t="n">
        <v>236</v>
      </c>
      <c r="R1506" s="32" t="n">
        <v>85</v>
      </c>
      <c r="S1506" s="32" t="n">
        <v>1</v>
      </c>
      <c r="T1506" s="32"/>
      <c r="U1506" s="32"/>
      <c r="V1506" s="37"/>
      <c r="W1506" s="32"/>
      <c r="X1506" s="34"/>
      <c r="Y1506" s="34"/>
      <c r="Z1506" s="36"/>
      <c r="AA1506" s="32" t="s">
        <v>8610</v>
      </c>
      <c r="AB1506" s="32"/>
      <c r="AC1506" s="38" t="str">
        <f aca="false">HYPERLINK("https://biocodex6--c.vf.force.com/0014L00000KG0QrQAL", "RUMMELE FRANK")</f>
        <v>RUMMELE FRANK</v>
      </c>
      <c r="AD1506" s="38"/>
      <c r="AE1506" s="39"/>
      <c r="AF1506" s="40"/>
      <c r="AG1506" s="41"/>
      <c r="AH1506" s="32" t="s">
        <v>179</v>
      </c>
      <c r="AI1506" s="32"/>
      <c r="AJ1506" s="42" t="s">
        <v>1809</v>
      </c>
      <c r="AL1506" s="32"/>
      <c r="AM1506" s="32"/>
      <c r="AN1506" s="32"/>
      <c r="AO1506" s="32"/>
      <c r="AP1506" s="32"/>
      <c r="AQ1506" s="32"/>
      <c r="AR1506" s="32"/>
      <c r="AS1506" s="32"/>
      <c r="AT1506" s="32"/>
      <c r="AU1506" s="32"/>
      <c r="XEY1506" s="27"/>
      <c r="XEZ1506" s="27"/>
      <c r="XFA1506" s="27"/>
      <c r="XFB1506" s="27"/>
      <c r="XFC1506" s="27"/>
      <c r="XFD1506" s="27"/>
    </row>
    <row r="1507" s="42" customFormat="true" ht="14.15" hidden="false" customHeight="true" outlineLevel="0" collapsed="false">
      <c r="A1507" s="28" t="s">
        <v>8611</v>
      </c>
      <c r="B1507" s="29" t="s">
        <v>320</v>
      </c>
      <c r="C1507" s="29" t="s">
        <v>8612</v>
      </c>
      <c r="D1507" s="30" t="s">
        <v>172</v>
      </c>
      <c r="E1507" s="31"/>
      <c r="F1507" s="32" t="n">
        <v>62</v>
      </c>
      <c r="G1507" s="31"/>
      <c r="H1507" s="31" t="n">
        <v>1</v>
      </c>
      <c r="I1507" s="31" t="s">
        <v>99</v>
      </c>
      <c r="J1507" s="29"/>
      <c r="K1507" s="29" t="s">
        <v>8613</v>
      </c>
      <c r="L1507" s="32" t="n">
        <v>7</v>
      </c>
      <c r="M1507" s="33" t="s">
        <v>1474</v>
      </c>
      <c r="N1507" s="34" t="n">
        <v>75015</v>
      </c>
      <c r="O1507" s="35" t="s">
        <v>55</v>
      </c>
      <c r="P1507" s="36" t="s">
        <v>8614</v>
      </c>
      <c r="Q1507" s="36" t="n">
        <v>1</v>
      </c>
      <c r="R1507" s="32" t="n">
        <v>85</v>
      </c>
      <c r="S1507" s="32" t="n">
        <v>1</v>
      </c>
      <c r="T1507" s="43" t="s">
        <v>4813</v>
      </c>
      <c r="U1507" s="32" t="n">
        <v>3</v>
      </c>
      <c r="V1507" s="37" t="n">
        <v>3</v>
      </c>
      <c r="W1507" s="32"/>
      <c r="X1507" s="34"/>
      <c r="Y1507" s="56"/>
      <c r="Z1507" s="32"/>
      <c r="AA1507" s="32" t="s">
        <v>8615</v>
      </c>
      <c r="AB1507" s="28"/>
      <c r="AC1507" s="38" t="str">
        <f aca="false">HYPERLINK("https://biocodex6--c.vf.force.com/0014L00000KFbJYQA1", "DRAI SERGE")</f>
        <v>DRAI SERGE</v>
      </c>
      <c r="AD1507" s="38"/>
      <c r="AE1507" s="39"/>
      <c r="AF1507" s="40"/>
      <c r="AG1507" s="41"/>
      <c r="AH1507" s="32" t="s">
        <v>156</v>
      </c>
      <c r="AI1507" s="32" t="s">
        <v>180</v>
      </c>
      <c r="AJ1507" s="42" t="s">
        <v>8616</v>
      </c>
      <c r="AK1507" s="42" t="s">
        <v>181</v>
      </c>
      <c r="AL1507" s="32"/>
      <c r="AM1507" s="32"/>
      <c r="AN1507" s="32"/>
      <c r="AO1507" s="32"/>
      <c r="AP1507" s="32"/>
      <c r="AQ1507" s="32"/>
      <c r="AR1507" s="32"/>
      <c r="AS1507" s="32"/>
      <c r="AT1507" s="32"/>
      <c r="AU1507" s="32"/>
      <c r="XEY1507" s="27"/>
      <c r="XEZ1507" s="27"/>
      <c r="XFA1507" s="27"/>
      <c r="XFB1507" s="27"/>
      <c r="XFC1507" s="27"/>
      <c r="XFD1507" s="27"/>
    </row>
    <row r="1508" s="42" customFormat="true" ht="14.15" hidden="false" customHeight="true" outlineLevel="0" collapsed="false">
      <c r="A1508" s="28" t="s">
        <v>8617</v>
      </c>
      <c r="B1508" s="29" t="s">
        <v>8618</v>
      </c>
      <c r="C1508" s="29" t="s">
        <v>8619</v>
      </c>
      <c r="D1508" s="30" t="s">
        <v>244</v>
      </c>
      <c r="E1508" s="30" t="s">
        <v>245</v>
      </c>
      <c r="F1508" s="32" t="n">
        <v>51</v>
      </c>
      <c r="G1508" s="31" t="s">
        <v>61</v>
      </c>
      <c r="H1508" s="31" t="n">
        <v>1</v>
      </c>
      <c r="I1508" s="31" t="s">
        <v>62</v>
      </c>
      <c r="J1508" s="29"/>
      <c r="K1508" s="29" t="s">
        <v>8620</v>
      </c>
      <c r="L1508" s="32" t="n">
        <v>187</v>
      </c>
      <c r="M1508" s="33" t="s">
        <v>1138</v>
      </c>
      <c r="N1508" s="34" t="n">
        <v>75017</v>
      </c>
      <c r="O1508" s="35" t="s">
        <v>55</v>
      </c>
      <c r="P1508" s="36" t="s">
        <v>8621</v>
      </c>
      <c r="Q1508" s="36" t="n">
        <v>2</v>
      </c>
      <c r="R1508" s="32" t="n">
        <v>85</v>
      </c>
      <c r="S1508" s="32" t="n">
        <v>1</v>
      </c>
      <c r="T1508" s="32"/>
      <c r="U1508" s="32"/>
      <c r="V1508" s="37"/>
      <c r="W1508" s="32"/>
      <c r="X1508" s="34"/>
      <c r="Y1508" s="34"/>
      <c r="Z1508" s="36" t="s">
        <v>8622</v>
      </c>
      <c r="AA1508" s="32" t="s">
        <v>8623</v>
      </c>
      <c r="AB1508" s="32" t="s">
        <v>8624</v>
      </c>
      <c r="AC1508" s="38" t="str">
        <f aca="false">HYPERLINK("https://biocodex6--c.vf.force.com/0014L00000KFiNSQA1", "KADDIOUI MAALEJ SAHAR")</f>
        <v>KADDIOUI MAALEJ SAHAR</v>
      </c>
      <c r="AD1508" s="38" t="str">
        <f aca="false">HYPERLINK("https://annuairesante.ameli.fr/professionnels-de-sante/recherche/fiche-detaillee-B7c1kzI0NzG3.html", "KADDIOUI MAALEJ SAHAR")</f>
        <v>KADDIOUI MAALEJ SAHAR</v>
      </c>
      <c r="AE1508" s="39"/>
      <c r="AF1508" s="40"/>
      <c r="AG1508" s="41"/>
      <c r="AH1508" s="32" t="s">
        <v>179</v>
      </c>
      <c r="AI1508" s="32"/>
      <c r="AL1508" s="43" t="s">
        <v>657</v>
      </c>
      <c r="AM1508" s="43" t="s">
        <v>2764</v>
      </c>
      <c r="AN1508" s="43" t="s">
        <v>657</v>
      </c>
      <c r="AO1508" s="43" t="s">
        <v>262</v>
      </c>
      <c r="AP1508" s="43" t="s">
        <v>657</v>
      </c>
      <c r="AQ1508" s="43" t="s">
        <v>262</v>
      </c>
      <c r="AR1508" s="43" t="s">
        <v>657</v>
      </c>
      <c r="AS1508" s="43" t="s">
        <v>192</v>
      </c>
      <c r="AT1508" s="43" t="s">
        <v>657</v>
      </c>
      <c r="AU1508" s="43" t="s">
        <v>262</v>
      </c>
      <c r="XEY1508" s="27"/>
      <c r="XEZ1508" s="27"/>
      <c r="XFA1508" s="27"/>
      <c r="XFB1508" s="27"/>
      <c r="XFC1508" s="27"/>
      <c r="XFD1508" s="27"/>
    </row>
    <row r="1509" s="42" customFormat="true" ht="14.15" hidden="false" customHeight="true" outlineLevel="0" collapsed="false">
      <c r="A1509" s="28" t="s">
        <v>8625</v>
      </c>
      <c r="B1509" s="29" t="s">
        <v>450</v>
      </c>
      <c r="C1509" s="29" t="s">
        <v>8626</v>
      </c>
      <c r="D1509" s="30" t="s">
        <v>112</v>
      </c>
      <c r="E1509" s="31"/>
      <c r="F1509" s="32" t="n">
        <v>71</v>
      </c>
      <c r="G1509" s="31"/>
      <c r="H1509" s="31" t="n">
        <v>1</v>
      </c>
      <c r="I1509" s="31" t="s">
        <v>51</v>
      </c>
      <c r="J1509" s="29" t="s">
        <v>2172</v>
      </c>
      <c r="K1509" s="29" t="s">
        <v>2173</v>
      </c>
      <c r="L1509" s="32" t="n">
        <v>2</v>
      </c>
      <c r="M1509" s="33" t="s">
        <v>2174</v>
      </c>
      <c r="N1509" s="34" t="n">
        <v>75015</v>
      </c>
      <c r="O1509" s="35" t="s">
        <v>55</v>
      </c>
      <c r="P1509" s="36"/>
      <c r="Q1509" s="36" t="n">
        <v>5</v>
      </c>
      <c r="R1509" s="32" t="n">
        <v>84</v>
      </c>
      <c r="S1509" s="32" t="n">
        <v>1</v>
      </c>
      <c r="T1509" s="32"/>
      <c r="U1509" s="32"/>
      <c r="V1509" s="37"/>
      <c r="W1509" s="32"/>
      <c r="X1509" s="34"/>
      <c r="Y1509" s="34"/>
      <c r="Z1509" s="36"/>
      <c r="AA1509" s="32" t="s">
        <v>8627</v>
      </c>
      <c r="AB1509" s="32"/>
      <c r="AC1509" s="38" t="str">
        <f aca="false">HYPERLINK("https://biocodex6--c.vf.force.com/0014L00000KFqzzQAD", "MAUVISSEAU BENEDICTE")</f>
        <v>MAUVISSEAU BENEDICTE</v>
      </c>
      <c r="AD1509" s="38"/>
      <c r="AE1509" s="39"/>
      <c r="AF1509" s="40"/>
      <c r="AG1509" s="41"/>
      <c r="AH1509" s="32" t="s">
        <v>179</v>
      </c>
      <c r="AI1509" s="32"/>
      <c r="AJ1509" s="42" t="s">
        <v>2175</v>
      </c>
      <c r="AL1509" s="32"/>
      <c r="AM1509" s="32"/>
      <c r="AN1509" s="32"/>
      <c r="AO1509" s="32"/>
      <c r="AP1509" s="32"/>
      <c r="AQ1509" s="32"/>
      <c r="AR1509" s="32"/>
      <c r="AS1509" s="32"/>
      <c r="AT1509" s="32"/>
      <c r="AU1509" s="32"/>
      <c r="XEY1509" s="27"/>
      <c r="XEZ1509" s="27"/>
      <c r="XFA1509" s="27"/>
      <c r="XFB1509" s="27"/>
      <c r="XFC1509" s="27"/>
      <c r="XFD1509" s="27"/>
    </row>
    <row r="1510" s="42" customFormat="true" ht="14.15" hidden="false" customHeight="true" outlineLevel="0" collapsed="false">
      <c r="A1510" s="28" t="s">
        <v>8628</v>
      </c>
      <c r="B1510" s="29" t="s">
        <v>1396</v>
      </c>
      <c r="C1510" s="29" t="s">
        <v>8629</v>
      </c>
      <c r="D1510" s="30" t="s">
        <v>244</v>
      </c>
      <c r="E1510" s="30" t="s">
        <v>245</v>
      </c>
      <c r="F1510" s="32" t="n">
        <v>48</v>
      </c>
      <c r="G1510" s="31" t="s">
        <v>215</v>
      </c>
      <c r="H1510" s="31" t="n">
        <v>1</v>
      </c>
      <c r="I1510" s="31" t="s">
        <v>51</v>
      </c>
      <c r="J1510" s="29"/>
      <c r="K1510" s="29" t="s">
        <v>8630</v>
      </c>
      <c r="L1510" s="32" t="n">
        <v>2</v>
      </c>
      <c r="M1510" s="33" t="s">
        <v>8631</v>
      </c>
      <c r="N1510" s="34" t="n">
        <v>75015</v>
      </c>
      <c r="O1510" s="35" t="s">
        <v>55</v>
      </c>
      <c r="P1510" s="36" t="s">
        <v>8632</v>
      </c>
      <c r="Q1510" s="36" t="n">
        <v>1</v>
      </c>
      <c r="R1510" s="32" t="n">
        <v>84</v>
      </c>
      <c r="S1510" s="32" t="n">
        <v>1</v>
      </c>
      <c r="T1510" s="32"/>
      <c r="U1510" s="32"/>
      <c r="V1510" s="37"/>
      <c r="W1510" s="32"/>
      <c r="X1510" s="34"/>
      <c r="Y1510" s="34"/>
      <c r="Z1510" s="36"/>
      <c r="AA1510" s="32" t="s">
        <v>8633</v>
      </c>
      <c r="AB1510" s="32" t="s">
        <v>8634</v>
      </c>
      <c r="AC1510" s="38" t="str">
        <f aca="false">HYPERLINK("https://biocodex6--c.vf.force.com/0014L00000KFdGUQA1", "GUILHERME ROMAIN")</f>
        <v>GUILHERME ROMAIN</v>
      </c>
      <c r="AD1510" s="38" t="str">
        <f aca="false">HYPERLINK("https://annuairesante.ameli.fr/professionnels-de-sante/recherche/fiche-detaillee-B7c1mzYwNTuw.html", "GUILHERME ROMAIN")</f>
        <v>GUILHERME ROMAIN</v>
      </c>
      <c r="AE1510" s="39"/>
      <c r="AF1510" s="40"/>
      <c r="AG1510" s="41"/>
      <c r="AH1510" s="32" t="s">
        <v>179</v>
      </c>
      <c r="AI1510" s="32"/>
      <c r="AL1510" s="43" t="s">
        <v>822</v>
      </c>
      <c r="AM1510" s="43" t="s">
        <v>262</v>
      </c>
      <c r="AN1510" s="43" t="s">
        <v>822</v>
      </c>
      <c r="AO1510" s="43" t="s">
        <v>262</v>
      </c>
      <c r="AP1510" s="43" t="s">
        <v>822</v>
      </c>
      <c r="AQ1510" s="43" t="s">
        <v>262</v>
      </c>
      <c r="AR1510" s="43" t="s">
        <v>822</v>
      </c>
      <c r="AS1510" s="43" t="s">
        <v>262</v>
      </c>
      <c r="AT1510" s="43" t="s">
        <v>822</v>
      </c>
      <c r="AU1510" s="43" t="s">
        <v>262</v>
      </c>
      <c r="XEY1510" s="27"/>
      <c r="XEZ1510" s="27"/>
      <c r="XFA1510" s="27"/>
      <c r="XFB1510" s="27"/>
      <c r="XFC1510" s="27"/>
      <c r="XFD1510" s="27"/>
    </row>
    <row r="1511" s="42" customFormat="true" ht="14.15" hidden="false" customHeight="true" outlineLevel="0" collapsed="false">
      <c r="A1511" s="28" t="s">
        <v>8635</v>
      </c>
      <c r="B1511" s="51" t="s">
        <v>936</v>
      </c>
      <c r="C1511" s="51" t="s">
        <v>8636</v>
      </c>
      <c r="D1511" s="30" t="s">
        <v>172</v>
      </c>
      <c r="E1511" s="30" t="s">
        <v>545</v>
      </c>
      <c r="F1511" s="32" t="n">
        <v>40</v>
      </c>
      <c r="G1511" s="31"/>
      <c r="H1511" s="31" t="n">
        <v>2</v>
      </c>
      <c r="I1511" s="31" t="s">
        <v>435</v>
      </c>
      <c r="J1511" s="29"/>
      <c r="K1511" s="29" t="s">
        <v>8637</v>
      </c>
      <c r="L1511" s="32" t="n">
        <v>52</v>
      </c>
      <c r="M1511" s="33" t="s">
        <v>8638</v>
      </c>
      <c r="N1511" s="34" t="n">
        <v>75116</v>
      </c>
      <c r="O1511" s="35" t="s">
        <v>55</v>
      </c>
      <c r="P1511" s="36" t="s">
        <v>8639</v>
      </c>
      <c r="Q1511" s="36" t="n">
        <v>1</v>
      </c>
      <c r="R1511" s="32" t="n">
        <v>84</v>
      </c>
      <c r="S1511" s="32" t="n">
        <v>1</v>
      </c>
      <c r="T1511" s="32"/>
      <c r="U1511" s="32"/>
      <c r="V1511" s="37"/>
      <c r="W1511" s="32"/>
      <c r="X1511" s="34"/>
      <c r="Y1511" s="34"/>
      <c r="Z1511" s="32"/>
      <c r="AA1511" s="32" t="s">
        <v>8640</v>
      </c>
      <c r="AB1511" s="44"/>
      <c r="AC1511" s="38" t="str">
        <f aca="false">HYPERLINK("https://biocodex6--c.vf.force.com/0014L00000KFKbuQAH", "LOEB EMMANUEL")</f>
        <v>LOEB EMMANUEL</v>
      </c>
      <c r="AD1511" s="38"/>
      <c r="AE1511" s="39"/>
      <c r="AF1511" s="40"/>
      <c r="AG1511" s="41"/>
      <c r="AH1511" s="32" t="s">
        <v>2191</v>
      </c>
      <c r="AI1511" s="32" t="s">
        <v>2191</v>
      </c>
      <c r="AJ1511" s="42" t="s">
        <v>8641</v>
      </c>
      <c r="AL1511" s="32"/>
      <c r="AM1511" s="32"/>
      <c r="AN1511" s="32"/>
      <c r="AO1511" s="32"/>
      <c r="AP1511" s="32"/>
      <c r="AQ1511" s="32"/>
      <c r="AR1511" s="32"/>
      <c r="AS1511" s="32"/>
      <c r="AT1511" s="32"/>
      <c r="AU1511" s="32"/>
      <c r="XEY1511" s="27"/>
      <c r="XEZ1511" s="27"/>
      <c r="XFA1511" s="27"/>
      <c r="XFB1511" s="27"/>
      <c r="XFC1511" s="27"/>
      <c r="XFD1511" s="27"/>
    </row>
    <row r="1512" s="42" customFormat="true" ht="14.15" hidden="false" customHeight="true" outlineLevel="0" collapsed="false">
      <c r="A1512" s="28" t="s">
        <v>8642</v>
      </c>
      <c r="B1512" s="29" t="s">
        <v>2679</v>
      </c>
      <c r="C1512" s="29" t="s">
        <v>8643</v>
      </c>
      <c r="D1512" s="30" t="s">
        <v>112</v>
      </c>
      <c r="E1512" s="31"/>
      <c r="F1512" s="32" t="n">
        <v>36</v>
      </c>
      <c r="G1512" s="31" t="s">
        <v>215</v>
      </c>
      <c r="H1512" s="31" t="n">
        <v>2</v>
      </c>
      <c r="I1512" s="31" t="s">
        <v>62</v>
      </c>
      <c r="J1512" s="29"/>
      <c r="K1512" s="29" t="s">
        <v>8644</v>
      </c>
      <c r="L1512" s="32" t="n">
        <v>73</v>
      </c>
      <c r="M1512" s="33" t="s">
        <v>4529</v>
      </c>
      <c r="N1512" s="34" t="n">
        <v>75017</v>
      </c>
      <c r="O1512" s="35" t="s">
        <v>55</v>
      </c>
      <c r="P1512" s="36" t="s">
        <v>1807</v>
      </c>
      <c r="Q1512" s="36" t="n">
        <v>1</v>
      </c>
      <c r="R1512" s="32" t="n">
        <v>84</v>
      </c>
      <c r="S1512" s="32" t="n">
        <v>1</v>
      </c>
      <c r="T1512" s="32"/>
      <c r="U1512" s="32"/>
      <c r="V1512" s="37"/>
      <c r="W1512" s="32"/>
      <c r="X1512" s="34"/>
      <c r="Y1512" s="34"/>
      <c r="Z1512" s="32"/>
      <c r="AA1512" s="32" t="s">
        <v>8645</v>
      </c>
      <c r="AB1512" s="32" t="s">
        <v>8646</v>
      </c>
      <c r="AC1512" s="38" t="str">
        <f aca="false">HYPERLINK("https://biocodex6--c.vf.force.com/0014L00000KFONQQA5", "ARTRU SOLENE")</f>
        <v>ARTRU SOLENE</v>
      </c>
      <c r="AD1512" s="38" t="str">
        <f aca="false">HYPERLINK("https://annuairesante.ameli.fr/professionnels-de-sante/recherche/fiche-detaillee-B7c1kjEwNjO6.html", "ARTRU SOLENE")</f>
        <v>ARTRU SOLENE</v>
      </c>
      <c r="AE1512" s="39"/>
      <c r="AF1512" s="40"/>
      <c r="AG1512" s="41"/>
      <c r="AH1512" s="32"/>
      <c r="AI1512" s="32"/>
      <c r="AL1512" s="43" t="s">
        <v>657</v>
      </c>
      <c r="AM1512" s="43" t="s">
        <v>137</v>
      </c>
      <c r="AN1512" s="43" t="s">
        <v>657</v>
      </c>
      <c r="AO1512" s="43" t="s">
        <v>137</v>
      </c>
      <c r="AP1512" s="43" t="s">
        <v>657</v>
      </c>
      <c r="AQ1512" s="43" t="s">
        <v>137</v>
      </c>
      <c r="AR1512" s="43" t="s">
        <v>657</v>
      </c>
      <c r="AS1512" s="43" t="s">
        <v>137</v>
      </c>
      <c r="AT1512" s="43" t="s">
        <v>657</v>
      </c>
      <c r="AU1512" s="43" t="s">
        <v>137</v>
      </c>
      <c r="XEY1512" s="27"/>
      <c r="XEZ1512" s="27"/>
      <c r="XFA1512" s="27"/>
      <c r="XFB1512" s="27"/>
      <c r="XFC1512" s="27"/>
      <c r="XFD1512" s="27"/>
    </row>
    <row r="1513" s="42" customFormat="true" ht="14.15" hidden="false" customHeight="true" outlineLevel="0" collapsed="false">
      <c r="A1513" s="28" t="s">
        <v>8647</v>
      </c>
      <c r="B1513" s="29" t="s">
        <v>1479</v>
      </c>
      <c r="C1513" s="29" t="s">
        <v>8648</v>
      </c>
      <c r="D1513" s="30" t="s">
        <v>1103</v>
      </c>
      <c r="E1513" s="31"/>
      <c r="F1513" s="32" t="n">
        <v>53</v>
      </c>
      <c r="G1513" s="31"/>
      <c r="H1513" s="31" t="n">
        <v>1</v>
      </c>
      <c r="I1513" s="31" t="s">
        <v>119</v>
      </c>
      <c r="J1513" s="29"/>
      <c r="K1513" s="29" t="s">
        <v>8649</v>
      </c>
      <c r="L1513" s="32" t="n">
        <v>79</v>
      </c>
      <c r="M1513" s="33" t="s">
        <v>1213</v>
      </c>
      <c r="N1513" s="34" t="n">
        <v>75007</v>
      </c>
      <c r="O1513" s="35" t="s">
        <v>55</v>
      </c>
      <c r="P1513" s="36"/>
      <c r="Q1513" s="36" t="n">
        <v>1</v>
      </c>
      <c r="R1513" s="32" t="n">
        <v>82</v>
      </c>
      <c r="S1513" s="32" t="n">
        <v>1</v>
      </c>
      <c r="T1513" s="43" t="s">
        <v>316</v>
      </c>
      <c r="U1513" s="32"/>
      <c r="V1513" s="37"/>
      <c r="W1513" s="32"/>
      <c r="X1513" s="34"/>
      <c r="Y1513" s="34"/>
      <c r="Z1513" s="32"/>
      <c r="AA1513" s="32" t="s">
        <v>8650</v>
      </c>
      <c r="AB1513" s="32"/>
      <c r="AC1513" s="38" t="str">
        <f aca="false">HYPERLINK("https://biocodex6--c.vf.force.com/0014L00000KFqPDQA1", "BESSIS JUDITH")</f>
        <v>BESSIS JUDITH</v>
      </c>
      <c r="AD1513" s="38"/>
      <c r="AE1513" s="39"/>
      <c r="AF1513" s="40"/>
      <c r="AG1513" s="41"/>
      <c r="AH1513" s="32"/>
      <c r="AI1513" s="32"/>
      <c r="AL1513" s="32"/>
      <c r="AM1513" s="32"/>
      <c r="AN1513" s="32"/>
      <c r="AO1513" s="32"/>
      <c r="AP1513" s="32"/>
      <c r="AQ1513" s="32"/>
      <c r="AR1513" s="32"/>
      <c r="AS1513" s="32"/>
      <c r="AT1513" s="32"/>
      <c r="AU1513" s="32"/>
      <c r="XEY1513" s="27"/>
      <c r="XEZ1513" s="27"/>
      <c r="XFA1513" s="27"/>
      <c r="XFB1513" s="27"/>
      <c r="XFC1513" s="27"/>
      <c r="XFD1513" s="27"/>
    </row>
    <row r="1514" s="42" customFormat="true" ht="14.15" hidden="false" customHeight="true" outlineLevel="0" collapsed="false">
      <c r="A1514" s="28" t="s">
        <v>8651</v>
      </c>
      <c r="B1514" s="29" t="s">
        <v>8314</v>
      </c>
      <c r="C1514" s="29" t="s">
        <v>8652</v>
      </c>
      <c r="D1514" s="30" t="s">
        <v>112</v>
      </c>
      <c r="E1514" s="31"/>
      <c r="F1514" s="32" t="n">
        <v>0</v>
      </c>
      <c r="G1514" s="31"/>
      <c r="H1514" s="31" t="n">
        <v>1</v>
      </c>
      <c r="I1514" s="31" t="s">
        <v>51</v>
      </c>
      <c r="J1514" s="29" t="s">
        <v>52</v>
      </c>
      <c r="K1514" s="29" t="s">
        <v>53</v>
      </c>
      <c r="L1514" s="32" t="n">
        <v>149</v>
      </c>
      <c r="M1514" s="33" t="s">
        <v>54</v>
      </c>
      <c r="N1514" s="34" t="n">
        <v>75015</v>
      </c>
      <c r="O1514" s="35" t="s">
        <v>55</v>
      </c>
      <c r="P1514" s="36" t="s">
        <v>2723</v>
      </c>
      <c r="Q1514" s="36" t="n">
        <v>236</v>
      </c>
      <c r="R1514" s="32" t="n">
        <v>82</v>
      </c>
      <c r="S1514" s="32" t="n">
        <v>1</v>
      </c>
      <c r="T1514" s="32"/>
      <c r="U1514" s="32"/>
      <c r="V1514" s="37"/>
      <c r="W1514" s="32"/>
      <c r="X1514" s="34"/>
      <c r="Y1514" s="34"/>
      <c r="Z1514" s="36"/>
      <c r="AA1514" s="32"/>
      <c r="AB1514" s="32"/>
      <c r="AC1514" s="38"/>
      <c r="AD1514" s="38"/>
      <c r="AE1514" s="39"/>
      <c r="AF1514" s="40"/>
      <c r="AG1514" s="45"/>
      <c r="AH1514" s="32" t="s">
        <v>179</v>
      </c>
      <c r="AI1514" s="32"/>
      <c r="AL1514" s="32"/>
      <c r="AM1514" s="32"/>
      <c r="AN1514" s="32"/>
      <c r="AO1514" s="32"/>
      <c r="AP1514" s="32"/>
      <c r="AQ1514" s="32"/>
      <c r="AR1514" s="32"/>
      <c r="AS1514" s="32"/>
      <c r="AT1514" s="32"/>
      <c r="AU1514" s="32"/>
      <c r="XEY1514" s="27"/>
      <c r="XEZ1514" s="27"/>
      <c r="XFA1514" s="27"/>
      <c r="XFB1514" s="27"/>
      <c r="XFC1514" s="27"/>
      <c r="XFD1514" s="27"/>
    </row>
    <row r="1515" s="42" customFormat="true" ht="14.15" hidden="false" customHeight="true" outlineLevel="0" collapsed="false">
      <c r="A1515" s="28" t="s">
        <v>8653</v>
      </c>
      <c r="B1515" s="29" t="s">
        <v>4746</v>
      </c>
      <c r="C1515" s="29" t="s">
        <v>8654</v>
      </c>
      <c r="D1515" s="30" t="s">
        <v>112</v>
      </c>
      <c r="E1515" s="31"/>
      <c r="F1515" s="32" t="n">
        <v>51</v>
      </c>
      <c r="G1515" s="31"/>
      <c r="H1515" s="31" t="n">
        <v>1</v>
      </c>
      <c r="I1515" s="31" t="s">
        <v>295</v>
      </c>
      <c r="J1515" s="29" t="s">
        <v>489</v>
      </c>
      <c r="K1515" s="29" t="s">
        <v>490</v>
      </c>
      <c r="L1515" s="32" t="n">
        <v>3</v>
      </c>
      <c r="M1515" s="33" t="s">
        <v>491</v>
      </c>
      <c r="N1515" s="34" t="n">
        <v>92300</v>
      </c>
      <c r="O1515" s="35" t="s">
        <v>298</v>
      </c>
      <c r="P1515" s="36" t="s">
        <v>3402</v>
      </c>
      <c r="Q1515" s="36" t="n">
        <v>26</v>
      </c>
      <c r="R1515" s="32" t="n">
        <v>82</v>
      </c>
      <c r="S1515" s="32" t="n">
        <v>1</v>
      </c>
      <c r="T1515" s="32"/>
      <c r="U1515" s="32"/>
      <c r="V1515" s="37"/>
      <c r="W1515" s="32"/>
      <c r="X1515" s="34"/>
      <c r="Y1515" s="34"/>
      <c r="Z1515" s="36"/>
      <c r="AA1515" s="32" t="s">
        <v>8655</v>
      </c>
      <c r="AB1515" s="32"/>
      <c r="AC1515" s="38" t="str">
        <f aca="false">HYPERLINK("https://biocodex6--c.vf.force.com/0014L00000ht0Q6QAI", "MEAU PETIT VIRGINIE")</f>
        <v>MEAU PETIT VIRGINIE</v>
      </c>
      <c r="AD1515" s="38"/>
      <c r="AE1515" s="39"/>
      <c r="AF1515" s="40"/>
      <c r="AG1515" s="41"/>
      <c r="AH1515" s="32" t="s">
        <v>179</v>
      </c>
      <c r="AI1515" s="32"/>
      <c r="AL1515" s="32"/>
      <c r="AM1515" s="32"/>
      <c r="AN1515" s="32"/>
      <c r="AO1515" s="32"/>
      <c r="AP1515" s="32"/>
      <c r="AQ1515" s="32"/>
      <c r="AR1515" s="32"/>
      <c r="AS1515" s="32"/>
      <c r="AT1515" s="32"/>
      <c r="AU1515" s="32"/>
      <c r="XEY1515" s="27"/>
      <c r="XEZ1515" s="27"/>
      <c r="XFA1515" s="27"/>
      <c r="XFB1515" s="27"/>
      <c r="XFC1515" s="27"/>
      <c r="XFD1515" s="27"/>
    </row>
    <row r="1516" s="42" customFormat="true" ht="14.15" hidden="false" customHeight="true" outlineLevel="0" collapsed="false">
      <c r="A1516" s="28" t="s">
        <v>8656</v>
      </c>
      <c r="B1516" s="29" t="s">
        <v>204</v>
      </c>
      <c r="C1516" s="29" t="s">
        <v>8657</v>
      </c>
      <c r="D1516" s="30" t="s">
        <v>50</v>
      </c>
      <c r="E1516" s="31"/>
      <c r="F1516" s="32" t="n">
        <v>49</v>
      </c>
      <c r="G1516" s="31"/>
      <c r="H1516" s="31" t="n">
        <v>1</v>
      </c>
      <c r="I1516" s="31" t="s">
        <v>295</v>
      </c>
      <c r="J1516" s="29"/>
      <c r="K1516" s="29" t="s">
        <v>4014</v>
      </c>
      <c r="L1516" s="32" t="n">
        <v>72</v>
      </c>
      <c r="M1516" s="33" t="s">
        <v>2864</v>
      </c>
      <c r="N1516" s="34" t="n">
        <v>92300</v>
      </c>
      <c r="O1516" s="35" t="s">
        <v>298</v>
      </c>
      <c r="P1516" s="36" t="s">
        <v>4015</v>
      </c>
      <c r="Q1516" s="36" t="n">
        <v>4</v>
      </c>
      <c r="R1516" s="32" t="n">
        <v>81</v>
      </c>
      <c r="S1516" s="32" t="n">
        <v>1</v>
      </c>
      <c r="T1516" s="32"/>
      <c r="U1516" s="32"/>
      <c r="V1516" s="37"/>
      <c r="W1516" s="32"/>
      <c r="X1516" s="34"/>
      <c r="Y1516" s="34"/>
      <c r="Z1516" s="32"/>
      <c r="AA1516" s="32" t="s">
        <v>8658</v>
      </c>
      <c r="AB1516" s="32"/>
      <c r="AC1516" s="38" t="str">
        <f aca="false">HYPERLINK("https://biocodex6--c.vf.force.com/0014L00000KFvdeQAD", "PERALTA NATHALIE")</f>
        <v>PERALTA NATHALIE</v>
      </c>
      <c r="AD1516" s="38"/>
      <c r="AE1516" s="39" t="n">
        <v>45320.5</v>
      </c>
      <c r="AF1516" s="40" t="s">
        <v>8659</v>
      </c>
      <c r="AG1516" s="41"/>
      <c r="AH1516" s="32"/>
      <c r="AI1516" s="32"/>
      <c r="AL1516" s="32"/>
      <c r="AM1516" s="32"/>
      <c r="AN1516" s="32"/>
      <c r="AO1516" s="32"/>
      <c r="AP1516" s="32"/>
      <c r="AQ1516" s="32"/>
      <c r="AR1516" s="32"/>
      <c r="AS1516" s="32"/>
      <c r="AT1516" s="32"/>
      <c r="AU1516" s="32"/>
      <c r="XEY1516" s="27"/>
      <c r="XEZ1516" s="27"/>
      <c r="XFA1516" s="27"/>
      <c r="XFB1516" s="27"/>
      <c r="XFC1516" s="27"/>
      <c r="XFD1516" s="27"/>
    </row>
    <row r="1517" s="42" customFormat="true" ht="14.15" hidden="false" customHeight="true" outlineLevel="0" collapsed="false">
      <c r="A1517" s="28" t="s">
        <v>8660</v>
      </c>
      <c r="B1517" s="29" t="s">
        <v>8661</v>
      </c>
      <c r="C1517" s="29" t="s">
        <v>8662</v>
      </c>
      <c r="D1517" s="30" t="s">
        <v>50</v>
      </c>
      <c r="E1517" s="31"/>
      <c r="F1517" s="32" t="n">
        <v>37</v>
      </c>
      <c r="G1517" s="31"/>
      <c r="H1517" s="31" t="n">
        <v>1</v>
      </c>
      <c r="I1517" s="31" t="s">
        <v>99</v>
      </c>
      <c r="J1517" s="29"/>
      <c r="K1517" s="29" t="s">
        <v>770</v>
      </c>
      <c r="L1517" s="32" t="n">
        <v>31</v>
      </c>
      <c r="M1517" s="33" t="s">
        <v>469</v>
      </c>
      <c r="N1517" s="34" t="n">
        <v>75015</v>
      </c>
      <c r="O1517" s="35" t="s">
        <v>55</v>
      </c>
      <c r="P1517" s="36" t="s">
        <v>771</v>
      </c>
      <c r="Q1517" s="36" t="n">
        <v>2</v>
      </c>
      <c r="R1517" s="32" t="n">
        <v>81</v>
      </c>
      <c r="S1517" s="32" t="n">
        <v>1</v>
      </c>
      <c r="T1517" s="32"/>
      <c r="U1517" s="32"/>
      <c r="V1517" s="37"/>
      <c r="W1517" s="32"/>
      <c r="X1517" s="34"/>
      <c r="Y1517" s="34"/>
      <c r="Z1517" s="36"/>
      <c r="AA1517" s="32" t="s">
        <v>8663</v>
      </c>
      <c r="AB1517" s="32"/>
      <c r="AC1517" s="38" t="str">
        <f aca="false">HYPERLINK("https://biocodex6--c.vf.force.com/0014L00000KGBXqQAP", "SEBBAH NATHANAEL")</f>
        <v>SEBBAH NATHANAEL</v>
      </c>
      <c r="AD1517" s="38"/>
      <c r="AE1517" s="39"/>
      <c r="AF1517" s="40"/>
      <c r="AG1517" s="41"/>
      <c r="AH1517" s="32" t="s">
        <v>179</v>
      </c>
      <c r="AI1517" s="32"/>
      <c r="AL1517" s="32"/>
      <c r="AM1517" s="32"/>
      <c r="AN1517" s="32"/>
      <c r="AO1517" s="32"/>
      <c r="AP1517" s="32"/>
      <c r="AQ1517" s="32"/>
      <c r="AR1517" s="32"/>
      <c r="AS1517" s="32"/>
      <c r="AT1517" s="32"/>
      <c r="AU1517" s="32"/>
      <c r="XEY1517" s="27"/>
      <c r="XEZ1517" s="27"/>
      <c r="XFA1517" s="27"/>
      <c r="XFB1517" s="27"/>
      <c r="XFC1517" s="27"/>
      <c r="XFD1517" s="27"/>
    </row>
    <row r="1518" s="42" customFormat="true" ht="14.15" hidden="false" customHeight="true" outlineLevel="0" collapsed="false">
      <c r="A1518" s="28" t="s">
        <v>8664</v>
      </c>
      <c r="B1518" s="29" t="s">
        <v>1837</v>
      </c>
      <c r="C1518" s="29" t="s">
        <v>8665</v>
      </c>
      <c r="D1518" s="30" t="s">
        <v>50</v>
      </c>
      <c r="E1518" s="31"/>
      <c r="F1518" s="32" t="n">
        <v>35</v>
      </c>
      <c r="G1518" s="31"/>
      <c r="H1518" s="31" t="n">
        <v>1</v>
      </c>
      <c r="I1518" s="31" t="s">
        <v>99</v>
      </c>
      <c r="J1518" s="29"/>
      <c r="K1518" s="29" t="s">
        <v>960</v>
      </c>
      <c r="L1518" s="32" t="n">
        <v>146</v>
      </c>
      <c r="M1518" s="33" t="s">
        <v>961</v>
      </c>
      <c r="N1518" s="34" t="n">
        <v>75015</v>
      </c>
      <c r="O1518" s="35" t="s">
        <v>55</v>
      </c>
      <c r="P1518" s="36" t="s">
        <v>962</v>
      </c>
      <c r="Q1518" s="36" t="n">
        <v>2</v>
      </c>
      <c r="R1518" s="32" t="n">
        <v>81</v>
      </c>
      <c r="S1518" s="32" t="n">
        <v>1</v>
      </c>
      <c r="T1518" s="32"/>
      <c r="U1518" s="32"/>
      <c r="V1518" s="37"/>
      <c r="W1518" s="32"/>
      <c r="X1518" s="34"/>
      <c r="Y1518" s="34"/>
      <c r="Z1518" s="36"/>
      <c r="AA1518" s="32" t="s">
        <v>8666</v>
      </c>
      <c r="AB1518" s="32"/>
      <c r="AC1518" s="38" t="str">
        <f aca="false">HYPERLINK("https://biocodex6--c.vf.force.com/0014L00000KGC4hQAH", "DE VILLELE MARIE")</f>
        <v>DE VILLELE MARIE</v>
      </c>
      <c r="AD1518" s="38"/>
      <c r="AE1518" s="39"/>
      <c r="AF1518" s="40"/>
      <c r="AG1518" s="41"/>
      <c r="AH1518" s="32" t="s">
        <v>179</v>
      </c>
      <c r="AI1518" s="32"/>
      <c r="AL1518" s="32"/>
      <c r="AM1518" s="32"/>
      <c r="AN1518" s="32"/>
      <c r="AO1518" s="32"/>
      <c r="AP1518" s="32"/>
      <c r="AQ1518" s="32"/>
      <c r="AR1518" s="32"/>
      <c r="AS1518" s="32"/>
      <c r="AT1518" s="32"/>
      <c r="AU1518" s="32"/>
      <c r="XEY1518" s="27"/>
      <c r="XEZ1518" s="27"/>
      <c r="XFA1518" s="27"/>
      <c r="XFB1518" s="27"/>
      <c r="XFC1518" s="27"/>
      <c r="XFD1518" s="27"/>
    </row>
    <row r="1519" s="42" customFormat="true" ht="14.15" hidden="false" customHeight="true" outlineLevel="0" collapsed="false">
      <c r="A1519" s="28" t="s">
        <v>8667</v>
      </c>
      <c r="B1519" s="29" t="s">
        <v>8668</v>
      </c>
      <c r="C1519" s="29" t="s">
        <v>8669</v>
      </c>
      <c r="D1519" s="30" t="s">
        <v>50</v>
      </c>
      <c r="E1519" s="31"/>
      <c r="F1519" s="32" t="n">
        <v>57</v>
      </c>
      <c r="G1519" s="31"/>
      <c r="H1519" s="31" t="n">
        <v>1</v>
      </c>
      <c r="I1519" s="31" t="s">
        <v>99</v>
      </c>
      <c r="J1519" s="29"/>
      <c r="K1519" s="29" t="s">
        <v>5862</v>
      </c>
      <c r="L1519" s="32" t="n">
        <v>12</v>
      </c>
      <c r="M1519" s="33" t="s">
        <v>5281</v>
      </c>
      <c r="N1519" s="34" t="n">
        <v>75015</v>
      </c>
      <c r="O1519" s="35" t="s">
        <v>55</v>
      </c>
      <c r="P1519" s="36" t="s">
        <v>5863</v>
      </c>
      <c r="Q1519" s="36" t="n">
        <v>2</v>
      </c>
      <c r="R1519" s="32" t="n">
        <v>81</v>
      </c>
      <c r="S1519" s="32" t="n">
        <v>1</v>
      </c>
      <c r="T1519" s="32"/>
      <c r="U1519" s="32"/>
      <c r="V1519" s="37"/>
      <c r="W1519" s="32"/>
      <c r="X1519" s="34"/>
      <c r="Y1519" s="34"/>
      <c r="Z1519" s="36"/>
      <c r="AA1519" s="32" t="s">
        <v>8670</v>
      </c>
      <c r="AB1519" s="32"/>
      <c r="AC1519" s="38" t="str">
        <f aca="false">HYPERLINK("https://biocodex6--c.vf.force.com/0014L00000KFWZ3QAP", "DEL FRANCO GIOVANNI MICHEL")</f>
        <v>DEL FRANCO GIOVANNI MICHEL</v>
      </c>
      <c r="AD1519" s="38"/>
      <c r="AE1519" s="39"/>
      <c r="AF1519" s="40"/>
      <c r="AG1519" s="41"/>
      <c r="AH1519" s="32" t="s">
        <v>179</v>
      </c>
      <c r="AI1519" s="32"/>
      <c r="AL1519" s="32"/>
      <c r="AM1519" s="32"/>
      <c r="AN1519" s="32"/>
      <c r="AO1519" s="32"/>
      <c r="AP1519" s="32"/>
      <c r="AQ1519" s="32"/>
      <c r="AR1519" s="32"/>
      <c r="AS1519" s="32"/>
      <c r="AT1519" s="32"/>
      <c r="AU1519" s="32"/>
      <c r="XEY1519" s="27"/>
      <c r="XEZ1519" s="27"/>
      <c r="XFA1519" s="27"/>
      <c r="XFB1519" s="27"/>
      <c r="XFC1519" s="27"/>
      <c r="XFD1519" s="27"/>
    </row>
    <row r="1520" s="42" customFormat="true" ht="14.15" hidden="false" customHeight="true" outlineLevel="0" collapsed="false">
      <c r="A1520" s="28" t="s">
        <v>8671</v>
      </c>
      <c r="B1520" s="29" t="s">
        <v>8672</v>
      </c>
      <c r="C1520" s="29" t="s">
        <v>8673</v>
      </c>
      <c r="D1520" s="30" t="s">
        <v>112</v>
      </c>
      <c r="E1520" s="31"/>
      <c r="F1520" s="32" t="n">
        <v>36</v>
      </c>
      <c r="G1520" s="31"/>
      <c r="H1520" s="31" t="n">
        <v>1</v>
      </c>
      <c r="I1520" s="31" t="s">
        <v>51</v>
      </c>
      <c r="J1520" s="29" t="s">
        <v>52</v>
      </c>
      <c r="K1520" s="29" t="s">
        <v>53</v>
      </c>
      <c r="L1520" s="32" t="n">
        <v>149</v>
      </c>
      <c r="M1520" s="33" t="s">
        <v>54</v>
      </c>
      <c r="N1520" s="34" t="n">
        <v>75015</v>
      </c>
      <c r="O1520" s="35" t="s">
        <v>55</v>
      </c>
      <c r="P1520" s="36" t="s">
        <v>8674</v>
      </c>
      <c r="Q1520" s="36" t="n">
        <v>236</v>
      </c>
      <c r="R1520" s="32" t="n">
        <v>81</v>
      </c>
      <c r="S1520" s="32" t="n">
        <v>1</v>
      </c>
      <c r="T1520" s="32"/>
      <c r="U1520" s="32"/>
      <c r="V1520" s="37"/>
      <c r="W1520" s="32"/>
      <c r="X1520" s="34"/>
      <c r="Y1520" s="34"/>
      <c r="Z1520" s="36"/>
      <c r="AA1520" s="32" t="s">
        <v>8675</v>
      </c>
      <c r="AB1520" s="32"/>
      <c r="AC1520" s="38" t="str">
        <f aca="false">HYPERLINK("https://biocodex6--c.vf.force.com/0014L00000KFOwbQAH", "SCHINKEL LE NAGARD SOMNAH NELLY")</f>
        <v>SCHINKEL LE NAGARD SOMNAH NELLY</v>
      </c>
      <c r="AD1520" s="38"/>
      <c r="AE1520" s="39"/>
      <c r="AF1520" s="40"/>
      <c r="AG1520" s="41"/>
      <c r="AH1520" s="32" t="s">
        <v>179</v>
      </c>
      <c r="AI1520" s="32"/>
      <c r="AL1520" s="32"/>
      <c r="AM1520" s="32"/>
      <c r="AN1520" s="32"/>
      <c r="AO1520" s="32"/>
      <c r="AP1520" s="32"/>
      <c r="AQ1520" s="32"/>
      <c r="AR1520" s="32"/>
      <c r="AS1520" s="32"/>
      <c r="AT1520" s="32"/>
      <c r="AU1520" s="32"/>
      <c r="XEY1520" s="27"/>
      <c r="XEZ1520" s="27"/>
      <c r="XFA1520" s="27"/>
      <c r="XFB1520" s="27"/>
      <c r="XFC1520" s="27"/>
      <c r="XFD1520" s="27"/>
    </row>
    <row r="1521" s="42" customFormat="true" ht="14.15" hidden="false" customHeight="true" outlineLevel="0" collapsed="false">
      <c r="A1521" s="28" t="s">
        <v>8676</v>
      </c>
      <c r="B1521" s="29" t="s">
        <v>4407</v>
      </c>
      <c r="C1521" s="29" t="s">
        <v>8677</v>
      </c>
      <c r="D1521" s="30" t="s">
        <v>50</v>
      </c>
      <c r="E1521" s="31"/>
      <c r="F1521" s="32" t="n">
        <v>37</v>
      </c>
      <c r="G1521" s="31"/>
      <c r="H1521" s="31" t="n">
        <v>1</v>
      </c>
      <c r="I1521" s="31" t="s">
        <v>295</v>
      </c>
      <c r="J1521" s="29" t="s">
        <v>489</v>
      </c>
      <c r="K1521" s="29" t="s">
        <v>1183</v>
      </c>
      <c r="L1521" s="32" t="n">
        <v>4</v>
      </c>
      <c r="M1521" s="33" t="s">
        <v>297</v>
      </c>
      <c r="N1521" s="34" t="n">
        <v>92300</v>
      </c>
      <c r="O1521" s="35" t="s">
        <v>298</v>
      </c>
      <c r="P1521" s="36" t="s">
        <v>2623</v>
      </c>
      <c r="Q1521" s="36" t="n">
        <v>27</v>
      </c>
      <c r="R1521" s="32" t="n">
        <v>81</v>
      </c>
      <c r="S1521" s="32" t="n">
        <v>1</v>
      </c>
      <c r="T1521" s="32"/>
      <c r="U1521" s="32"/>
      <c r="V1521" s="37"/>
      <c r="W1521" s="32"/>
      <c r="X1521" s="34"/>
      <c r="Y1521" s="34"/>
      <c r="Z1521" s="36"/>
      <c r="AA1521" s="32" t="s">
        <v>8678</v>
      </c>
      <c r="AB1521" s="32"/>
      <c r="AC1521" s="38" t="str">
        <f aca="false">HYPERLINK("https://biocodex6--c.vf.force.com/0014L00000KFPwLQAX", "ROBELLAZ SIMON")</f>
        <v>ROBELLAZ SIMON</v>
      </c>
      <c r="AD1521" s="38"/>
      <c r="AE1521" s="39"/>
      <c r="AF1521" s="40"/>
      <c r="AG1521" s="41"/>
      <c r="AH1521" s="32" t="s">
        <v>179</v>
      </c>
      <c r="AI1521" s="32"/>
      <c r="AL1521" s="32"/>
      <c r="AM1521" s="32"/>
      <c r="AN1521" s="32"/>
      <c r="AO1521" s="32"/>
      <c r="AP1521" s="32"/>
      <c r="AQ1521" s="32"/>
      <c r="AR1521" s="32"/>
      <c r="AS1521" s="32"/>
      <c r="AT1521" s="32"/>
      <c r="AU1521" s="32"/>
      <c r="XEY1521" s="27"/>
      <c r="XEZ1521" s="27"/>
      <c r="XFA1521" s="27"/>
      <c r="XFB1521" s="27"/>
      <c r="XFC1521" s="27"/>
      <c r="XFD1521" s="27"/>
    </row>
    <row r="1522" s="42" customFormat="true" ht="14.15" hidden="false" customHeight="true" outlineLevel="0" collapsed="false">
      <c r="A1522" s="28" t="s">
        <v>8679</v>
      </c>
      <c r="B1522" s="29" t="s">
        <v>3724</v>
      </c>
      <c r="C1522" s="29" t="s">
        <v>8680</v>
      </c>
      <c r="D1522" s="30" t="s">
        <v>244</v>
      </c>
      <c r="E1522" s="30" t="s">
        <v>245</v>
      </c>
      <c r="F1522" s="32" t="n">
        <v>36</v>
      </c>
      <c r="G1522" s="31" t="s">
        <v>215</v>
      </c>
      <c r="H1522" s="31" t="n">
        <v>1</v>
      </c>
      <c r="I1522" s="31" t="s">
        <v>62</v>
      </c>
      <c r="J1522" s="29" t="s">
        <v>3407</v>
      </c>
      <c r="K1522" s="29" t="s">
        <v>3408</v>
      </c>
      <c r="L1522" s="32" t="n">
        <v>9</v>
      </c>
      <c r="M1522" s="33" t="s">
        <v>757</v>
      </c>
      <c r="N1522" s="34" t="n">
        <v>75017</v>
      </c>
      <c r="O1522" s="35" t="s">
        <v>55</v>
      </c>
      <c r="P1522" s="36" t="s">
        <v>8681</v>
      </c>
      <c r="Q1522" s="36" t="n">
        <v>5</v>
      </c>
      <c r="R1522" s="32" t="n">
        <v>80</v>
      </c>
      <c r="S1522" s="32" t="n">
        <v>1</v>
      </c>
      <c r="T1522" s="32"/>
      <c r="U1522" s="32"/>
      <c r="V1522" s="37"/>
      <c r="W1522" s="32" t="n">
        <v>3</v>
      </c>
      <c r="X1522" s="34"/>
      <c r="Y1522" s="34" t="n">
        <v>1</v>
      </c>
      <c r="Z1522" s="32"/>
      <c r="AA1522" s="32" t="s">
        <v>8682</v>
      </c>
      <c r="AB1522" s="44" t="s">
        <v>8683</v>
      </c>
      <c r="AC1522" s="38" t="str">
        <f aca="false">HYPERLINK("https://biocodex6--c.vf.force.com/0014L00000KFP4vQAH", "MAJOULET LAURENE")</f>
        <v>MAJOULET LAURENE</v>
      </c>
      <c r="AD1522" s="38" t="str">
        <f aca="false">HYPERLINK("https://annuairesante.ameli.fr/professionnels-de-sante/recherche/fiche-detaillee-B7c1kzI1NTGy.html", "MAJOULET LAURENE")</f>
        <v>MAJOULET LAURENE</v>
      </c>
      <c r="AE1522" s="39" t="n">
        <v>45215.5</v>
      </c>
      <c r="AF1522" s="40"/>
      <c r="AG1522" s="41"/>
      <c r="AH1522" s="32" t="s">
        <v>156</v>
      </c>
      <c r="AI1522" s="32" t="s">
        <v>180</v>
      </c>
      <c r="AJ1522" s="42" t="s">
        <v>8684</v>
      </c>
      <c r="AL1522" s="32"/>
      <c r="AM1522" s="32"/>
      <c r="AN1522" s="32"/>
      <c r="AO1522" s="32"/>
      <c r="AP1522" s="32"/>
      <c r="AQ1522" s="32"/>
      <c r="AR1522" s="32"/>
      <c r="AS1522" s="32"/>
      <c r="AT1522" s="32"/>
      <c r="AU1522" s="32"/>
      <c r="XEY1522" s="27"/>
      <c r="XEZ1522" s="27"/>
      <c r="XFA1522" s="27"/>
      <c r="XFB1522" s="27"/>
      <c r="XFC1522" s="27"/>
      <c r="XFD1522" s="27"/>
    </row>
    <row r="1523" s="42" customFormat="true" ht="14.15" hidden="false" customHeight="true" outlineLevel="0" collapsed="false">
      <c r="A1523" s="28" t="s">
        <v>8685</v>
      </c>
      <c r="B1523" s="29" t="s">
        <v>1766</v>
      </c>
      <c r="C1523" s="29" t="s">
        <v>8686</v>
      </c>
      <c r="D1523" s="30" t="s">
        <v>172</v>
      </c>
      <c r="E1523" s="30" t="s">
        <v>818</v>
      </c>
      <c r="F1523" s="32" t="n">
        <v>72</v>
      </c>
      <c r="G1523" s="31"/>
      <c r="H1523" s="31" t="n">
        <v>1</v>
      </c>
      <c r="I1523" s="31" t="s">
        <v>119</v>
      </c>
      <c r="J1523" s="29"/>
      <c r="K1523" s="29" t="s">
        <v>8687</v>
      </c>
      <c r="L1523" s="32" t="n">
        <v>68</v>
      </c>
      <c r="M1523" s="33" t="s">
        <v>8688</v>
      </c>
      <c r="N1523" s="34" t="n">
        <v>75007</v>
      </c>
      <c r="O1523" s="35" t="s">
        <v>55</v>
      </c>
      <c r="P1523" s="36" t="s">
        <v>8689</v>
      </c>
      <c r="Q1523" s="36" t="n">
        <v>1</v>
      </c>
      <c r="R1523" s="32" t="n">
        <v>80</v>
      </c>
      <c r="S1523" s="32" t="n">
        <v>1</v>
      </c>
      <c r="T1523" s="43" t="s">
        <v>316</v>
      </c>
      <c r="U1523" s="32"/>
      <c r="V1523" s="37"/>
      <c r="W1523" s="32"/>
      <c r="X1523" s="34"/>
      <c r="Y1523" s="34"/>
      <c r="Z1523" s="36"/>
      <c r="AA1523" s="32" t="s">
        <v>8690</v>
      </c>
      <c r="AB1523" s="32"/>
      <c r="AC1523" s="38" t="str">
        <f aca="false">HYPERLINK("https://biocodex6--c.vf.force.com/0014L00000KFkUsQAL", "KAMMERER FRANCOIS")</f>
        <v>KAMMERER FRANCOIS</v>
      </c>
      <c r="AD1523" s="38"/>
      <c r="AE1523" s="39"/>
      <c r="AF1523" s="40"/>
      <c r="AG1523" s="41"/>
      <c r="AH1523" s="32" t="s">
        <v>179</v>
      </c>
      <c r="AI1523" s="32"/>
      <c r="AL1523" s="32"/>
      <c r="AM1523" s="32"/>
      <c r="AN1523" s="32"/>
      <c r="AO1523" s="32"/>
      <c r="AP1523" s="32"/>
      <c r="AQ1523" s="32"/>
      <c r="AR1523" s="32"/>
      <c r="AS1523" s="32"/>
      <c r="AT1523" s="32"/>
      <c r="AU1523" s="32"/>
      <c r="XEY1523" s="27"/>
      <c r="XEZ1523" s="27"/>
      <c r="XFA1523" s="27"/>
      <c r="XFB1523" s="27"/>
      <c r="XFC1523" s="27"/>
      <c r="XFD1523" s="27"/>
    </row>
    <row r="1524" s="42" customFormat="true" ht="14.15" hidden="false" customHeight="true" outlineLevel="0" collapsed="false">
      <c r="A1524" s="28" t="s">
        <v>8691</v>
      </c>
      <c r="B1524" s="29" t="s">
        <v>8692</v>
      </c>
      <c r="C1524" s="29" t="s">
        <v>8693</v>
      </c>
      <c r="D1524" s="30" t="s">
        <v>172</v>
      </c>
      <c r="E1524" s="31"/>
      <c r="F1524" s="32" t="n">
        <v>41</v>
      </c>
      <c r="G1524" s="31"/>
      <c r="H1524" s="31" t="n">
        <v>1</v>
      </c>
      <c r="I1524" s="31" t="s">
        <v>51</v>
      </c>
      <c r="J1524" s="29" t="s">
        <v>52</v>
      </c>
      <c r="K1524" s="29" t="s">
        <v>53</v>
      </c>
      <c r="L1524" s="32" t="n">
        <v>149</v>
      </c>
      <c r="M1524" s="33" t="s">
        <v>54</v>
      </c>
      <c r="N1524" s="34" t="n">
        <v>75015</v>
      </c>
      <c r="O1524" s="35" t="s">
        <v>55</v>
      </c>
      <c r="P1524" s="36" t="s">
        <v>1609</v>
      </c>
      <c r="Q1524" s="36" t="n">
        <v>236</v>
      </c>
      <c r="R1524" s="32" t="n">
        <v>80</v>
      </c>
      <c r="S1524" s="32" t="n">
        <v>1</v>
      </c>
      <c r="T1524" s="43" t="s">
        <v>316</v>
      </c>
      <c r="U1524" s="32"/>
      <c r="V1524" s="37"/>
      <c r="W1524" s="32"/>
      <c r="X1524" s="34"/>
      <c r="Y1524" s="34"/>
      <c r="Z1524" s="36"/>
      <c r="AA1524" s="32" t="s">
        <v>8694</v>
      </c>
      <c r="AB1524" s="32"/>
      <c r="AC1524" s="38" t="str">
        <f aca="false">HYPERLINK("https://biocodex6--c.vf.force.com/0014L00000YtzuRQAR", "PIOT MARIE AUDE")</f>
        <v>PIOT MARIE AUDE</v>
      </c>
      <c r="AD1524" s="38"/>
      <c r="AE1524" s="39"/>
      <c r="AF1524" s="40"/>
      <c r="AG1524" s="41"/>
      <c r="AH1524" s="32" t="s">
        <v>179</v>
      </c>
      <c r="AI1524" s="32"/>
      <c r="AJ1524" s="42" t="s">
        <v>8695</v>
      </c>
      <c r="AL1524" s="32"/>
      <c r="AM1524" s="32"/>
      <c r="AN1524" s="32"/>
      <c r="AO1524" s="32"/>
      <c r="AP1524" s="32"/>
      <c r="AQ1524" s="32"/>
      <c r="AR1524" s="32"/>
      <c r="AS1524" s="32"/>
      <c r="AT1524" s="32"/>
      <c r="AU1524" s="32"/>
      <c r="XEY1524" s="27"/>
      <c r="XEZ1524" s="27"/>
      <c r="XFA1524" s="27"/>
      <c r="XFB1524" s="27"/>
      <c r="XFC1524" s="27"/>
      <c r="XFD1524" s="27"/>
    </row>
    <row r="1525" s="42" customFormat="true" ht="14.15" hidden="false" customHeight="true" outlineLevel="0" collapsed="false">
      <c r="A1525" s="28" t="s">
        <v>8696</v>
      </c>
      <c r="B1525" s="29" t="s">
        <v>958</v>
      </c>
      <c r="C1525" s="29" t="s">
        <v>8697</v>
      </c>
      <c r="D1525" s="30" t="s">
        <v>172</v>
      </c>
      <c r="E1525" s="30" t="s">
        <v>113</v>
      </c>
      <c r="F1525" s="32" t="n">
        <v>77</v>
      </c>
      <c r="G1525" s="31" t="s">
        <v>345</v>
      </c>
      <c r="H1525" s="31" t="n">
        <v>1</v>
      </c>
      <c r="I1525" s="31" t="s">
        <v>77</v>
      </c>
      <c r="J1525" s="29"/>
      <c r="K1525" s="29" t="s">
        <v>8698</v>
      </c>
      <c r="L1525" s="32" t="n">
        <v>9</v>
      </c>
      <c r="M1525" s="33" t="s">
        <v>8699</v>
      </c>
      <c r="N1525" s="34" t="n">
        <v>92200</v>
      </c>
      <c r="O1525" s="35" t="s">
        <v>81</v>
      </c>
      <c r="P1525" s="36" t="s">
        <v>8700</v>
      </c>
      <c r="Q1525" s="36" t="n">
        <v>1</v>
      </c>
      <c r="R1525" s="32" t="n">
        <v>80</v>
      </c>
      <c r="S1525" s="32" t="n">
        <v>1</v>
      </c>
      <c r="T1525" s="43" t="s">
        <v>316</v>
      </c>
      <c r="U1525" s="32"/>
      <c r="V1525" s="37"/>
      <c r="W1525" s="32"/>
      <c r="X1525" s="34"/>
      <c r="Y1525" s="34"/>
      <c r="Z1525" s="36"/>
      <c r="AA1525" s="32" t="s">
        <v>8701</v>
      </c>
      <c r="AB1525" s="32" t="s">
        <v>8702</v>
      </c>
      <c r="AC1525" s="38" t="str">
        <f aca="false">HYPERLINK("https://biocodex6--c.vf.force.com/0014L00000KFYKYQA5", "D ESCATHA PATRICK")</f>
        <v>D ESCATHA PATRICK</v>
      </c>
      <c r="AD1525" s="38" t="str">
        <f aca="false">HYPERLINK("https://annuairesante.ameli.fr/professionnels-de-sante/recherche/fiche-detaillee-CbA1kjYzNja2.html", "D ESCATHA PATRICK")</f>
        <v>D ESCATHA PATRICK</v>
      </c>
      <c r="AE1525" s="39"/>
      <c r="AF1525" s="40"/>
      <c r="AG1525" s="41"/>
      <c r="AH1525" s="32" t="s">
        <v>179</v>
      </c>
      <c r="AI1525" s="32"/>
      <c r="AL1525" s="32"/>
      <c r="AM1525" s="32"/>
      <c r="AN1525" s="32"/>
      <c r="AO1525" s="32"/>
      <c r="AP1525" s="32"/>
      <c r="AQ1525" s="32"/>
      <c r="AR1525" s="32"/>
      <c r="AS1525" s="32"/>
      <c r="AT1525" s="32"/>
      <c r="AU1525" s="32"/>
      <c r="XEY1525" s="27"/>
      <c r="XEZ1525" s="27"/>
      <c r="XFA1525" s="27"/>
      <c r="XFB1525" s="27"/>
      <c r="XFC1525" s="27"/>
      <c r="XFD1525" s="27"/>
    </row>
    <row r="1526" s="42" customFormat="true" ht="14.15" hidden="false" customHeight="true" outlineLevel="0" collapsed="false">
      <c r="A1526" s="28" t="s">
        <v>8703</v>
      </c>
      <c r="B1526" s="29" t="s">
        <v>8704</v>
      </c>
      <c r="C1526" s="29" t="s">
        <v>8705</v>
      </c>
      <c r="D1526" s="30" t="s">
        <v>112</v>
      </c>
      <c r="E1526" s="31"/>
      <c r="F1526" s="32" t="n">
        <v>50</v>
      </c>
      <c r="G1526" s="31"/>
      <c r="H1526" s="31" t="n">
        <v>2</v>
      </c>
      <c r="I1526" s="31" t="s">
        <v>99</v>
      </c>
      <c r="J1526" s="29"/>
      <c r="K1526" s="29" t="s">
        <v>8706</v>
      </c>
      <c r="L1526" s="32" t="n">
        <v>3</v>
      </c>
      <c r="M1526" s="33" t="s">
        <v>8707</v>
      </c>
      <c r="N1526" s="34" t="n">
        <v>75015</v>
      </c>
      <c r="O1526" s="35" t="s">
        <v>55</v>
      </c>
      <c r="P1526" s="36" t="s">
        <v>2666</v>
      </c>
      <c r="Q1526" s="36" t="n">
        <v>1</v>
      </c>
      <c r="R1526" s="32" t="n">
        <v>79</v>
      </c>
      <c r="S1526" s="32" t="n">
        <v>1</v>
      </c>
      <c r="T1526" s="32"/>
      <c r="U1526" s="32"/>
      <c r="V1526" s="37"/>
      <c r="W1526" s="32"/>
      <c r="X1526" s="34"/>
      <c r="Y1526" s="34"/>
      <c r="Z1526" s="36"/>
      <c r="AA1526" s="32" t="s">
        <v>8708</v>
      </c>
      <c r="AB1526" s="32"/>
      <c r="AC1526" s="38" t="str">
        <f aca="false">HYPERLINK("https://biocodex6--c.vf.force.com/0014L00000KG5l1QAD", "WALTER NICOLET ELIZABETH")</f>
        <v>WALTER NICOLET ELIZABETH</v>
      </c>
      <c r="AD1526" s="38"/>
      <c r="AE1526" s="39"/>
      <c r="AF1526" s="40"/>
      <c r="AG1526" s="41"/>
      <c r="AH1526" s="32" t="s">
        <v>179</v>
      </c>
      <c r="AI1526" s="32"/>
      <c r="AL1526" s="32"/>
      <c r="AM1526" s="32"/>
      <c r="AN1526" s="32"/>
      <c r="AO1526" s="32"/>
      <c r="AP1526" s="32"/>
      <c r="AQ1526" s="32"/>
      <c r="AR1526" s="32"/>
      <c r="AS1526" s="32"/>
      <c r="AT1526" s="32"/>
      <c r="AU1526" s="32"/>
      <c r="XEY1526" s="27"/>
      <c r="XEZ1526" s="27"/>
      <c r="XFA1526" s="27"/>
      <c r="XFB1526" s="27"/>
      <c r="XFC1526" s="27"/>
      <c r="XFD1526" s="27"/>
    </row>
    <row r="1527" s="42" customFormat="true" ht="14.15" hidden="false" customHeight="true" outlineLevel="0" collapsed="false">
      <c r="A1527" s="28" t="s">
        <v>8709</v>
      </c>
      <c r="B1527" s="29" t="s">
        <v>376</v>
      </c>
      <c r="C1527" s="29" t="s">
        <v>8710</v>
      </c>
      <c r="D1527" s="30" t="s">
        <v>112</v>
      </c>
      <c r="E1527" s="30" t="s">
        <v>1820</v>
      </c>
      <c r="F1527" s="32" t="n">
        <v>54</v>
      </c>
      <c r="G1527" s="31"/>
      <c r="H1527" s="31" t="n">
        <v>1</v>
      </c>
      <c r="I1527" s="31" t="s">
        <v>99</v>
      </c>
      <c r="J1527" s="29" t="s">
        <v>595</v>
      </c>
      <c r="K1527" s="29" t="s">
        <v>596</v>
      </c>
      <c r="L1527" s="32" t="n">
        <v>20</v>
      </c>
      <c r="M1527" s="33" t="s">
        <v>597</v>
      </c>
      <c r="N1527" s="34" t="n">
        <v>75015</v>
      </c>
      <c r="O1527" s="35" t="s">
        <v>55</v>
      </c>
      <c r="P1527" s="36" t="s">
        <v>8711</v>
      </c>
      <c r="Q1527" s="36" t="n">
        <v>90</v>
      </c>
      <c r="R1527" s="32" t="n">
        <v>79</v>
      </c>
      <c r="S1527" s="32" t="n">
        <v>1</v>
      </c>
      <c r="T1527" s="32"/>
      <c r="U1527" s="32"/>
      <c r="V1527" s="37"/>
      <c r="W1527" s="32"/>
      <c r="X1527" s="34"/>
      <c r="Y1527" s="34"/>
      <c r="Z1527" s="36"/>
      <c r="AA1527" s="32" t="s">
        <v>8712</v>
      </c>
      <c r="AB1527" s="32"/>
      <c r="AC1527" s="38" t="str">
        <f aca="false">HYPERLINK("https://biocodex6--c.vf.force.com/0014L00000KFSdTQAX", "BEYLOUNE ALEXANDRE")</f>
        <v>BEYLOUNE ALEXANDRE</v>
      </c>
      <c r="AD1527" s="38"/>
      <c r="AE1527" s="39"/>
      <c r="AF1527" s="40"/>
      <c r="AG1527" s="41"/>
      <c r="AH1527" s="32" t="s">
        <v>179</v>
      </c>
      <c r="AI1527" s="32"/>
      <c r="AL1527" s="32"/>
      <c r="AM1527" s="32"/>
      <c r="AN1527" s="32"/>
      <c r="AO1527" s="32"/>
      <c r="AP1527" s="32"/>
      <c r="AQ1527" s="32"/>
      <c r="AR1527" s="32"/>
      <c r="AS1527" s="32"/>
      <c r="AT1527" s="32"/>
      <c r="AU1527" s="32"/>
      <c r="XEY1527" s="27"/>
      <c r="XEZ1527" s="27"/>
      <c r="XFA1527" s="27"/>
      <c r="XFB1527" s="27"/>
      <c r="XFC1527" s="27"/>
      <c r="XFD1527" s="27"/>
    </row>
    <row r="1528" s="42" customFormat="true" ht="14.15" hidden="false" customHeight="true" outlineLevel="0" collapsed="false">
      <c r="A1528" s="28" t="s">
        <v>8713</v>
      </c>
      <c r="B1528" s="29" t="s">
        <v>2794</v>
      </c>
      <c r="C1528" s="29" t="s">
        <v>8714</v>
      </c>
      <c r="D1528" s="30" t="s">
        <v>112</v>
      </c>
      <c r="E1528" s="31"/>
      <c r="F1528" s="32" t="n">
        <v>65</v>
      </c>
      <c r="G1528" s="31"/>
      <c r="H1528" s="31" t="n">
        <v>1</v>
      </c>
      <c r="I1528" s="31" t="s">
        <v>51</v>
      </c>
      <c r="J1528" s="29" t="s">
        <v>2172</v>
      </c>
      <c r="K1528" s="29" t="s">
        <v>2173</v>
      </c>
      <c r="L1528" s="32" t="n">
        <v>2</v>
      </c>
      <c r="M1528" s="33" t="s">
        <v>2174</v>
      </c>
      <c r="N1528" s="34" t="n">
        <v>75015</v>
      </c>
      <c r="O1528" s="35" t="s">
        <v>55</v>
      </c>
      <c r="P1528" s="36"/>
      <c r="Q1528" s="36" t="n">
        <v>5</v>
      </c>
      <c r="R1528" s="32" t="n">
        <v>79</v>
      </c>
      <c r="S1528" s="32" t="n">
        <v>1</v>
      </c>
      <c r="T1528" s="32"/>
      <c r="U1528" s="32"/>
      <c r="V1528" s="37"/>
      <c r="W1528" s="32"/>
      <c r="X1528" s="34"/>
      <c r="Y1528" s="34"/>
      <c r="Z1528" s="36"/>
      <c r="AA1528" s="32" t="s">
        <v>8715</v>
      </c>
      <c r="AB1528" s="32"/>
      <c r="AC1528" s="38" t="str">
        <f aca="false">HYPERLINK("https://biocodex6--c.vf.force.com/0014L00000KG5CBQA1", "VILLEMAIN CLAIRE")</f>
        <v>VILLEMAIN CLAIRE</v>
      </c>
      <c r="AD1528" s="38"/>
      <c r="AE1528" s="39"/>
      <c r="AF1528" s="40"/>
      <c r="AG1528" s="41"/>
      <c r="AH1528" s="32" t="s">
        <v>179</v>
      </c>
      <c r="AI1528" s="32"/>
      <c r="AJ1528" s="42" t="s">
        <v>2175</v>
      </c>
      <c r="AL1528" s="32"/>
      <c r="AM1528" s="32"/>
      <c r="AN1528" s="32"/>
      <c r="AO1528" s="32"/>
      <c r="AP1528" s="32"/>
      <c r="AQ1528" s="32"/>
      <c r="AR1528" s="32"/>
      <c r="AS1528" s="32"/>
      <c r="AT1528" s="32"/>
      <c r="AU1528" s="32"/>
      <c r="XEY1528" s="27"/>
      <c r="XEZ1528" s="27"/>
      <c r="XFA1528" s="27"/>
      <c r="XFB1528" s="27"/>
      <c r="XFC1528" s="27"/>
      <c r="XFD1528" s="27"/>
    </row>
    <row r="1529" s="42" customFormat="true" ht="14.15" hidden="false" customHeight="true" outlineLevel="0" collapsed="false">
      <c r="A1529" s="28" t="s">
        <v>8716</v>
      </c>
      <c r="B1529" s="29" t="s">
        <v>8608</v>
      </c>
      <c r="C1529" s="29" t="s">
        <v>8717</v>
      </c>
      <c r="D1529" s="30" t="s">
        <v>172</v>
      </c>
      <c r="E1529" s="30" t="s">
        <v>818</v>
      </c>
      <c r="F1529" s="32" t="n">
        <v>65</v>
      </c>
      <c r="G1529" s="31"/>
      <c r="H1529" s="31" t="n">
        <v>4</v>
      </c>
      <c r="I1529" s="31" t="s">
        <v>99</v>
      </c>
      <c r="J1529" s="29"/>
      <c r="K1529" s="29" t="s">
        <v>8718</v>
      </c>
      <c r="L1529" s="32" t="n">
        <v>35</v>
      </c>
      <c r="M1529" s="33" t="s">
        <v>164</v>
      </c>
      <c r="N1529" s="34" t="n">
        <v>75015</v>
      </c>
      <c r="O1529" s="35" t="s">
        <v>55</v>
      </c>
      <c r="P1529" s="36" t="s">
        <v>8719</v>
      </c>
      <c r="Q1529" s="36" t="n">
        <v>1</v>
      </c>
      <c r="R1529" s="32" t="n">
        <v>78</v>
      </c>
      <c r="S1529" s="32" t="n">
        <v>1</v>
      </c>
      <c r="T1529" s="43" t="s">
        <v>316</v>
      </c>
      <c r="U1529" s="32"/>
      <c r="V1529" s="37"/>
      <c r="W1529" s="32"/>
      <c r="X1529" s="34"/>
      <c r="Y1529" s="34"/>
      <c r="Z1529" s="36"/>
      <c r="AA1529" s="32" t="s">
        <v>8720</v>
      </c>
      <c r="AB1529" s="32"/>
      <c r="AC1529" s="38" t="str">
        <f aca="false">HYPERLINK("https://biocodex6--c.vf.force.com/0014L00000KFTrZQAX", "BARNEL FRANK")</f>
        <v>BARNEL FRANK</v>
      </c>
      <c r="AD1529" s="38"/>
      <c r="AE1529" s="39"/>
      <c r="AF1529" s="40"/>
      <c r="AG1529" s="41"/>
      <c r="AH1529" s="32" t="s">
        <v>179</v>
      </c>
      <c r="AI1529" s="32"/>
      <c r="AL1529" s="32"/>
      <c r="AM1529" s="32"/>
      <c r="AN1529" s="32"/>
      <c r="AO1529" s="32"/>
      <c r="AP1529" s="32"/>
      <c r="AQ1529" s="32"/>
      <c r="AR1529" s="32"/>
      <c r="AS1529" s="32"/>
      <c r="AT1529" s="32"/>
      <c r="AU1529" s="32"/>
      <c r="XEY1529" s="27"/>
      <c r="XEZ1529" s="27"/>
      <c r="XFA1529" s="27"/>
      <c r="XFB1529" s="27"/>
      <c r="XFC1529" s="27"/>
      <c r="XFD1529" s="27"/>
    </row>
    <row r="1530" s="42" customFormat="true" ht="14.15" hidden="false" customHeight="true" outlineLevel="0" collapsed="false">
      <c r="A1530" s="28" t="s">
        <v>8721</v>
      </c>
      <c r="B1530" s="29" t="s">
        <v>117</v>
      </c>
      <c r="C1530" s="29" t="s">
        <v>8722</v>
      </c>
      <c r="D1530" s="30" t="s">
        <v>172</v>
      </c>
      <c r="E1530" s="31"/>
      <c r="F1530" s="32" t="n">
        <v>66</v>
      </c>
      <c r="G1530" s="31"/>
      <c r="H1530" s="31" t="n">
        <v>2</v>
      </c>
      <c r="I1530" s="31" t="s">
        <v>99</v>
      </c>
      <c r="J1530" s="29"/>
      <c r="K1530" s="29" t="s">
        <v>8723</v>
      </c>
      <c r="L1530" s="32" t="n">
        <v>51</v>
      </c>
      <c r="M1530" s="33" t="s">
        <v>1769</v>
      </c>
      <c r="N1530" s="34" t="n">
        <v>75015</v>
      </c>
      <c r="O1530" s="35" t="s">
        <v>55</v>
      </c>
      <c r="P1530" s="36" t="s">
        <v>8724</v>
      </c>
      <c r="Q1530" s="36" t="n">
        <v>1</v>
      </c>
      <c r="R1530" s="32" t="n">
        <v>77</v>
      </c>
      <c r="S1530" s="32" t="n">
        <v>1</v>
      </c>
      <c r="T1530" s="43" t="s">
        <v>316</v>
      </c>
      <c r="U1530" s="32"/>
      <c r="V1530" s="37"/>
      <c r="W1530" s="32"/>
      <c r="X1530" s="34"/>
      <c r="Y1530" s="34"/>
      <c r="Z1530" s="36"/>
      <c r="AA1530" s="32" t="s">
        <v>8725</v>
      </c>
      <c r="AB1530" s="32"/>
      <c r="AC1530" s="38" t="str">
        <f aca="false">HYPERLINK("https://biocodex6--c.vf.force.com/0014L00000KFzSCQA1", "ROUBINEAU DOMINIQUE")</f>
        <v>ROUBINEAU DOMINIQUE</v>
      </c>
      <c r="AD1530" s="38"/>
      <c r="AE1530" s="39"/>
      <c r="AF1530" s="40"/>
      <c r="AG1530" s="41"/>
      <c r="AH1530" s="32" t="s">
        <v>179</v>
      </c>
      <c r="AI1530" s="32"/>
      <c r="AL1530" s="32"/>
      <c r="AM1530" s="32"/>
      <c r="AN1530" s="32"/>
      <c r="AO1530" s="32"/>
      <c r="AP1530" s="32"/>
      <c r="AQ1530" s="32"/>
      <c r="AR1530" s="32"/>
      <c r="AS1530" s="32"/>
      <c r="AT1530" s="32"/>
      <c r="AU1530" s="32"/>
      <c r="XEY1530" s="27"/>
      <c r="XEZ1530" s="27"/>
      <c r="XFA1530" s="27"/>
      <c r="XFB1530" s="27"/>
      <c r="XFC1530" s="27"/>
      <c r="XFD1530" s="27"/>
    </row>
    <row r="1531" s="42" customFormat="true" ht="14.15" hidden="false" customHeight="true" outlineLevel="0" collapsed="false">
      <c r="A1531" s="28" t="s">
        <v>8726</v>
      </c>
      <c r="B1531" s="29" t="s">
        <v>8393</v>
      </c>
      <c r="C1531" s="29" t="s">
        <v>8727</v>
      </c>
      <c r="D1531" s="30" t="s">
        <v>172</v>
      </c>
      <c r="E1531" s="31"/>
      <c r="F1531" s="32" t="n">
        <v>52</v>
      </c>
      <c r="G1531" s="31"/>
      <c r="H1531" s="31" t="n">
        <v>1</v>
      </c>
      <c r="I1531" s="31" t="s">
        <v>119</v>
      </c>
      <c r="J1531" s="29" t="s">
        <v>4143</v>
      </c>
      <c r="K1531" s="29" t="s">
        <v>4144</v>
      </c>
      <c r="L1531" s="32" t="n">
        <v>6</v>
      </c>
      <c r="M1531" s="33" t="s">
        <v>3713</v>
      </c>
      <c r="N1531" s="34" t="n">
        <v>75007</v>
      </c>
      <c r="O1531" s="35" t="s">
        <v>55</v>
      </c>
      <c r="P1531" s="36" t="s">
        <v>8728</v>
      </c>
      <c r="Q1531" s="36" t="n">
        <v>6</v>
      </c>
      <c r="R1531" s="32" t="n">
        <v>77</v>
      </c>
      <c r="S1531" s="32" t="n">
        <v>1</v>
      </c>
      <c r="T1531" s="43" t="s">
        <v>316</v>
      </c>
      <c r="U1531" s="32"/>
      <c r="V1531" s="37"/>
      <c r="W1531" s="32"/>
      <c r="X1531" s="34"/>
      <c r="Y1531" s="34"/>
      <c r="Z1531" s="36"/>
      <c r="AA1531" s="32" t="s">
        <v>8729</v>
      </c>
      <c r="AB1531" s="32"/>
      <c r="AC1531" s="38" t="str">
        <f aca="false">HYPERLINK("https://biocodex6--c.vf.force.com/0014L00000KFx7JQAT", "PLOTNICU DELESQUE MARIANA")</f>
        <v>PLOTNICU DELESQUE MARIANA</v>
      </c>
      <c r="AD1531" s="38"/>
      <c r="AE1531" s="39"/>
      <c r="AF1531" s="40"/>
      <c r="AG1531" s="41"/>
      <c r="AH1531" s="32" t="s">
        <v>179</v>
      </c>
      <c r="AI1531" s="32"/>
      <c r="AL1531" s="32"/>
      <c r="AM1531" s="32"/>
      <c r="AN1531" s="32"/>
      <c r="AO1531" s="32"/>
      <c r="AP1531" s="32"/>
      <c r="AQ1531" s="32"/>
      <c r="AR1531" s="32"/>
      <c r="AS1531" s="32"/>
      <c r="AT1531" s="32"/>
      <c r="AU1531" s="32"/>
      <c r="XEY1531" s="27"/>
      <c r="XEZ1531" s="27"/>
      <c r="XFA1531" s="27"/>
      <c r="XFB1531" s="27"/>
      <c r="XFC1531" s="27"/>
      <c r="XFD1531" s="27"/>
    </row>
    <row r="1532" s="42" customFormat="true" ht="14.15" hidden="false" customHeight="true" outlineLevel="0" collapsed="false">
      <c r="A1532" s="28" t="s">
        <v>6714</v>
      </c>
      <c r="B1532" s="29" t="s">
        <v>8730</v>
      </c>
      <c r="C1532" s="29" t="s">
        <v>8731</v>
      </c>
      <c r="D1532" s="30" t="s">
        <v>172</v>
      </c>
      <c r="E1532" s="31"/>
      <c r="F1532" s="32" t="n">
        <v>42</v>
      </c>
      <c r="G1532" s="31"/>
      <c r="H1532" s="31" t="n">
        <v>1</v>
      </c>
      <c r="I1532" s="31" t="s">
        <v>435</v>
      </c>
      <c r="J1532" s="29"/>
      <c r="K1532" s="29" t="s">
        <v>8732</v>
      </c>
      <c r="L1532" s="32" t="n">
        <v>12</v>
      </c>
      <c r="M1532" s="33" t="s">
        <v>1340</v>
      </c>
      <c r="N1532" s="34" t="n">
        <v>75016</v>
      </c>
      <c r="O1532" s="35" t="s">
        <v>55</v>
      </c>
      <c r="P1532" s="36" t="s">
        <v>8733</v>
      </c>
      <c r="Q1532" s="36" t="n">
        <v>1</v>
      </c>
      <c r="R1532" s="32" t="n">
        <v>77</v>
      </c>
      <c r="S1532" s="32" t="n">
        <v>1</v>
      </c>
      <c r="T1532" s="43" t="s">
        <v>1925</v>
      </c>
      <c r="U1532" s="32" t="n">
        <v>3</v>
      </c>
      <c r="V1532" s="37"/>
      <c r="W1532" s="32"/>
      <c r="X1532" s="34"/>
      <c r="Y1532" s="34"/>
      <c r="Z1532" s="36"/>
      <c r="AA1532" s="32" t="s">
        <v>8734</v>
      </c>
      <c r="AB1532" s="32"/>
      <c r="AC1532" s="38" t="str">
        <f aca="false">HYPERLINK("https://biocodex6--c.vf.force.com/0014L00000KG0cfQAD", "ROURE ANNE HELIA")</f>
        <v>ROURE ANNE HELIA</v>
      </c>
      <c r="AD1532" s="38"/>
      <c r="AE1532" s="39"/>
      <c r="AF1532" s="40"/>
      <c r="AG1532" s="41"/>
      <c r="AH1532" s="32" t="s">
        <v>179</v>
      </c>
      <c r="AI1532" s="32"/>
      <c r="AL1532" s="32"/>
      <c r="AM1532" s="32"/>
      <c r="AN1532" s="32"/>
      <c r="AO1532" s="32"/>
      <c r="AP1532" s="32"/>
      <c r="AQ1532" s="32"/>
      <c r="AR1532" s="32"/>
      <c r="AS1532" s="32"/>
      <c r="AT1532" s="32"/>
      <c r="AU1532" s="32"/>
      <c r="XEY1532" s="27"/>
      <c r="XEZ1532" s="27"/>
      <c r="XFA1532" s="27"/>
      <c r="XFB1532" s="27"/>
      <c r="XFC1532" s="27"/>
      <c r="XFD1532" s="27"/>
    </row>
    <row r="1533" s="42" customFormat="true" ht="14.15" hidden="false" customHeight="true" outlineLevel="0" collapsed="false">
      <c r="A1533" s="28" t="s">
        <v>8735</v>
      </c>
      <c r="B1533" s="29" t="s">
        <v>2433</v>
      </c>
      <c r="C1533" s="29" t="s">
        <v>8736</v>
      </c>
      <c r="D1533" s="30" t="s">
        <v>172</v>
      </c>
      <c r="E1533" s="31"/>
      <c r="F1533" s="32" t="n">
        <v>65</v>
      </c>
      <c r="G1533" s="31"/>
      <c r="H1533" s="31" t="n">
        <v>1</v>
      </c>
      <c r="I1533" s="31" t="s">
        <v>173</v>
      </c>
      <c r="J1533" s="29"/>
      <c r="K1533" s="29" t="s">
        <v>4869</v>
      </c>
      <c r="L1533" s="32" t="n">
        <v>74</v>
      </c>
      <c r="M1533" s="33" t="s">
        <v>1637</v>
      </c>
      <c r="N1533" s="34" t="n">
        <v>75016</v>
      </c>
      <c r="O1533" s="35" t="s">
        <v>55</v>
      </c>
      <c r="P1533" s="36"/>
      <c r="Q1533" s="36" t="n">
        <v>2</v>
      </c>
      <c r="R1533" s="36" t="n">
        <v>77</v>
      </c>
      <c r="S1533" s="32" t="n">
        <v>1</v>
      </c>
      <c r="T1533" s="43" t="s">
        <v>2189</v>
      </c>
      <c r="U1533" s="32"/>
      <c r="V1533" s="37"/>
      <c r="W1533" s="32"/>
      <c r="X1533" s="34"/>
      <c r="Y1533" s="34"/>
      <c r="Z1533" s="36"/>
      <c r="AA1533" s="32" t="s">
        <v>8737</v>
      </c>
      <c r="AB1533" s="32"/>
      <c r="AC1533" s="38" t="str">
        <f aca="false">HYPERLINK("https://biocodex6--c.vf.force.com/0014L00000KG18IQAT", "SELETTI BERNARD")</f>
        <v>SELETTI BERNARD</v>
      </c>
      <c r="AD1533" s="38"/>
      <c r="AE1533" s="39"/>
      <c r="AF1533" s="40"/>
      <c r="AG1533" s="41"/>
      <c r="AH1533" s="32" t="s">
        <v>179</v>
      </c>
      <c r="AI1533" s="32"/>
      <c r="AL1533" s="32"/>
      <c r="AM1533" s="32"/>
      <c r="AN1533" s="32"/>
      <c r="AO1533" s="32"/>
      <c r="AP1533" s="32"/>
      <c r="AQ1533" s="32"/>
      <c r="AR1533" s="32"/>
      <c r="AS1533" s="32"/>
      <c r="AT1533" s="32"/>
      <c r="AU1533" s="32"/>
      <c r="XEY1533" s="27"/>
      <c r="XEZ1533" s="27"/>
      <c r="XFA1533" s="27"/>
      <c r="XFB1533" s="27"/>
      <c r="XFC1533" s="27"/>
      <c r="XFD1533" s="27"/>
    </row>
    <row r="1534" s="42" customFormat="true" ht="14.15" hidden="false" customHeight="true" outlineLevel="0" collapsed="false">
      <c r="A1534" s="28" t="s">
        <v>8738</v>
      </c>
      <c r="B1534" s="29" t="s">
        <v>2974</v>
      </c>
      <c r="C1534" s="29" t="s">
        <v>8739</v>
      </c>
      <c r="D1534" s="30" t="s">
        <v>244</v>
      </c>
      <c r="E1534" s="30" t="s">
        <v>245</v>
      </c>
      <c r="F1534" s="32" t="n">
        <v>47</v>
      </c>
      <c r="G1534" s="31" t="s">
        <v>215</v>
      </c>
      <c r="H1534" s="31" t="n">
        <v>1</v>
      </c>
      <c r="I1534" s="31" t="s">
        <v>173</v>
      </c>
      <c r="J1534" s="29"/>
      <c r="K1534" s="29" t="s">
        <v>6991</v>
      </c>
      <c r="L1534" s="32" t="n">
        <v>4</v>
      </c>
      <c r="M1534" s="33" t="s">
        <v>6992</v>
      </c>
      <c r="N1534" s="34" t="n">
        <v>75016</v>
      </c>
      <c r="O1534" s="35" t="s">
        <v>55</v>
      </c>
      <c r="P1534" s="36" t="s">
        <v>8740</v>
      </c>
      <c r="Q1534" s="36" t="n">
        <v>2</v>
      </c>
      <c r="R1534" s="32" t="n">
        <v>77</v>
      </c>
      <c r="S1534" s="32" t="n">
        <v>1</v>
      </c>
      <c r="T1534" s="32"/>
      <c r="U1534" s="32"/>
      <c r="V1534" s="37"/>
      <c r="W1534" s="32"/>
      <c r="X1534" s="34"/>
      <c r="Y1534" s="34"/>
      <c r="Z1534" s="36"/>
      <c r="AA1534" s="32" t="s">
        <v>8741</v>
      </c>
      <c r="AB1534" s="32" t="s">
        <v>8742</v>
      </c>
      <c r="AC1534" s="38" t="str">
        <f aca="false">HYPERLINK("https://biocodex6--c.vf.force.com/0014L00000KFQV3QAP", "ESTRADE HUCHON SONIA")</f>
        <v>ESTRADE HUCHON SONIA</v>
      </c>
      <c r="AD1534" s="38" t="str">
        <f aca="false">HYPERLINK("https://annuairesante.ameli.fr/professionnels-de-sante/recherche/fiche-detaillee-B7c1kjs2MzSz.html", "ESTRADE HUCHON SONIA")</f>
        <v>ESTRADE HUCHON SONIA</v>
      </c>
      <c r="AE1534" s="39"/>
      <c r="AF1534" s="40"/>
      <c r="AG1534" s="41"/>
      <c r="AH1534" s="32" t="s">
        <v>179</v>
      </c>
      <c r="AI1534" s="32"/>
      <c r="AL1534" s="32"/>
      <c r="AM1534" s="32"/>
      <c r="AN1534" s="32"/>
      <c r="AO1534" s="32"/>
      <c r="AP1534" s="32"/>
      <c r="AQ1534" s="32"/>
      <c r="AR1534" s="32"/>
      <c r="AS1534" s="32"/>
      <c r="AT1534" s="32"/>
      <c r="AU1534" s="32"/>
      <c r="XEY1534" s="27"/>
      <c r="XEZ1534" s="27"/>
      <c r="XFA1534" s="27"/>
      <c r="XFB1534" s="27"/>
      <c r="XFC1534" s="27"/>
      <c r="XFD1534" s="27"/>
    </row>
    <row r="1535" s="42" customFormat="true" ht="14.15" hidden="false" customHeight="true" outlineLevel="0" collapsed="false">
      <c r="A1535" s="28" t="s">
        <v>8743</v>
      </c>
      <c r="B1535" s="29" t="s">
        <v>5157</v>
      </c>
      <c r="C1535" s="29" t="s">
        <v>8744</v>
      </c>
      <c r="D1535" s="30" t="s">
        <v>172</v>
      </c>
      <c r="E1535" s="30" t="s">
        <v>818</v>
      </c>
      <c r="F1535" s="32" t="n">
        <v>80</v>
      </c>
      <c r="G1535" s="31"/>
      <c r="H1535" s="31" t="n">
        <v>1</v>
      </c>
      <c r="I1535" s="31" t="s">
        <v>77</v>
      </c>
      <c r="J1535" s="29"/>
      <c r="K1535" s="29" t="s">
        <v>8745</v>
      </c>
      <c r="L1535" s="32" t="n">
        <v>90</v>
      </c>
      <c r="M1535" s="33" t="s">
        <v>379</v>
      </c>
      <c r="N1535" s="34" t="n">
        <v>92200</v>
      </c>
      <c r="O1535" s="35" t="s">
        <v>81</v>
      </c>
      <c r="P1535" s="36" t="s">
        <v>8746</v>
      </c>
      <c r="Q1535" s="36" t="n">
        <v>1</v>
      </c>
      <c r="R1535" s="32" t="n">
        <v>77</v>
      </c>
      <c r="S1535" s="32" t="n">
        <v>1</v>
      </c>
      <c r="T1535" s="43" t="s">
        <v>177</v>
      </c>
      <c r="U1535" s="32"/>
      <c r="V1535" s="37"/>
      <c r="W1535" s="32"/>
      <c r="X1535" s="34"/>
      <c r="Y1535" s="34"/>
      <c r="Z1535" s="36"/>
      <c r="AA1535" s="32" t="s">
        <v>8747</v>
      </c>
      <c r="AB1535" s="32"/>
      <c r="AC1535" s="38" t="str">
        <f aca="false">HYPERLINK("https://biocodex6--c.vf.force.com/0014L00000KFsxDQAT", "MOUROT HUBERT")</f>
        <v>MOUROT HUBERT</v>
      </c>
      <c r="AD1535" s="38"/>
      <c r="AE1535" s="39"/>
      <c r="AF1535" s="40"/>
      <c r="AG1535" s="41"/>
      <c r="AH1535" s="32" t="s">
        <v>179</v>
      </c>
      <c r="AI1535" s="32"/>
      <c r="AL1535" s="32"/>
      <c r="AM1535" s="32"/>
      <c r="AN1535" s="32"/>
      <c r="AO1535" s="32"/>
      <c r="AP1535" s="32"/>
      <c r="AQ1535" s="32"/>
      <c r="AR1535" s="32"/>
      <c r="AS1535" s="32"/>
      <c r="AT1535" s="32"/>
      <c r="AU1535" s="32"/>
      <c r="XEY1535" s="27"/>
      <c r="XEZ1535" s="27"/>
      <c r="XFA1535" s="27"/>
      <c r="XFB1535" s="27"/>
      <c r="XFC1535" s="27"/>
      <c r="XFD1535" s="27"/>
    </row>
    <row r="1536" s="42" customFormat="true" ht="14.15" hidden="false" customHeight="true" outlineLevel="0" collapsed="false">
      <c r="A1536" s="28" t="s">
        <v>8748</v>
      </c>
      <c r="B1536" s="29" t="s">
        <v>958</v>
      </c>
      <c r="C1536" s="29" t="s">
        <v>8749</v>
      </c>
      <c r="D1536" s="30" t="s">
        <v>172</v>
      </c>
      <c r="E1536" s="31"/>
      <c r="F1536" s="32" t="n">
        <v>46</v>
      </c>
      <c r="G1536" s="31"/>
      <c r="H1536" s="31" t="n">
        <v>1</v>
      </c>
      <c r="I1536" s="31" t="s">
        <v>197</v>
      </c>
      <c r="J1536" s="29"/>
      <c r="K1536" s="29" t="s">
        <v>8750</v>
      </c>
      <c r="L1536" s="32" t="n">
        <v>20</v>
      </c>
      <c r="M1536" s="33" t="s">
        <v>1917</v>
      </c>
      <c r="N1536" s="34" t="n">
        <v>75017</v>
      </c>
      <c r="O1536" s="35" t="s">
        <v>55</v>
      </c>
      <c r="P1536" s="36"/>
      <c r="Q1536" s="36" t="n">
        <v>1</v>
      </c>
      <c r="R1536" s="32" t="n">
        <v>76</v>
      </c>
      <c r="S1536" s="32" t="n">
        <v>1</v>
      </c>
      <c r="T1536" s="43" t="s">
        <v>1107</v>
      </c>
      <c r="U1536" s="32" t="n">
        <v>3</v>
      </c>
      <c r="V1536" s="37"/>
      <c r="W1536" s="32"/>
      <c r="X1536" s="34"/>
      <c r="Y1536" s="34"/>
      <c r="Z1536" s="36"/>
      <c r="AA1536" s="32" t="s">
        <v>8751</v>
      </c>
      <c r="AB1536" s="32"/>
      <c r="AC1536" s="38" t="str">
        <f aca="false">HYPERLINK("https://biocodex6--c.vf.force.com/0014L00000KFpw4QAD", "MENU PATRICK")</f>
        <v>MENU PATRICK</v>
      </c>
      <c r="AD1536" s="38"/>
      <c r="AE1536" s="39"/>
      <c r="AF1536" s="40"/>
      <c r="AG1536" s="41"/>
      <c r="AH1536" s="32" t="s">
        <v>179</v>
      </c>
      <c r="AI1536" s="32"/>
      <c r="AL1536" s="32"/>
      <c r="AM1536" s="32"/>
      <c r="AN1536" s="32"/>
      <c r="AO1536" s="32"/>
      <c r="AP1536" s="32"/>
      <c r="AQ1536" s="32"/>
      <c r="AR1536" s="32"/>
      <c r="AS1536" s="32"/>
      <c r="AT1536" s="32"/>
      <c r="AU1536" s="32"/>
      <c r="XEY1536" s="27"/>
      <c r="XEZ1536" s="27"/>
      <c r="XFA1536" s="27"/>
      <c r="XFB1536" s="27"/>
      <c r="XFC1536" s="27"/>
      <c r="XFD1536" s="27"/>
    </row>
    <row r="1537" s="42" customFormat="true" ht="14.15" hidden="false" customHeight="true" outlineLevel="0" collapsed="false">
      <c r="A1537" s="28" t="s">
        <v>8752</v>
      </c>
      <c r="B1537" s="51" t="s">
        <v>8753</v>
      </c>
      <c r="C1537" s="51" t="s">
        <v>8754</v>
      </c>
      <c r="D1537" s="30" t="s">
        <v>172</v>
      </c>
      <c r="E1537" s="30" t="s">
        <v>545</v>
      </c>
      <c r="F1537" s="32" t="n">
        <v>49</v>
      </c>
      <c r="G1537" s="31"/>
      <c r="H1537" s="31" t="n">
        <v>1</v>
      </c>
      <c r="I1537" s="31" t="s">
        <v>173</v>
      </c>
      <c r="J1537" s="29"/>
      <c r="K1537" s="29" t="s">
        <v>1887</v>
      </c>
      <c r="L1537" s="32" t="n">
        <v>81</v>
      </c>
      <c r="M1537" s="33" t="s">
        <v>1888</v>
      </c>
      <c r="N1537" s="52" t="n">
        <v>75116</v>
      </c>
      <c r="O1537" s="35" t="s">
        <v>55</v>
      </c>
      <c r="P1537" s="36"/>
      <c r="Q1537" s="36" t="n">
        <v>2</v>
      </c>
      <c r="R1537" s="32" t="n">
        <v>76</v>
      </c>
      <c r="S1537" s="32" t="n">
        <v>1</v>
      </c>
      <c r="T1537" s="32"/>
      <c r="U1537" s="32"/>
      <c r="V1537" s="37"/>
      <c r="W1537" s="32"/>
      <c r="X1537" s="34"/>
      <c r="Y1537" s="34"/>
      <c r="Z1537" s="36"/>
      <c r="AA1537" s="36" t="s">
        <v>8755</v>
      </c>
      <c r="AB1537" s="44"/>
      <c r="AC1537" s="38" t="str">
        <f aca="false">HYPERLINK("https://biocodex6--c.vf.force.com/0014L00000KGIsrQAH", "NAJEM ADIL")</f>
        <v>NAJEM ADIL</v>
      </c>
      <c r="AD1537" s="38"/>
      <c r="AE1537" s="39"/>
      <c r="AF1537" s="40"/>
      <c r="AG1537" s="41"/>
      <c r="AH1537" s="32" t="s">
        <v>2191</v>
      </c>
      <c r="AI1537" s="32" t="s">
        <v>2191</v>
      </c>
      <c r="AJ1537" s="42" t="s">
        <v>8756</v>
      </c>
      <c r="AL1537" s="32"/>
      <c r="AM1537" s="32"/>
      <c r="AN1537" s="32"/>
      <c r="AO1537" s="32"/>
      <c r="AP1537" s="32"/>
      <c r="AQ1537" s="32"/>
      <c r="AR1537" s="32"/>
      <c r="AS1537" s="32"/>
      <c r="AT1537" s="32"/>
      <c r="AU1537" s="32"/>
      <c r="XEY1537" s="27"/>
      <c r="XEZ1537" s="27"/>
      <c r="XFA1537" s="27"/>
      <c r="XFB1537" s="27"/>
      <c r="XFC1537" s="27"/>
      <c r="XFD1537" s="27"/>
    </row>
    <row r="1538" s="42" customFormat="true" ht="14.15" hidden="false" customHeight="true" outlineLevel="0" collapsed="false">
      <c r="A1538" s="28" t="s">
        <v>8757</v>
      </c>
      <c r="B1538" s="29" t="s">
        <v>8758</v>
      </c>
      <c r="C1538" s="29" t="s">
        <v>8759</v>
      </c>
      <c r="D1538" s="30" t="s">
        <v>244</v>
      </c>
      <c r="E1538" s="30" t="s">
        <v>5884</v>
      </c>
      <c r="F1538" s="32" t="n">
        <v>44</v>
      </c>
      <c r="G1538" s="31" t="s">
        <v>215</v>
      </c>
      <c r="H1538" s="31" t="n">
        <v>1</v>
      </c>
      <c r="I1538" s="31" t="s">
        <v>99</v>
      </c>
      <c r="J1538" s="29"/>
      <c r="K1538" s="29" t="s">
        <v>8760</v>
      </c>
      <c r="L1538" s="32" t="n">
        <v>3</v>
      </c>
      <c r="M1538" s="33" t="s">
        <v>8760</v>
      </c>
      <c r="N1538" s="34" t="n">
        <v>75007</v>
      </c>
      <c r="O1538" s="35" t="s">
        <v>55</v>
      </c>
      <c r="P1538" s="36" t="s">
        <v>8761</v>
      </c>
      <c r="Q1538" s="36" t="n">
        <v>1</v>
      </c>
      <c r="R1538" s="32" t="n">
        <v>75</v>
      </c>
      <c r="S1538" s="32" t="n">
        <v>1</v>
      </c>
      <c r="T1538" s="32"/>
      <c r="U1538" s="32"/>
      <c r="V1538" s="37"/>
      <c r="W1538" s="32" t="n">
        <v>3</v>
      </c>
      <c r="X1538" s="34" t="n">
        <v>1</v>
      </c>
      <c r="Y1538" s="34" t="n">
        <v>3</v>
      </c>
      <c r="Z1538" s="32"/>
      <c r="AA1538" s="32" t="s">
        <v>8762</v>
      </c>
      <c r="AB1538" s="28" t="s">
        <v>8763</v>
      </c>
      <c r="AC1538" s="38" t="str">
        <f aca="false">HYPERLINK("https://biocodex6--c.vf.force.com/0014L00000KFQ2vQAH", "EL FALAH EL QUADMIRY SALOUA")</f>
        <v>EL FALAH EL QUADMIRY SALOUA</v>
      </c>
      <c r="AD1538" s="38" t="str">
        <f aca="false">HYPERLINK("https://annuairesante.ameli.fr/professionnels-de-sante/recherche/fiche-detaillee-B7c1lTY1ODGy.html", "EL FALAH EL QUADMIRY SALOUA")</f>
        <v>EL FALAH EL QUADMIRY SALOUA</v>
      </c>
      <c r="AE1538" s="39" t="n">
        <v>45446.6666666667</v>
      </c>
      <c r="AF1538" s="40" t="s">
        <v>8764</v>
      </c>
      <c r="AG1538" s="41" t="s">
        <v>69</v>
      </c>
      <c r="AH1538" s="32" t="s">
        <v>70</v>
      </c>
      <c r="AI1538" s="32" t="s">
        <v>71</v>
      </c>
      <c r="AL1538" s="32"/>
      <c r="AM1538" s="32"/>
      <c r="AN1538" s="32"/>
      <c r="AO1538" s="32"/>
      <c r="AP1538" s="32"/>
      <c r="AQ1538" s="32"/>
      <c r="AR1538" s="32"/>
      <c r="AS1538" s="32"/>
      <c r="AT1538" s="32"/>
      <c r="AU1538" s="32"/>
      <c r="XEY1538" s="27"/>
      <c r="XEZ1538" s="27"/>
      <c r="XFA1538" s="27"/>
      <c r="XFB1538" s="27"/>
      <c r="XFC1538" s="27"/>
      <c r="XFD1538" s="27"/>
    </row>
    <row r="1539" s="42" customFormat="true" ht="14.15" hidden="false" customHeight="true" outlineLevel="0" collapsed="false">
      <c r="A1539" s="28" t="s">
        <v>8765</v>
      </c>
      <c r="B1539" s="29" t="s">
        <v>2329</v>
      </c>
      <c r="C1539" s="29" t="s">
        <v>8766</v>
      </c>
      <c r="D1539" s="30" t="s">
        <v>172</v>
      </c>
      <c r="E1539" s="31"/>
      <c r="F1539" s="32" t="n">
        <v>65</v>
      </c>
      <c r="G1539" s="31"/>
      <c r="H1539" s="31" t="n">
        <v>3</v>
      </c>
      <c r="I1539" s="31" t="s">
        <v>173</v>
      </c>
      <c r="J1539" s="29"/>
      <c r="K1539" s="29" t="s">
        <v>8767</v>
      </c>
      <c r="L1539" s="32" t="n">
        <v>37</v>
      </c>
      <c r="M1539" s="33" t="s">
        <v>175</v>
      </c>
      <c r="N1539" s="34" t="n">
        <v>75016</v>
      </c>
      <c r="O1539" s="35" t="s">
        <v>55</v>
      </c>
      <c r="P1539" s="36" t="s">
        <v>8768</v>
      </c>
      <c r="Q1539" s="36" t="n">
        <v>2</v>
      </c>
      <c r="R1539" s="32" t="n">
        <v>75</v>
      </c>
      <c r="S1539" s="32" t="n">
        <v>1</v>
      </c>
      <c r="T1539" s="43" t="s">
        <v>1925</v>
      </c>
      <c r="U1539" s="32"/>
      <c r="V1539" s="37" t="n">
        <v>3</v>
      </c>
      <c r="W1539" s="32"/>
      <c r="X1539" s="34"/>
      <c r="Y1539" s="34"/>
      <c r="Z1539" s="36"/>
      <c r="AA1539" s="32" t="s">
        <v>8769</v>
      </c>
      <c r="AB1539" s="32"/>
      <c r="AC1539" s="38" t="str">
        <f aca="false">HYPERLINK("https://biocodex6--c.vf.force.com/0014L00000KFZ2pQAH", "DE CARVALHO WILLIAM")</f>
        <v>DE CARVALHO WILLIAM</v>
      </c>
      <c r="AD1539" s="38"/>
      <c r="AE1539" s="39"/>
      <c r="AF1539" s="40"/>
      <c r="AG1539" s="41"/>
      <c r="AH1539" s="32" t="s">
        <v>179</v>
      </c>
      <c r="AI1539" s="32"/>
      <c r="AL1539" s="32"/>
      <c r="AM1539" s="32"/>
      <c r="AN1539" s="32"/>
      <c r="AO1539" s="32"/>
      <c r="AP1539" s="32"/>
      <c r="AQ1539" s="32"/>
      <c r="AR1539" s="32"/>
      <c r="AS1539" s="32"/>
      <c r="AT1539" s="32"/>
      <c r="AU1539" s="32"/>
      <c r="XEY1539" s="27"/>
      <c r="XEZ1539" s="27"/>
      <c r="XFA1539" s="27"/>
      <c r="XFB1539" s="27"/>
      <c r="XFC1539" s="27"/>
      <c r="XFD1539" s="27"/>
    </row>
    <row r="1540" s="42" customFormat="true" ht="14.15" hidden="false" customHeight="true" outlineLevel="0" collapsed="false">
      <c r="A1540" s="28" t="s">
        <v>8770</v>
      </c>
      <c r="B1540" s="29" t="s">
        <v>73</v>
      </c>
      <c r="C1540" s="29" t="s">
        <v>8771</v>
      </c>
      <c r="D1540" s="30" t="s">
        <v>172</v>
      </c>
      <c r="E1540" s="31"/>
      <c r="F1540" s="32" t="n">
        <v>74</v>
      </c>
      <c r="G1540" s="31"/>
      <c r="H1540" s="31" t="n">
        <v>1</v>
      </c>
      <c r="I1540" s="31" t="s">
        <v>119</v>
      </c>
      <c r="J1540" s="29"/>
      <c r="K1540" s="29" t="s">
        <v>8772</v>
      </c>
      <c r="L1540" s="32" t="n">
        <v>54</v>
      </c>
      <c r="M1540" s="33" t="s">
        <v>1716</v>
      </c>
      <c r="N1540" s="34" t="n">
        <v>75007</v>
      </c>
      <c r="O1540" s="35" t="s">
        <v>55</v>
      </c>
      <c r="P1540" s="36" t="s">
        <v>8773</v>
      </c>
      <c r="Q1540" s="36" t="n">
        <v>1</v>
      </c>
      <c r="R1540" s="32" t="n">
        <v>73</v>
      </c>
      <c r="S1540" s="32" t="n">
        <v>1</v>
      </c>
      <c r="T1540" s="43" t="s">
        <v>1107</v>
      </c>
      <c r="U1540" s="32" t="n">
        <v>3</v>
      </c>
      <c r="V1540" s="37"/>
      <c r="W1540" s="32"/>
      <c r="X1540" s="34"/>
      <c r="Y1540" s="34"/>
      <c r="Z1540" s="36"/>
      <c r="AA1540" s="32" t="s">
        <v>8774</v>
      </c>
      <c r="AB1540" s="32"/>
      <c r="AC1540" s="38" t="str">
        <f aca="false">HYPERLINK("https://biocodex6--c.vf.force.com/0014L00000KFqeWQAT", "MASSON XAVIER")</f>
        <v>MASSON XAVIER</v>
      </c>
      <c r="AD1540" s="38"/>
      <c r="AE1540" s="39"/>
      <c r="AF1540" s="40"/>
      <c r="AG1540" s="41"/>
      <c r="AH1540" s="32" t="s">
        <v>179</v>
      </c>
      <c r="AI1540" s="32"/>
      <c r="AL1540" s="32"/>
      <c r="AM1540" s="32"/>
      <c r="AN1540" s="32"/>
      <c r="AO1540" s="32"/>
      <c r="AP1540" s="32"/>
      <c r="AQ1540" s="32"/>
      <c r="AR1540" s="32"/>
      <c r="AS1540" s="32"/>
      <c r="AT1540" s="32"/>
      <c r="AU1540" s="32"/>
      <c r="XEY1540" s="27"/>
      <c r="XEZ1540" s="27"/>
      <c r="XFA1540" s="27"/>
      <c r="XFB1540" s="27"/>
      <c r="XFC1540" s="27"/>
      <c r="XFD1540" s="27"/>
    </row>
    <row r="1541" s="42" customFormat="true" ht="14.15" hidden="false" customHeight="true" outlineLevel="0" collapsed="false">
      <c r="A1541" s="28" t="s">
        <v>8775</v>
      </c>
      <c r="B1541" s="29" t="s">
        <v>399</v>
      </c>
      <c r="C1541" s="29" t="s">
        <v>8776</v>
      </c>
      <c r="D1541" s="30" t="s">
        <v>172</v>
      </c>
      <c r="E1541" s="30" t="s">
        <v>255</v>
      </c>
      <c r="F1541" s="32" t="n">
        <v>66</v>
      </c>
      <c r="G1541" s="31"/>
      <c r="H1541" s="31" t="n">
        <v>2</v>
      </c>
      <c r="I1541" s="31" t="s">
        <v>119</v>
      </c>
      <c r="J1541" s="29"/>
      <c r="K1541" s="29" t="s">
        <v>5260</v>
      </c>
      <c r="L1541" s="32" t="n">
        <v>1</v>
      </c>
      <c r="M1541" s="33" t="s">
        <v>5261</v>
      </c>
      <c r="N1541" s="34" t="n">
        <v>75007</v>
      </c>
      <c r="O1541" s="35" t="s">
        <v>55</v>
      </c>
      <c r="P1541" s="36" t="s">
        <v>8777</v>
      </c>
      <c r="Q1541" s="36" t="n">
        <v>2</v>
      </c>
      <c r="R1541" s="32" t="n">
        <v>73</v>
      </c>
      <c r="S1541" s="32" t="n">
        <v>1</v>
      </c>
      <c r="T1541" s="43" t="s">
        <v>1107</v>
      </c>
      <c r="U1541" s="32" t="n">
        <v>3</v>
      </c>
      <c r="V1541" s="37" t="n">
        <v>3</v>
      </c>
      <c r="W1541" s="32"/>
      <c r="X1541" s="34"/>
      <c r="Y1541" s="34"/>
      <c r="Z1541" s="36"/>
      <c r="AA1541" s="32" t="s">
        <v>8778</v>
      </c>
      <c r="AB1541" s="32"/>
      <c r="AC1541" s="38" t="str">
        <f aca="false">HYPERLINK("https://biocodex6--c.vf.force.com/0014L00000KFZ8BQAX", "DE LADOUCETTE OLIVIER")</f>
        <v>DE LADOUCETTE OLIVIER</v>
      </c>
      <c r="AD1541" s="38"/>
      <c r="AE1541" s="39"/>
      <c r="AF1541" s="40"/>
      <c r="AG1541" s="41"/>
      <c r="AH1541" s="32" t="s">
        <v>179</v>
      </c>
      <c r="AI1541" s="32"/>
      <c r="AL1541" s="32"/>
      <c r="AM1541" s="32"/>
      <c r="AN1541" s="32"/>
      <c r="AO1541" s="32"/>
      <c r="AP1541" s="32"/>
      <c r="AQ1541" s="32"/>
      <c r="AR1541" s="32"/>
      <c r="AS1541" s="32"/>
      <c r="AT1541" s="32"/>
      <c r="AU1541" s="32"/>
      <c r="XEY1541" s="27"/>
      <c r="XEZ1541" s="27"/>
      <c r="XFA1541" s="27"/>
      <c r="XFB1541" s="27"/>
      <c r="XFC1541" s="27"/>
      <c r="XFD1541" s="27"/>
    </row>
    <row r="1542" s="42" customFormat="true" ht="14.15" hidden="false" customHeight="true" outlineLevel="0" collapsed="false">
      <c r="A1542" s="28" t="s">
        <v>8779</v>
      </c>
      <c r="B1542" s="29" t="s">
        <v>8780</v>
      </c>
      <c r="C1542" s="29" t="s">
        <v>8781</v>
      </c>
      <c r="D1542" s="30" t="s">
        <v>244</v>
      </c>
      <c r="E1542" s="31"/>
      <c r="F1542" s="32" t="n">
        <v>68</v>
      </c>
      <c r="G1542" s="31"/>
      <c r="H1542" s="31" t="n">
        <v>1</v>
      </c>
      <c r="I1542" s="31" t="s">
        <v>51</v>
      </c>
      <c r="J1542" s="29"/>
      <c r="K1542" s="29" t="s">
        <v>1644</v>
      </c>
      <c r="L1542" s="32" t="n">
        <v>76</v>
      </c>
      <c r="M1542" s="33" t="s">
        <v>236</v>
      </c>
      <c r="N1542" s="34" t="n">
        <v>75015</v>
      </c>
      <c r="O1542" s="35" t="s">
        <v>55</v>
      </c>
      <c r="P1542" s="36" t="s">
        <v>1645</v>
      </c>
      <c r="Q1542" s="36" t="n">
        <v>3</v>
      </c>
      <c r="R1542" s="32" t="n">
        <v>73</v>
      </c>
      <c r="S1542" s="32" t="n">
        <v>1</v>
      </c>
      <c r="T1542" s="32"/>
      <c r="U1542" s="32"/>
      <c r="V1542" s="37"/>
      <c r="W1542" s="32"/>
      <c r="X1542" s="34"/>
      <c r="Y1542" s="34"/>
      <c r="Z1542" s="36"/>
      <c r="AA1542" s="32" t="s">
        <v>8782</v>
      </c>
      <c r="AB1542" s="32"/>
      <c r="AC1542" s="38" t="str">
        <f aca="false">HYPERLINK("https://biocodex6--c.vf.force.com/0014L00000KFuQpQAL", "KOUKI PAINVIN MARIE CATHERINE")</f>
        <v>KOUKI PAINVIN MARIE CATHERINE</v>
      </c>
      <c r="AD1542" s="38"/>
      <c r="AE1542" s="39"/>
      <c r="AF1542" s="40"/>
      <c r="AG1542" s="41"/>
      <c r="AH1542" s="32" t="s">
        <v>179</v>
      </c>
      <c r="AI1542" s="32"/>
      <c r="AL1542" s="32"/>
      <c r="AM1542" s="32"/>
      <c r="AN1542" s="32"/>
      <c r="AO1542" s="32"/>
      <c r="AP1542" s="32"/>
      <c r="AQ1542" s="32"/>
      <c r="AR1542" s="32"/>
      <c r="AS1542" s="32"/>
      <c r="AT1542" s="32"/>
      <c r="AU1542" s="32"/>
      <c r="XEY1542" s="27"/>
      <c r="XEZ1542" s="27"/>
      <c r="XFA1542" s="27"/>
      <c r="XFB1542" s="27"/>
      <c r="XFC1542" s="27"/>
      <c r="XFD1542" s="27"/>
    </row>
    <row r="1543" s="42" customFormat="true" ht="14.15" hidden="false" customHeight="true" outlineLevel="0" collapsed="false">
      <c r="A1543" s="28" t="s">
        <v>8783</v>
      </c>
      <c r="B1543" s="29" t="s">
        <v>7538</v>
      </c>
      <c r="C1543" s="29" t="s">
        <v>8784</v>
      </c>
      <c r="D1543" s="30" t="s">
        <v>172</v>
      </c>
      <c r="E1543" s="31"/>
      <c r="F1543" s="32" t="n">
        <v>57</v>
      </c>
      <c r="G1543" s="31"/>
      <c r="H1543" s="31" t="n">
        <v>2</v>
      </c>
      <c r="I1543" s="31" t="s">
        <v>173</v>
      </c>
      <c r="J1543" s="29"/>
      <c r="K1543" s="29" t="s">
        <v>2537</v>
      </c>
      <c r="L1543" s="32" t="n">
        <v>23</v>
      </c>
      <c r="M1543" s="33" t="s">
        <v>175</v>
      </c>
      <c r="N1543" s="34" t="n">
        <v>75016</v>
      </c>
      <c r="O1543" s="35" t="s">
        <v>55</v>
      </c>
      <c r="P1543" s="36" t="s">
        <v>8785</v>
      </c>
      <c r="Q1543" s="36" t="n">
        <v>3</v>
      </c>
      <c r="R1543" s="32" t="n">
        <v>73</v>
      </c>
      <c r="S1543" s="32" t="n">
        <v>1</v>
      </c>
      <c r="T1543" s="43" t="s">
        <v>177</v>
      </c>
      <c r="U1543" s="32"/>
      <c r="V1543" s="37" t="n">
        <v>3</v>
      </c>
      <c r="W1543" s="32"/>
      <c r="X1543" s="34"/>
      <c r="Y1543" s="34"/>
      <c r="Z1543" s="36"/>
      <c r="AA1543" s="32" t="s">
        <v>8786</v>
      </c>
      <c r="AB1543" s="32"/>
      <c r="AC1543" s="38" t="str">
        <f aca="false">HYPERLINK("https://biocodex6--c.vf.force.com/0014L00000KFd5yQAD", "FARGES FLORENT")</f>
        <v>FARGES FLORENT</v>
      </c>
      <c r="AD1543" s="38"/>
      <c r="AE1543" s="39"/>
      <c r="AF1543" s="40"/>
      <c r="AG1543" s="41"/>
      <c r="AH1543" s="32" t="s">
        <v>179</v>
      </c>
      <c r="AI1543" s="32"/>
      <c r="AL1543" s="32"/>
      <c r="AM1543" s="32"/>
      <c r="AN1543" s="32"/>
      <c r="AO1543" s="32"/>
      <c r="AP1543" s="32"/>
      <c r="AQ1543" s="32"/>
      <c r="AR1543" s="32"/>
      <c r="AS1543" s="32"/>
      <c r="AT1543" s="32"/>
      <c r="AU1543" s="32"/>
      <c r="XEY1543" s="27"/>
      <c r="XEZ1543" s="27"/>
      <c r="XFA1543" s="27"/>
      <c r="XFB1543" s="27"/>
      <c r="XFC1543" s="27"/>
      <c r="XFD1543" s="27"/>
    </row>
    <row r="1544" s="42" customFormat="true" ht="14.15" hidden="false" customHeight="true" outlineLevel="0" collapsed="false">
      <c r="A1544" s="28" t="s">
        <v>8787</v>
      </c>
      <c r="B1544" s="29" t="s">
        <v>1600</v>
      </c>
      <c r="C1544" s="29" t="s">
        <v>8788</v>
      </c>
      <c r="D1544" s="30" t="s">
        <v>244</v>
      </c>
      <c r="E1544" s="30" t="s">
        <v>245</v>
      </c>
      <c r="F1544" s="32" t="n">
        <v>41</v>
      </c>
      <c r="G1544" s="31" t="s">
        <v>215</v>
      </c>
      <c r="H1544" s="31" t="n">
        <v>1</v>
      </c>
      <c r="I1544" s="31" t="s">
        <v>77</v>
      </c>
      <c r="J1544" s="29" t="s">
        <v>580</v>
      </c>
      <c r="K1544" s="29" t="s">
        <v>581</v>
      </c>
      <c r="L1544" s="32" t="n">
        <v>63</v>
      </c>
      <c r="M1544" s="33" t="s">
        <v>80</v>
      </c>
      <c r="N1544" s="34" t="n">
        <v>92200</v>
      </c>
      <c r="O1544" s="35" t="s">
        <v>81</v>
      </c>
      <c r="P1544" s="36" t="s">
        <v>1189</v>
      </c>
      <c r="Q1544" s="36" t="n">
        <v>39</v>
      </c>
      <c r="R1544" s="32" t="n">
        <v>72</v>
      </c>
      <c r="S1544" s="32" t="n">
        <v>1</v>
      </c>
      <c r="T1544" s="32"/>
      <c r="U1544" s="32"/>
      <c r="V1544" s="37"/>
      <c r="W1544" s="32"/>
      <c r="X1544" s="34"/>
      <c r="Y1544" s="34"/>
      <c r="Z1544" s="36"/>
      <c r="AA1544" s="32" t="s">
        <v>8789</v>
      </c>
      <c r="AB1544" s="32" t="s">
        <v>8790</v>
      </c>
      <c r="AC1544" s="38" t="str">
        <f aca="false">HYPERLINK("https://biocodex6--c.vf.force.com/0014L00000KFh1JQAT", "GEYL CAROLINE")</f>
        <v>GEYL CAROLINE</v>
      </c>
      <c r="AD1544" s="38" t="str">
        <f aca="false">HYPERLINK("https://annuairesante.ameli.fr/professionnels-de-sante/recherche/fiche-detaillee-CbA1mjE2NDCx.html", "GEYL CAROLINE")</f>
        <v>GEYL CAROLINE</v>
      </c>
      <c r="AE1544" s="39"/>
      <c r="AF1544" s="40"/>
      <c r="AG1544" s="41"/>
      <c r="AH1544" s="32" t="s">
        <v>179</v>
      </c>
      <c r="AI1544" s="32"/>
      <c r="AL1544" s="32"/>
      <c r="AM1544" s="32"/>
      <c r="AN1544" s="32"/>
      <c r="AO1544" s="32"/>
      <c r="AP1544" s="32"/>
      <c r="AQ1544" s="32"/>
      <c r="AR1544" s="32"/>
      <c r="AS1544" s="32"/>
      <c r="AT1544" s="32"/>
      <c r="AU1544" s="32"/>
      <c r="XEY1544" s="27"/>
      <c r="XEZ1544" s="27"/>
      <c r="XFA1544" s="27"/>
      <c r="XFB1544" s="27"/>
      <c r="XFC1544" s="27"/>
      <c r="XFD1544" s="27"/>
    </row>
    <row r="1545" s="42" customFormat="true" ht="14.15" hidden="false" customHeight="true" outlineLevel="0" collapsed="false">
      <c r="A1545" s="28" t="s">
        <v>8791</v>
      </c>
      <c r="B1545" s="29" t="s">
        <v>399</v>
      </c>
      <c r="C1545" s="29" t="s">
        <v>8792</v>
      </c>
      <c r="D1545" s="30" t="s">
        <v>172</v>
      </c>
      <c r="E1545" s="31"/>
      <c r="F1545" s="32" t="n">
        <v>66</v>
      </c>
      <c r="G1545" s="31"/>
      <c r="H1545" s="31" t="n">
        <v>1</v>
      </c>
      <c r="I1545" s="31" t="s">
        <v>572</v>
      </c>
      <c r="J1545" s="29"/>
      <c r="K1545" s="29" t="s">
        <v>8793</v>
      </c>
      <c r="L1545" s="32" t="n">
        <v>11</v>
      </c>
      <c r="M1545" s="33" t="s">
        <v>8794</v>
      </c>
      <c r="N1545" s="34" t="n">
        <v>75008</v>
      </c>
      <c r="O1545" s="35" t="s">
        <v>55</v>
      </c>
      <c r="P1545" s="36" t="s">
        <v>8795</v>
      </c>
      <c r="Q1545" s="36" t="n">
        <v>1</v>
      </c>
      <c r="R1545" s="32" t="n">
        <v>71</v>
      </c>
      <c r="S1545" s="32" t="n">
        <v>1</v>
      </c>
      <c r="T1545" s="43" t="s">
        <v>316</v>
      </c>
      <c r="U1545" s="32"/>
      <c r="V1545" s="37"/>
      <c r="W1545" s="32"/>
      <c r="X1545" s="34"/>
      <c r="Y1545" s="34"/>
      <c r="Z1545" s="36"/>
      <c r="AA1545" s="32" t="s">
        <v>8796</v>
      </c>
      <c r="AB1545" s="32"/>
      <c r="AC1545" s="38" t="str">
        <f aca="false">HYPERLINK("https://biocodex6--c.vf.force.com/0014L00000KFjIkQAL", "HUSSON OLIVIER")</f>
        <v>HUSSON OLIVIER</v>
      </c>
      <c r="AD1545" s="38"/>
      <c r="AE1545" s="39"/>
      <c r="AF1545" s="40"/>
      <c r="AG1545" s="41"/>
      <c r="AH1545" s="32" t="s">
        <v>179</v>
      </c>
      <c r="AI1545" s="32"/>
      <c r="AL1545" s="32"/>
      <c r="AM1545" s="32"/>
      <c r="AN1545" s="32"/>
      <c r="AO1545" s="32"/>
      <c r="AP1545" s="32"/>
      <c r="AQ1545" s="32"/>
      <c r="AR1545" s="32"/>
      <c r="AS1545" s="32"/>
      <c r="AT1545" s="32"/>
      <c r="AU1545" s="32"/>
      <c r="XEY1545" s="27"/>
      <c r="XEZ1545" s="27"/>
      <c r="XFA1545" s="27"/>
      <c r="XFB1545" s="27"/>
      <c r="XFC1545" s="27"/>
      <c r="XFD1545" s="27"/>
    </row>
    <row r="1546" s="42" customFormat="true" ht="14.15" hidden="false" customHeight="true" outlineLevel="0" collapsed="false">
      <c r="A1546" s="28" t="s">
        <v>8797</v>
      </c>
      <c r="B1546" s="29" t="s">
        <v>839</v>
      </c>
      <c r="C1546" s="29" t="s">
        <v>8798</v>
      </c>
      <c r="D1546" s="30" t="s">
        <v>172</v>
      </c>
      <c r="E1546" s="30" t="s">
        <v>818</v>
      </c>
      <c r="F1546" s="32" t="n">
        <v>64</v>
      </c>
      <c r="G1546" s="31"/>
      <c r="H1546" s="31" t="n">
        <v>1</v>
      </c>
      <c r="I1546" s="31" t="s">
        <v>119</v>
      </c>
      <c r="J1546" s="29"/>
      <c r="K1546" s="29" t="s">
        <v>8799</v>
      </c>
      <c r="L1546" s="32" t="n">
        <v>13</v>
      </c>
      <c r="M1546" s="33" t="s">
        <v>8800</v>
      </c>
      <c r="N1546" s="34" t="n">
        <v>75007</v>
      </c>
      <c r="O1546" s="35" t="s">
        <v>55</v>
      </c>
      <c r="P1546" s="36"/>
      <c r="Q1546" s="36" t="n">
        <v>1</v>
      </c>
      <c r="R1546" s="32" t="n">
        <v>71</v>
      </c>
      <c r="S1546" s="32" t="n">
        <v>1</v>
      </c>
      <c r="T1546" s="43" t="s">
        <v>316</v>
      </c>
      <c r="U1546" s="32"/>
      <c r="V1546" s="37"/>
      <c r="W1546" s="32"/>
      <c r="X1546" s="34"/>
      <c r="Y1546" s="34"/>
      <c r="Z1546" s="36"/>
      <c r="AA1546" s="32" t="s">
        <v>8801</v>
      </c>
      <c r="AB1546" s="32"/>
      <c r="AC1546" s="38" t="str">
        <f aca="false">HYPERLINK("https://biocodex6--c.vf.force.com/0014L00000KFROAQA5", "BAJEUX GILLES")</f>
        <v>BAJEUX GILLES</v>
      </c>
      <c r="AD1546" s="38"/>
      <c r="AE1546" s="39"/>
      <c r="AF1546" s="40"/>
      <c r="AG1546" s="41"/>
      <c r="AH1546" s="32" t="s">
        <v>179</v>
      </c>
      <c r="AI1546" s="32"/>
      <c r="AL1546" s="32"/>
      <c r="AM1546" s="32"/>
      <c r="AN1546" s="32"/>
      <c r="AO1546" s="32"/>
      <c r="AP1546" s="32"/>
      <c r="AQ1546" s="32"/>
      <c r="AR1546" s="32"/>
      <c r="AS1546" s="32"/>
      <c r="AT1546" s="32"/>
      <c r="AU1546" s="32"/>
      <c r="XEY1546" s="27"/>
      <c r="XEZ1546" s="27"/>
      <c r="XFA1546" s="27"/>
      <c r="XFB1546" s="27"/>
      <c r="XFC1546" s="27"/>
      <c r="XFD1546" s="27"/>
    </row>
    <row r="1547" s="42" customFormat="true" ht="14.15" hidden="false" customHeight="true" outlineLevel="0" collapsed="false">
      <c r="A1547" s="28" t="s">
        <v>773</v>
      </c>
      <c r="B1547" s="29" t="s">
        <v>643</v>
      </c>
      <c r="C1547" s="29" t="s">
        <v>8802</v>
      </c>
      <c r="D1547" s="30" t="s">
        <v>172</v>
      </c>
      <c r="E1547" s="31"/>
      <c r="F1547" s="32" t="n">
        <v>71</v>
      </c>
      <c r="G1547" s="31"/>
      <c r="H1547" s="31" t="n">
        <v>1</v>
      </c>
      <c r="I1547" s="31" t="s">
        <v>51</v>
      </c>
      <c r="J1547" s="29" t="s">
        <v>777</v>
      </c>
      <c r="K1547" s="29" t="s">
        <v>8803</v>
      </c>
      <c r="L1547" s="32" t="n">
        <v>131</v>
      </c>
      <c r="M1547" s="33" t="s">
        <v>852</v>
      </c>
      <c r="N1547" s="34" t="n">
        <v>75015</v>
      </c>
      <c r="O1547" s="35" t="s">
        <v>55</v>
      </c>
      <c r="P1547" s="36" t="s">
        <v>8804</v>
      </c>
      <c r="Q1547" s="36" t="n">
        <v>2</v>
      </c>
      <c r="R1547" s="36" t="n">
        <v>71</v>
      </c>
      <c r="S1547" s="32" t="n">
        <v>1</v>
      </c>
      <c r="T1547" s="43" t="s">
        <v>2189</v>
      </c>
      <c r="U1547" s="32" t="n">
        <v>3</v>
      </c>
      <c r="V1547" s="37"/>
      <c r="W1547" s="32"/>
      <c r="X1547" s="34"/>
      <c r="Y1547" s="34"/>
      <c r="Z1547" s="36"/>
      <c r="AA1547" s="32" t="s">
        <v>8805</v>
      </c>
      <c r="AB1547" s="32"/>
      <c r="AC1547" s="38" t="str">
        <f aca="false">HYPERLINK("https://biocodex6--c.vf.force.com/0014L00000KG3BwQAL", "THOMAS PIERRE")</f>
        <v>THOMAS PIERRE</v>
      </c>
      <c r="AD1547" s="38"/>
      <c r="AE1547" s="39"/>
      <c r="AF1547" s="40"/>
      <c r="AG1547" s="41"/>
      <c r="AH1547" s="32" t="s">
        <v>179</v>
      </c>
      <c r="AI1547" s="32"/>
      <c r="AL1547" s="32"/>
      <c r="AM1547" s="32"/>
      <c r="AN1547" s="32"/>
      <c r="AO1547" s="32"/>
      <c r="AP1547" s="32"/>
      <c r="AQ1547" s="32"/>
      <c r="AR1547" s="32"/>
      <c r="AS1547" s="32"/>
      <c r="AT1547" s="32"/>
      <c r="AU1547" s="32"/>
      <c r="XEY1547" s="27"/>
      <c r="XEZ1547" s="27"/>
      <c r="XFA1547" s="27"/>
      <c r="XFB1547" s="27"/>
      <c r="XFC1547" s="27"/>
      <c r="XFD1547" s="27"/>
    </row>
    <row r="1548" s="42" customFormat="true" ht="14.15" hidden="false" customHeight="true" outlineLevel="0" collapsed="false">
      <c r="A1548" s="28" t="s">
        <v>8806</v>
      </c>
      <c r="B1548" s="29" t="s">
        <v>8807</v>
      </c>
      <c r="C1548" s="29" t="s">
        <v>8808</v>
      </c>
      <c r="D1548" s="30" t="s">
        <v>172</v>
      </c>
      <c r="E1548" s="31"/>
      <c r="F1548" s="32" t="n">
        <v>56</v>
      </c>
      <c r="G1548" s="31"/>
      <c r="H1548" s="31" t="n">
        <v>1</v>
      </c>
      <c r="I1548" s="31" t="s">
        <v>77</v>
      </c>
      <c r="J1548" s="29" t="s">
        <v>3704</v>
      </c>
      <c r="K1548" s="29" t="s">
        <v>3705</v>
      </c>
      <c r="L1548" s="32" t="n">
        <v>40</v>
      </c>
      <c r="M1548" s="33" t="s">
        <v>3706</v>
      </c>
      <c r="N1548" s="34" t="n">
        <v>92200</v>
      </c>
      <c r="O1548" s="35" t="s">
        <v>81</v>
      </c>
      <c r="P1548" s="36" t="s">
        <v>8809</v>
      </c>
      <c r="Q1548" s="36" t="n">
        <v>4</v>
      </c>
      <c r="R1548" s="32" t="n">
        <v>71</v>
      </c>
      <c r="S1548" s="32" t="n">
        <v>1</v>
      </c>
      <c r="T1548" s="43" t="s">
        <v>316</v>
      </c>
      <c r="U1548" s="32"/>
      <c r="V1548" s="37"/>
      <c r="W1548" s="32"/>
      <c r="X1548" s="34"/>
      <c r="Y1548" s="34"/>
      <c r="Z1548" s="36"/>
      <c r="AA1548" s="32" t="s">
        <v>8810</v>
      </c>
      <c r="AB1548" s="32"/>
      <c r="AC1548" s="38" t="str">
        <f aca="false">HYPERLINK("https://biocodex6--c.vf.force.com/0014L00000NAvdFQAT", "SALMI YAMOUNA")</f>
        <v>SALMI YAMOUNA</v>
      </c>
      <c r="AD1548" s="38"/>
      <c r="AE1548" s="39"/>
      <c r="AF1548" s="40"/>
      <c r="AG1548" s="41"/>
      <c r="AH1548" s="32" t="s">
        <v>179</v>
      </c>
      <c r="AI1548" s="32"/>
      <c r="AL1548" s="32"/>
      <c r="AM1548" s="32"/>
      <c r="AN1548" s="32"/>
      <c r="AO1548" s="32"/>
      <c r="AP1548" s="32"/>
      <c r="AQ1548" s="32"/>
      <c r="AR1548" s="32"/>
      <c r="AS1548" s="32"/>
      <c r="AT1548" s="32"/>
      <c r="AU1548" s="32"/>
      <c r="XEY1548" s="27"/>
      <c r="XEZ1548" s="27"/>
      <c r="XFA1548" s="27"/>
      <c r="XFB1548" s="27"/>
      <c r="XFC1548" s="27"/>
      <c r="XFD1548" s="27"/>
    </row>
    <row r="1549" s="42" customFormat="true" ht="14.15" hidden="false" customHeight="true" outlineLevel="0" collapsed="false">
      <c r="A1549" s="28" t="s">
        <v>8811</v>
      </c>
      <c r="B1549" s="29" t="s">
        <v>1568</v>
      </c>
      <c r="C1549" s="29" t="s">
        <v>8812</v>
      </c>
      <c r="D1549" s="30" t="s">
        <v>112</v>
      </c>
      <c r="E1549" s="31"/>
      <c r="F1549" s="32" t="n">
        <v>59</v>
      </c>
      <c r="G1549" s="31"/>
      <c r="H1549" s="31" t="n">
        <v>1</v>
      </c>
      <c r="I1549" s="31" t="s">
        <v>387</v>
      </c>
      <c r="J1549" s="29" t="s">
        <v>2266</v>
      </c>
      <c r="K1549" s="29" t="s">
        <v>2267</v>
      </c>
      <c r="L1549" s="32" t="n">
        <v>14</v>
      </c>
      <c r="M1549" s="33" t="s">
        <v>2268</v>
      </c>
      <c r="N1549" s="34" t="n">
        <v>75016</v>
      </c>
      <c r="O1549" s="35" t="s">
        <v>55</v>
      </c>
      <c r="P1549" s="36"/>
      <c r="Q1549" s="36" t="n">
        <v>6</v>
      </c>
      <c r="R1549" s="32" t="n">
        <v>69</v>
      </c>
      <c r="S1549" s="32" t="n">
        <v>1</v>
      </c>
      <c r="T1549" s="32"/>
      <c r="U1549" s="32"/>
      <c r="V1549" s="37"/>
      <c r="W1549" s="32"/>
      <c r="X1549" s="34"/>
      <c r="Y1549" s="34"/>
      <c r="Z1549" s="36"/>
      <c r="AA1549" s="36" t="s">
        <v>8813</v>
      </c>
      <c r="AB1549" s="32"/>
      <c r="AC1549" s="38" t="str">
        <f aca="false">HYPERLINK("https://biocodex6--c.vf.force.com/0014L00000KG2LaQAL", "LEMERLE SAULPIC JULIETTE")</f>
        <v>LEMERLE SAULPIC JULIETTE</v>
      </c>
      <c r="AD1549" s="38"/>
      <c r="AE1549" s="39" t="n">
        <v>45253.6458333333</v>
      </c>
      <c r="AF1549" s="40"/>
      <c r="AG1549" s="41"/>
      <c r="AH1549" s="32" t="s">
        <v>179</v>
      </c>
      <c r="AI1549" s="32"/>
      <c r="AL1549" s="32"/>
      <c r="AM1549" s="32"/>
      <c r="AN1549" s="32"/>
      <c r="AO1549" s="32"/>
      <c r="AP1549" s="32"/>
      <c r="AQ1549" s="32"/>
      <c r="AR1549" s="32"/>
      <c r="AS1549" s="32"/>
      <c r="AT1549" s="32"/>
      <c r="AU1549" s="32"/>
      <c r="XEY1549" s="27"/>
      <c r="XEZ1549" s="27"/>
      <c r="XFA1549" s="27"/>
      <c r="XFB1549" s="27"/>
      <c r="XFC1549" s="27"/>
      <c r="XFD1549" s="27"/>
    </row>
    <row r="1550" s="42" customFormat="true" ht="14.15" hidden="false" customHeight="true" outlineLevel="0" collapsed="false">
      <c r="A1550" s="28" t="s">
        <v>8814</v>
      </c>
      <c r="B1550" s="29" t="s">
        <v>1403</v>
      </c>
      <c r="C1550" s="29" t="s">
        <v>8815</v>
      </c>
      <c r="D1550" s="30" t="s">
        <v>244</v>
      </c>
      <c r="E1550" s="31"/>
      <c r="F1550" s="32" t="n">
        <v>72</v>
      </c>
      <c r="G1550" s="31"/>
      <c r="H1550" s="31" t="n">
        <v>1</v>
      </c>
      <c r="I1550" s="31" t="s">
        <v>99</v>
      </c>
      <c r="J1550" s="29" t="s">
        <v>595</v>
      </c>
      <c r="K1550" s="29" t="s">
        <v>596</v>
      </c>
      <c r="L1550" s="32" t="n">
        <v>20</v>
      </c>
      <c r="M1550" s="33" t="s">
        <v>597</v>
      </c>
      <c r="N1550" s="34" t="n">
        <v>75015</v>
      </c>
      <c r="O1550" s="35" t="s">
        <v>55</v>
      </c>
      <c r="P1550" s="36" t="s">
        <v>2773</v>
      </c>
      <c r="Q1550" s="36" t="n">
        <v>90</v>
      </c>
      <c r="R1550" s="32" t="n">
        <v>69</v>
      </c>
      <c r="S1550" s="32" t="n">
        <v>1</v>
      </c>
      <c r="T1550" s="32"/>
      <c r="U1550" s="32"/>
      <c r="V1550" s="37"/>
      <c r="W1550" s="32"/>
      <c r="X1550" s="34"/>
      <c r="Y1550" s="34"/>
      <c r="Z1550" s="36"/>
      <c r="AA1550" s="32" t="s">
        <v>8816</v>
      </c>
      <c r="AB1550" s="32"/>
      <c r="AC1550" s="38" t="str">
        <f aca="false">HYPERLINK("https://biocodex6--c.vf.force.com/0014L00000KFU80QAH", "BOSIO LEGOUX BRIGITTE")</f>
        <v>BOSIO LEGOUX BRIGITTE</v>
      </c>
      <c r="AD1550" s="38"/>
      <c r="AE1550" s="39"/>
      <c r="AF1550" s="40"/>
      <c r="AG1550" s="41"/>
      <c r="AH1550" s="32" t="s">
        <v>179</v>
      </c>
      <c r="AI1550" s="32"/>
      <c r="AL1550" s="32"/>
      <c r="AM1550" s="32"/>
      <c r="AN1550" s="32"/>
      <c r="AO1550" s="32"/>
      <c r="AP1550" s="32"/>
      <c r="AQ1550" s="32"/>
      <c r="AR1550" s="32"/>
      <c r="AS1550" s="32"/>
      <c r="AT1550" s="32"/>
      <c r="AU1550" s="32"/>
      <c r="XEY1550" s="27"/>
      <c r="XEZ1550" s="27"/>
      <c r="XFA1550" s="27"/>
      <c r="XFB1550" s="27"/>
      <c r="XFC1550" s="27"/>
      <c r="XFD1550" s="27"/>
    </row>
    <row r="1551" s="42" customFormat="true" ht="14.15" hidden="false" customHeight="true" outlineLevel="0" collapsed="false">
      <c r="A1551" s="28" t="s">
        <v>8817</v>
      </c>
      <c r="B1551" s="29" t="s">
        <v>231</v>
      </c>
      <c r="C1551" s="29" t="s">
        <v>8818</v>
      </c>
      <c r="D1551" s="30" t="s">
        <v>244</v>
      </c>
      <c r="E1551" s="31"/>
      <c r="F1551" s="32" t="n">
        <v>72</v>
      </c>
      <c r="G1551" s="31"/>
      <c r="H1551" s="31" t="n">
        <v>1</v>
      </c>
      <c r="I1551" s="31" t="s">
        <v>99</v>
      </c>
      <c r="J1551" s="29" t="s">
        <v>595</v>
      </c>
      <c r="K1551" s="29" t="s">
        <v>596</v>
      </c>
      <c r="L1551" s="32" t="n">
        <v>20</v>
      </c>
      <c r="M1551" s="33" t="s">
        <v>597</v>
      </c>
      <c r="N1551" s="34" t="n">
        <v>75015</v>
      </c>
      <c r="O1551" s="35" t="s">
        <v>55</v>
      </c>
      <c r="P1551" s="36" t="s">
        <v>7451</v>
      </c>
      <c r="Q1551" s="36" t="n">
        <v>90</v>
      </c>
      <c r="R1551" s="32" t="n">
        <v>69</v>
      </c>
      <c r="S1551" s="32" t="n">
        <v>1</v>
      </c>
      <c r="T1551" s="32"/>
      <c r="U1551" s="32"/>
      <c r="V1551" s="37"/>
      <c r="W1551" s="32"/>
      <c r="X1551" s="34"/>
      <c r="Y1551" s="34"/>
      <c r="Z1551" s="36"/>
      <c r="AA1551" s="32" t="s">
        <v>8819</v>
      </c>
      <c r="AB1551" s="32"/>
      <c r="AC1551" s="38" t="str">
        <f aca="false">HYPERLINK("https://biocodex6--c.vf.force.com/0014L00000KFvvSQAT", "PICHOT PARIAT ANNE")</f>
        <v>PICHOT PARIAT ANNE</v>
      </c>
      <c r="AD1551" s="38"/>
      <c r="AE1551" s="39"/>
      <c r="AF1551" s="40"/>
      <c r="AG1551" s="41"/>
      <c r="AH1551" s="32" t="s">
        <v>179</v>
      </c>
      <c r="AI1551" s="32"/>
      <c r="AL1551" s="32"/>
      <c r="AM1551" s="32"/>
      <c r="AN1551" s="32"/>
      <c r="AO1551" s="32"/>
      <c r="AP1551" s="32"/>
      <c r="AQ1551" s="32"/>
      <c r="AR1551" s="32"/>
      <c r="AS1551" s="32"/>
      <c r="AT1551" s="32"/>
      <c r="AU1551" s="32"/>
      <c r="XEY1551" s="27"/>
      <c r="XEZ1551" s="27"/>
      <c r="XFA1551" s="27"/>
      <c r="XFB1551" s="27"/>
      <c r="XFC1551" s="27"/>
      <c r="XFD1551" s="27"/>
    </row>
    <row r="1552" s="42" customFormat="true" ht="14.15" hidden="false" customHeight="true" outlineLevel="0" collapsed="false">
      <c r="A1552" s="28" t="s">
        <v>8820</v>
      </c>
      <c r="B1552" s="29" t="s">
        <v>2987</v>
      </c>
      <c r="C1552" s="29" t="s">
        <v>8821</v>
      </c>
      <c r="D1552" s="30" t="s">
        <v>172</v>
      </c>
      <c r="E1552" s="30" t="s">
        <v>818</v>
      </c>
      <c r="F1552" s="32" t="n">
        <v>65</v>
      </c>
      <c r="G1552" s="31"/>
      <c r="H1552" s="31" t="n">
        <v>2</v>
      </c>
      <c r="I1552" s="31" t="s">
        <v>119</v>
      </c>
      <c r="J1552" s="29"/>
      <c r="K1552" s="29" t="s">
        <v>8822</v>
      </c>
      <c r="L1552" s="32" t="n">
        <v>17</v>
      </c>
      <c r="M1552" s="33" t="s">
        <v>5621</v>
      </c>
      <c r="N1552" s="34" t="n">
        <v>75007</v>
      </c>
      <c r="O1552" s="35" t="s">
        <v>55</v>
      </c>
      <c r="P1552" s="36" t="s">
        <v>8823</v>
      </c>
      <c r="Q1552" s="36" t="n">
        <v>2</v>
      </c>
      <c r="R1552" s="32" t="n">
        <v>69</v>
      </c>
      <c r="S1552" s="32" t="n">
        <v>1</v>
      </c>
      <c r="T1552" s="43" t="s">
        <v>316</v>
      </c>
      <c r="U1552" s="32"/>
      <c r="V1552" s="37"/>
      <c r="W1552" s="32"/>
      <c r="X1552" s="34"/>
      <c r="Y1552" s="34"/>
      <c r="Z1552" s="36"/>
      <c r="AA1552" s="32" t="s">
        <v>8824</v>
      </c>
      <c r="AB1552" s="32"/>
      <c r="AC1552" s="38" t="str">
        <f aca="false">HYPERLINK("https://biocodex6--c.vf.force.com/0014L00000KFUj2QAH", "BRESTOVANSKY THIERRY")</f>
        <v>BRESTOVANSKY THIERRY</v>
      </c>
      <c r="AD1552" s="38"/>
      <c r="AE1552" s="39"/>
      <c r="AF1552" s="40"/>
      <c r="AG1552" s="41"/>
      <c r="AH1552" s="32" t="s">
        <v>179</v>
      </c>
      <c r="AI1552" s="32"/>
      <c r="AL1552" s="32"/>
      <c r="AM1552" s="32"/>
      <c r="AN1552" s="32"/>
      <c r="AO1552" s="32"/>
      <c r="AP1552" s="32"/>
      <c r="AQ1552" s="32"/>
      <c r="AR1552" s="32"/>
      <c r="AS1552" s="32"/>
      <c r="AT1552" s="32"/>
      <c r="AU1552" s="32"/>
      <c r="XEY1552" s="27"/>
      <c r="XEZ1552" s="27"/>
      <c r="XFA1552" s="27"/>
      <c r="XFB1552" s="27"/>
      <c r="XFC1552" s="27"/>
      <c r="XFD1552" s="27"/>
    </row>
    <row r="1553" s="42" customFormat="true" ht="14.15" hidden="false" customHeight="true" outlineLevel="0" collapsed="false">
      <c r="A1553" s="28" t="s">
        <v>8825</v>
      </c>
      <c r="B1553" s="29" t="s">
        <v>376</v>
      </c>
      <c r="C1553" s="29" t="s">
        <v>8826</v>
      </c>
      <c r="D1553" s="30" t="s">
        <v>172</v>
      </c>
      <c r="E1553" s="31"/>
      <c r="F1553" s="32" t="n">
        <v>0</v>
      </c>
      <c r="G1553" s="31"/>
      <c r="H1553" s="31" t="n">
        <v>1</v>
      </c>
      <c r="I1553" s="31" t="s">
        <v>119</v>
      </c>
      <c r="J1553" s="29"/>
      <c r="K1553" s="29" t="s">
        <v>1220</v>
      </c>
      <c r="L1553" s="32" t="n">
        <v>199</v>
      </c>
      <c r="M1553" s="33" t="s">
        <v>1221</v>
      </c>
      <c r="N1553" s="34" t="n">
        <v>75007</v>
      </c>
      <c r="O1553" s="35" t="s">
        <v>55</v>
      </c>
      <c r="P1553" s="36" t="s">
        <v>8827</v>
      </c>
      <c r="Q1553" s="36" t="n">
        <v>4</v>
      </c>
      <c r="R1553" s="32" t="n">
        <v>69</v>
      </c>
      <c r="S1553" s="32" t="n">
        <v>1</v>
      </c>
      <c r="T1553" s="43" t="s">
        <v>1107</v>
      </c>
      <c r="U1553" s="32" t="n">
        <v>3</v>
      </c>
      <c r="V1553" s="37"/>
      <c r="W1553" s="32"/>
      <c r="X1553" s="34"/>
      <c r="Y1553" s="34"/>
      <c r="Z1553" s="36"/>
      <c r="AA1553" s="32"/>
      <c r="AB1553" s="32"/>
      <c r="AC1553" s="38"/>
      <c r="AD1553" s="38"/>
      <c r="AE1553" s="39"/>
      <c r="AF1553" s="40"/>
      <c r="AG1553" s="45"/>
      <c r="AH1553" s="32" t="s">
        <v>179</v>
      </c>
      <c r="AI1553" s="32"/>
      <c r="AL1553" s="32"/>
      <c r="AM1553" s="32"/>
      <c r="AN1553" s="32"/>
      <c r="AO1553" s="32"/>
      <c r="AP1553" s="32"/>
      <c r="AQ1553" s="32"/>
      <c r="AR1553" s="32"/>
      <c r="AS1553" s="32"/>
      <c r="AT1553" s="32"/>
      <c r="AU1553" s="32"/>
      <c r="XEY1553" s="27"/>
      <c r="XEZ1553" s="27"/>
      <c r="XFA1553" s="27"/>
      <c r="XFB1553" s="27"/>
      <c r="XFC1553" s="27"/>
      <c r="XFD1553" s="27"/>
    </row>
    <row r="1554" s="42" customFormat="true" ht="14.15" hidden="false" customHeight="true" outlineLevel="0" collapsed="false">
      <c r="A1554" s="28" t="s">
        <v>8828</v>
      </c>
      <c r="B1554" s="29" t="s">
        <v>151</v>
      </c>
      <c r="C1554" s="29" t="s">
        <v>8829</v>
      </c>
      <c r="D1554" s="30" t="s">
        <v>172</v>
      </c>
      <c r="E1554" s="31"/>
      <c r="F1554" s="32" t="n">
        <v>73</v>
      </c>
      <c r="G1554" s="31"/>
      <c r="H1554" s="31" t="n">
        <v>1</v>
      </c>
      <c r="I1554" s="31" t="s">
        <v>119</v>
      </c>
      <c r="J1554" s="29"/>
      <c r="K1554" s="29" t="s">
        <v>8830</v>
      </c>
      <c r="L1554" s="32" t="n">
        <v>21</v>
      </c>
      <c r="M1554" s="33" t="s">
        <v>904</v>
      </c>
      <c r="N1554" s="34" t="n">
        <v>75007</v>
      </c>
      <c r="O1554" s="35" t="s">
        <v>55</v>
      </c>
      <c r="P1554" s="36" t="s">
        <v>8831</v>
      </c>
      <c r="Q1554" s="36" t="n">
        <v>3</v>
      </c>
      <c r="R1554" s="32" t="n">
        <v>69</v>
      </c>
      <c r="S1554" s="32" t="n">
        <v>1</v>
      </c>
      <c r="T1554" s="43" t="s">
        <v>316</v>
      </c>
      <c r="U1554" s="32"/>
      <c r="V1554" s="37"/>
      <c r="W1554" s="32"/>
      <c r="X1554" s="34"/>
      <c r="Y1554" s="34"/>
      <c r="Z1554" s="36"/>
      <c r="AA1554" s="32" t="s">
        <v>8832</v>
      </c>
      <c r="AB1554" s="32"/>
      <c r="AC1554" s="38" t="str">
        <f aca="false">HYPERLINK("https://biocodex6--c.vf.force.com/0014L00000KFeAaQAL", "FORTINEAU FREDERIC")</f>
        <v>FORTINEAU FREDERIC</v>
      </c>
      <c r="AD1554" s="38"/>
      <c r="AE1554" s="39"/>
      <c r="AF1554" s="40"/>
      <c r="AG1554" s="41"/>
      <c r="AH1554" s="32" t="s">
        <v>179</v>
      </c>
      <c r="AI1554" s="32"/>
      <c r="AL1554" s="32"/>
      <c r="AM1554" s="32"/>
      <c r="AN1554" s="32"/>
      <c r="AO1554" s="32"/>
      <c r="AP1554" s="32"/>
      <c r="AQ1554" s="32"/>
      <c r="AR1554" s="32"/>
      <c r="AS1554" s="32"/>
      <c r="AT1554" s="32"/>
      <c r="AU1554" s="32"/>
      <c r="XEY1554" s="27"/>
      <c r="XEZ1554" s="27"/>
      <c r="XFA1554" s="27"/>
      <c r="XFB1554" s="27"/>
      <c r="XFC1554" s="27"/>
      <c r="XFD1554" s="27"/>
    </row>
    <row r="1555" s="42" customFormat="true" ht="14.15" hidden="false" customHeight="true" outlineLevel="0" collapsed="false">
      <c r="A1555" s="28" t="s">
        <v>8833</v>
      </c>
      <c r="B1555" s="29" t="s">
        <v>5648</v>
      </c>
      <c r="C1555" s="29" t="s">
        <v>8834</v>
      </c>
      <c r="D1555" s="30" t="s">
        <v>172</v>
      </c>
      <c r="E1555" s="30" t="s">
        <v>818</v>
      </c>
      <c r="F1555" s="32" t="n">
        <v>73</v>
      </c>
      <c r="G1555" s="31"/>
      <c r="H1555" s="31" t="n">
        <v>1</v>
      </c>
      <c r="I1555" s="31" t="s">
        <v>51</v>
      </c>
      <c r="J1555" s="29"/>
      <c r="K1555" s="29" t="s">
        <v>6145</v>
      </c>
      <c r="L1555" s="32" t="n">
        <v>32</v>
      </c>
      <c r="M1555" s="33" t="s">
        <v>3814</v>
      </c>
      <c r="N1555" s="34" t="n">
        <v>75015</v>
      </c>
      <c r="O1555" s="35" t="s">
        <v>55</v>
      </c>
      <c r="P1555" s="36" t="s">
        <v>8835</v>
      </c>
      <c r="Q1555" s="36" t="n">
        <v>2</v>
      </c>
      <c r="R1555" s="32" t="n">
        <v>69</v>
      </c>
      <c r="S1555" s="32" t="n">
        <v>1</v>
      </c>
      <c r="T1555" s="43" t="s">
        <v>316</v>
      </c>
      <c r="U1555" s="32"/>
      <c r="V1555" s="37"/>
      <c r="W1555" s="32"/>
      <c r="X1555" s="34"/>
      <c r="Y1555" s="34"/>
      <c r="Z1555" s="36"/>
      <c r="AA1555" s="32" t="s">
        <v>8836</v>
      </c>
      <c r="AB1555" s="32"/>
      <c r="AC1555" s="38" t="str">
        <f aca="false">HYPERLINK("https://biocodex6--c.vf.force.com/0014L00000KFeddQAD", "FROMBAUM PASCAL")</f>
        <v>FROMBAUM PASCAL</v>
      </c>
      <c r="AD1555" s="38"/>
      <c r="AE1555" s="39"/>
      <c r="AF1555" s="40"/>
      <c r="AG1555" s="41"/>
      <c r="AH1555" s="32" t="s">
        <v>179</v>
      </c>
      <c r="AI1555" s="32"/>
      <c r="AL1555" s="32"/>
      <c r="AM1555" s="32"/>
      <c r="AN1555" s="32"/>
      <c r="AO1555" s="32"/>
      <c r="AP1555" s="32"/>
      <c r="AQ1555" s="32"/>
      <c r="AR1555" s="32"/>
      <c r="AS1555" s="32"/>
      <c r="AT1555" s="32"/>
      <c r="AU1555" s="32"/>
      <c r="XEY1555" s="27"/>
      <c r="XEZ1555" s="27"/>
      <c r="XFA1555" s="27"/>
      <c r="XFB1555" s="27"/>
      <c r="XFC1555" s="27"/>
      <c r="XFD1555" s="27"/>
    </row>
    <row r="1556" s="42" customFormat="true" ht="14.15" hidden="false" customHeight="true" outlineLevel="0" collapsed="false">
      <c r="A1556" s="28" t="s">
        <v>8837</v>
      </c>
      <c r="B1556" s="29" t="s">
        <v>183</v>
      </c>
      <c r="C1556" s="29" t="s">
        <v>8838</v>
      </c>
      <c r="D1556" s="30" t="s">
        <v>172</v>
      </c>
      <c r="E1556" s="31"/>
      <c r="F1556" s="32" t="n">
        <v>59</v>
      </c>
      <c r="G1556" s="31"/>
      <c r="H1556" s="31" t="n">
        <v>1</v>
      </c>
      <c r="I1556" s="31" t="s">
        <v>51</v>
      </c>
      <c r="J1556" s="29"/>
      <c r="K1556" s="29" t="s">
        <v>8839</v>
      </c>
      <c r="L1556" s="32" t="n">
        <v>204</v>
      </c>
      <c r="M1556" s="33" t="s">
        <v>852</v>
      </c>
      <c r="N1556" s="34" t="n">
        <v>75015</v>
      </c>
      <c r="O1556" s="35" t="s">
        <v>55</v>
      </c>
      <c r="P1556" s="36" t="s">
        <v>8840</v>
      </c>
      <c r="Q1556" s="36" t="n">
        <v>1</v>
      </c>
      <c r="R1556" s="36" t="n">
        <v>69</v>
      </c>
      <c r="S1556" s="32" t="n">
        <v>1</v>
      </c>
      <c r="T1556" s="43" t="s">
        <v>2189</v>
      </c>
      <c r="U1556" s="32" t="n">
        <v>3</v>
      </c>
      <c r="V1556" s="37" t="n">
        <v>3</v>
      </c>
      <c r="W1556" s="32"/>
      <c r="X1556" s="34"/>
      <c r="Y1556" s="34"/>
      <c r="Z1556" s="36"/>
      <c r="AA1556" s="32" t="s">
        <v>8841</v>
      </c>
      <c r="AB1556" s="32"/>
      <c r="AC1556" s="38" t="str">
        <f aca="false">HYPERLINK("https://biocodex6--c.vf.force.com/0014L00000KFcseQAD", "EVEN CHRISTIAN")</f>
        <v>EVEN CHRISTIAN</v>
      </c>
      <c r="AD1556" s="38"/>
      <c r="AE1556" s="39"/>
      <c r="AF1556" s="40"/>
      <c r="AG1556" s="41"/>
      <c r="AH1556" s="32" t="s">
        <v>179</v>
      </c>
      <c r="AI1556" s="32"/>
      <c r="AL1556" s="32"/>
      <c r="AM1556" s="32"/>
      <c r="AN1556" s="32"/>
      <c r="AO1556" s="32"/>
      <c r="AP1556" s="32"/>
      <c r="AQ1556" s="32"/>
      <c r="AR1556" s="32"/>
      <c r="AS1556" s="32"/>
      <c r="AT1556" s="32"/>
      <c r="AU1556" s="32"/>
      <c r="XEY1556" s="27"/>
      <c r="XEZ1556" s="27"/>
      <c r="XFA1556" s="27"/>
      <c r="XFB1556" s="27"/>
      <c r="XFC1556" s="27"/>
      <c r="XFD1556" s="27"/>
    </row>
    <row r="1557" s="42" customFormat="true" ht="14.15" hidden="false" customHeight="true" outlineLevel="0" collapsed="false">
      <c r="A1557" s="28" t="s">
        <v>6697</v>
      </c>
      <c r="B1557" s="29" t="s">
        <v>419</v>
      </c>
      <c r="C1557" s="29" t="s">
        <v>8842</v>
      </c>
      <c r="D1557" s="30" t="s">
        <v>50</v>
      </c>
      <c r="E1557" s="31"/>
      <c r="F1557" s="32" t="n">
        <v>0</v>
      </c>
      <c r="G1557" s="31"/>
      <c r="H1557" s="31" t="n">
        <v>1</v>
      </c>
      <c r="I1557" s="31" t="s">
        <v>435</v>
      </c>
      <c r="J1557" s="29"/>
      <c r="K1557" s="29" t="s">
        <v>8843</v>
      </c>
      <c r="L1557" s="32" t="n">
        <v>54</v>
      </c>
      <c r="M1557" s="33" t="s">
        <v>1010</v>
      </c>
      <c r="N1557" s="34" t="n">
        <v>75016</v>
      </c>
      <c r="O1557" s="35" t="s">
        <v>55</v>
      </c>
      <c r="P1557" s="36" t="s">
        <v>8844</v>
      </c>
      <c r="Q1557" s="36" t="n">
        <v>1</v>
      </c>
      <c r="R1557" s="32" t="n">
        <v>69</v>
      </c>
      <c r="S1557" s="32" t="n">
        <v>1</v>
      </c>
      <c r="T1557" s="32"/>
      <c r="U1557" s="32"/>
      <c r="V1557" s="37"/>
      <c r="W1557" s="32"/>
      <c r="X1557" s="34"/>
      <c r="Y1557" s="34"/>
      <c r="Z1557" s="36"/>
      <c r="AA1557" s="32" t="s">
        <v>8845</v>
      </c>
      <c r="AB1557" s="32"/>
      <c r="AC1557" s="38" t="str">
        <f aca="false">HYPERLINK("https://biocodex6--c.vf.force.com/0014L00000KFu9NQAT", "NGUYEN FLORENCE")</f>
        <v>NGUYEN FLORENCE</v>
      </c>
      <c r="AD1557" s="38"/>
      <c r="AE1557" s="39"/>
      <c r="AF1557" s="40"/>
      <c r="AG1557" s="41"/>
      <c r="AH1557" s="32" t="s">
        <v>179</v>
      </c>
      <c r="AI1557" s="32"/>
      <c r="AL1557" s="32"/>
      <c r="AM1557" s="32"/>
      <c r="AN1557" s="32"/>
      <c r="AO1557" s="32"/>
      <c r="AP1557" s="32"/>
      <c r="AQ1557" s="32"/>
      <c r="AR1557" s="32"/>
      <c r="AS1557" s="32"/>
      <c r="AT1557" s="32"/>
      <c r="AU1557" s="32"/>
      <c r="XEY1557" s="27"/>
      <c r="XEZ1557" s="27"/>
      <c r="XFA1557" s="27"/>
      <c r="XFB1557" s="27"/>
      <c r="XFC1557" s="27"/>
      <c r="XFD1557" s="27"/>
    </row>
    <row r="1558" s="42" customFormat="true" ht="14.15" hidden="false" customHeight="true" outlineLevel="0" collapsed="false">
      <c r="A1558" s="28" t="s">
        <v>8846</v>
      </c>
      <c r="B1558" s="29" t="s">
        <v>8847</v>
      </c>
      <c r="C1558" s="29" t="s">
        <v>8848</v>
      </c>
      <c r="D1558" s="30" t="s">
        <v>50</v>
      </c>
      <c r="E1558" s="30" t="s">
        <v>344</v>
      </c>
      <c r="F1558" s="32" t="n">
        <v>35</v>
      </c>
      <c r="G1558" s="31" t="s">
        <v>98</v>
      </c>
      <c r="H1558" s="31" t="n">
        <v>3</v>
      </c>
      <c r="I1558" s="31" t="s">
        <v>62</v>
      </c>
      <c r="J1558" s="29"/>
      <c r="K1558" s="29" t="s">
        <v>5472</v>
      </c>
      <c r="L1558" s="32" t="n">
        <v>34</v>
      </c>
      <c r="M1558" s="33" t="s">
        <v>5473</v>
      </c>
      <c r="N1558" s="34" t="n">
        <v>75017</v>
      </c>
      <c r="O1558" s="35" t="s">
        <v>55</v>
      </c>
      <c r="P1558" s="36" t="s">
        <v>8849</v>
      </c>
      <c r="Q1558" s="36" t="n">
        <v>2</v>
      </c>
      <c r="R1558" s="32" t="n">
        <v>69</v>
      </c>
      <c r="S1558" s="32" t="n">
        <v>1</v>
      </c>
      <c r="T1558" s="32"/>
      <c r="U1558" s="32"/>
      <c r="V1558" s="37"/>
      <c r="W1558" s="32"/>
      <c r="X1558" s="34"/>
      <c r="Y1558" s="34"/>
      <c r="Z1558" s="36"/>
      <c r="AA1558" s="32" t="s">
        <v>8850</v>
      </c>
      <c r="AB1558" s="32" t="s">
        <v>8851</v>
      </c>
      <c r="AC1558" s="38" t="str">
        <f aca="false">HYPERLINK("https://biocodex6--c.vf.force.com/0014L00000KGETxQAP", "BERDUGO LIOR")</f>
        <v>BERDUGO LIOR</v>
      </c>
      <c r="AD1558" s="38" t="str">
        <f aca="false">HYPERLINK("https://annuairesante.ameli.fr/professionnels-de-sante/recherche/fiche-detaillee-B7c1kjsyMDWz.html", "BERDUGO LIOR")</f>
        <v>BERDUGO LIOR</v>
      </c>
      <c r="AE1558" s="39"/>
      <c r="AF1558" s="40"/>
      <c r="AG1558" s="41"/>
      <c r="AH1558" s="32" t="s">
        <v>179</v>
      </c>
      <c r="AI1558" s="32"/>
      <c r="AL1558" s="32"/>
      <c r="AM1558" s="32"/>
      <c r="AN1558" s="32"/>
      <c r="AO1558" s="32"/>
      <c r="AP1558" s="32"/>
      <c r="AQ1558" s="32"/>
      <c r="AR1558" s="32"/>
      <c r="AS1558" s="32"/>
      <c r="AT1558" s="32"/>
      <c r="AU1558" s="32"/>
      <c r="XEY1558" s="27"/>
      <c r="XEZ1558" s="27"/>
      <c r="XFA1558" s="27"/>
      <c r="XFB1558" s="27"/>
      <c r="XFC1558" s="27"/>
      <c r="XFD1558" s="27"/>
    </row>
    <row r="1559" s="42" customFormat="true" ht="14.15" hidden="false" customHeight="true" outlineLevel="0" collapsed="false">
      <c r="A1559" s="28" t="s">
        <v>8852</v>
      </c>
      <c r="B1559" s="29" t="s">
        <v>3063</v>
      </c>
      <c r="C1559" s="29" t="s">
        <v>8853</v>
      </c>
      <c r="D1559" s="30" t="s">
        <v>172</v>
      </c>
      <c r="E1559" s="30" t="s">
        <v>818</v>
      </c>
      <c r="F1559" s="32" t="n">
        <v>71</v>
      </c>
      <c r="G1559" s="31"/>
      <c r="H1559" s="31" t="n">
        <v>1</v>
      </c>
      <c r="I1559" s="31" t="s">
        <v>173</v>
      </c>
      <c r="J1559" s="29"/>
      <c r="K1559" s="29" t="s">
        <v>8854</v>
      </c>
      <c r="L1559" s="32" t="n">
        <v>20</v>
      </c>
      <c r="M1559" s="33" t="s">
        <v>498</v>
      </c>
      <c r="N1559" s="34" t="n">
        <v>75016</v>
      </c>
      <c r="O1559" s="35" t="s">
        <v>55</v>
      </c>
      <c r="P1559" s="36"/>
      <c r="Q1559" s="36" t="n">
        <v>2</v>
      </c>
      <c r="R1559" s="32" t="n">
        <v>69</v>
      </c>
      <c r="S1559" s="32" t="n">
        <v>1</v>
      </c>
      <c r="T1559" s="43" t="s">
        <v>316</v>
      </c>
      <c r="U1559" s="32"/>
      <c r="V1559" s="37"/>
      <c r="W1559" s="32"/>
      <c r="X1559" s="34"/>
      <c r="Y1559" s="34"/>
      <c r="Z1559" s="32"/>
      <c r="AA1559" s="32" t="s">
        <v>8855</v>
      </c>
      <c r="AB1559" s="32"/>
      <c r="AC1559" s="38" t="str">
        <f aca="false">HYPERLINK("https://biocodex6--c.vf.force.com/0014L00000KFrdlQAD", "MEYER LUC")</f>
        <v>MEYER LUC</v>
      </c>
      <c r="AD1559" s="38"/>
      <c r="AE1559" s="39"/>
      <c r="AF1559" s="40"/>
      <c r="AG1559" s="41"/>
      <c r="AH1559" s="32" t="s">
        <v>156</v>
      </c>
      <c r="AI1559" s="32"/>
      <c r="AK1559" s="42" t="s">
        <v>8856</v>
      </c>
      <c r="AL1559" s="32"/>
      <c r="AM1559" s="32"/>
      <c r="AN1559" s="32"/>
      <c r="AO1559" s="32"/>
      <c r="AP1559" s="32"/>
      <c r="AQ1559" s="32"/>
      <c r="AR1559" s="32"/>
      <c r="AS1559" s="32"/>
      <c r="AT1559" s="32"/>
      <c r="AU1559" s="32"/>
      <c r="XEY1559" s="27"/>
      <c r="XEZ1559" s="27"/>
      <c r="XFA1559" s="27"/>
      <c r="XFB1559" s="27"/>
      <c r="XFC1559" s="27"/>
      <c r="XFD1559" s="27"/>
    </row>
    <row r="1560" s="42" customFormat="true" ht="14.15" hidden="false" customHeight="true" outlineLevel="0" collapsed="false">
      <c r="A1560" s="28" t="s">
        <v>8857</v>
      </c>
      <c r="B1560" s="29" t="s">
        <v>1385</v>
      </c>
      <c r="C1560" s="29" t="s">
        <v>8858</v>
      </c>
      <c r="D1560" s="30" t="s">
        <v>172</v>
      </c>
      <c r="E1560" s="31"/>
      <c r="F1560" s="32" t="n">
        <v>46</v>
      </c>
      <c r="G1560" s="31"/>
      <c r="H1560" s="31" t="n">
        <v>1</v>
      </c>
      <c r="I1560" s="31" t="s">
        <v>387</v>
      </c>
      <c r="J1560" s="29"/>
      <c r="K1560" s="29" t="s">
        <v>8859</v>
      </c>
      <c r="L1560" s="32" t="n">
        <v>102</v>
      </c>
      <c r="M1560" s="33" t="s">
        <v>2268</v>
      </c>
      <c r="N1560" s="34" t="n">
        <v>75016</v>
      </c>
      <c r="O1560" s="35" t="s">
        <v>55</v>
      </c>
      <c r="P1560" s="36"/>
      <c r="Q1560" s="36" t="n">
        <v>1</v>
      </c>
      <c r="R1560" s="32" t="n">
        <v>68</v>
      </c>
      <c r="S1560" s="32" t="n">
        <v>1</v>
      </c>
      <c r="T1560" s="43" t="s">
        <v>316</v>
      </c>
      <c r="U1560" s="32"/>
      <c r="V1560" s="37"/>
      <c r="W1560" s="32"/>
      <c r="X1560" s="34"/>
      <c r="Y1560" s="34"/>
      <c r="Z1560" s="36"/>
      <c r="AA1560" s="32" t="s">
        <v>8860</v>
      </c>
      <c r="AB1560" s="32"/>
      <c r="AC1560" s="38" t="str">
        <f aca="false">HYPERLINK("https://biocodex6--c.vf.force.com/0014L00000NCP7XQAX", "PEYNEAU PONS CECILE")</f>
        <v>PEYNEAU PONS CECILE</v>
      </c>
      <c r="AD1560" s="38"/>
      <c r="AE1560" s="39"/>
      <c r="AF1560" s="40"/>
      <c r="AG1560" s="41"/>
      <c r="AH1560" s="32" t="s">
        <v>179</v>
      </c>
      <c r="AI1560" s="32"/>
      <c r="AL1560" s="32"/>
      <c r="AM1560" s="32"/>
      <c r="AN1560" s="32"/>
      <c r="AO1560" s="32"/>
      <c r="AP1560" s="32"/>
      <c r="AQ1560" s="32"/>
      <c r="AR1560" s="32"/>
      <c r="AS1560" s="32"/>
      <c r="AT1560" s="32"/>
      <c r="AU1560" s="32"/>
      <c r="XEY1560" s="27"/>
      <c r="XEZ1560" s="27"/>
      <c r="XFA1560" s="27"/>
      <c r="XFB1560" s="27"/>
      <c r="XFC1560" s="27"/>
      <c r="XFD1560" s="27"/>
    </row>
    <row r="1561" s="42" customFormat="true" ht="14.15" hidden="false" customHeight="true" outlineLevel="0" collapsed="false">
      <c r="A1561" s="28" t="s">
        <v>8861</v>
      </c>
      <c r="B1561" s="29" t="s">
        <v>883</v>
      </c>
      <c r="C1561" s="29" t="s">
        <v>8862</v>
      </c>
      <c r="D1561" s="30" t="s">
        <v>172</v>
      </c>
      <c r="E1561" s="31"/>
      <c r="F1561" s="32" t="n">
        <v>73</v>
      </c>
      <c r="G1561" s="31"/>
      <c r="H1561" s="31" t="n">
        <v>1</v>
      </c>
      <c r="I1561" s="31" t="s">
        <v>99</v>
      </c>
      <c r="J1561" s="29"/>
      <c r="K1561" s="29" t="s">
        <v>8863</v>
      </c>
      <c r="L1561" s="32" t="n">
        <v>52</v>
      </c>
      <c r="M1561" s="33" t="s">
        <v>1769</v>
      </c>
      <c r="N1561" s="34" t="n">
        <v>75015</v>
      </c>
      <c r="O1561" s="35" t="s">
        <v>55</v>
      </c>
      <c r="P1561" s="36" t="s">
        <v>8864</v>
      </c>
      <c r="Q1561" s="36" t="n">
        <v>1</v>
      </c>
      <c r="R1561" s="32" t="n">
        <v>68</v>
      </c>
      <c r="S1561" s="32" t="n">
        <v>1</v>
      </c>
      <c r="T1561" s="43" t="s">
        <v>316</v>
      </c>
      <c r="U1561" s="32"/>
      <c r="V1561" s="37"/>
      <c r="W1561" s="32"/>
      <c r="X1561" s="34"/>
      <c r="Y1561" s="34"/>
      <c r="Z1561" s="36"/>
      <c r="AA1561" s="32" t="s">
        <v>8865</v>
      </c>
      <c r="AB1561" s="32"/>
      <c r="AC1561" s="38" t="str">
        <f aca="false">HYPERLINK("https://biocodex6--c.vf.force.com/0014L00000KG2VcQAL", "TALBOT JACQUES")</f>
        <v>TALBOT JACQUES</v>
      </c>
      <c r="AD1561" s="38"/>
      <c r="AE1561" s="39"/>
      <c r="AF1561" s="40"/>
      <c r="AG1561" s="41"/>
      <c r="AH1561" s="32" t="s">
        <v>179</v>
      </c>
      <c r="AI1561" s="32"/>
      <c r="AL1561" s="32"/>
      <c r="AM1561" s="32"/>
      <c r="AN1561" s="32"/>
      <c r="AO1561" s="32"/>
      <c r="AP1561" s="32"/>
      <c r="AQ1561" s="32"/>
      <c r="AR1561" s="32"/>
      <c r="AS1561" s="32"/>
      <c r="AT1561" s="32"/>
      <c r="AU1561" s="32"/>
      <c r="XEY1561" s="27"/>
      <c r="XEZ1561" s="27"/>
      <c r="XFA1561" s="27"/>
      <c r="XFB1561" s="27"/>
      <c r="XFC1561" s="27"/>
      <c r="XFD1561" s="27"/>
    </row>
    <row r="1562" s="42" customFormat="true" ht="14.15" hidden="false" customHeight="true" outlineLevel="0" collapsed="false">
      <c r="A1562" s="28" t="s">
        <v>8866</v>
      </c>
      <c r="B1562" s="29" t="s">
        <v>59</v>
      </c>
      <c r="C1562" s="29" t="s">
        <v>8867</v>
      </c>
      <c r="D1562" s="30" t="s">
        <v>1103</v>
      </c>
      <c r="E1562" s="31"/>
      <c r="F1562" s="32" t="n">
        <v>0</v>
      </c>
      <c r="G1562" s="31"/>
      <c r="H1562" s="31" t="n">
        <v>1</v>
      </c>
      <c r="I1562" s="31" t="s">
        <v>99</v>
      </c>
      <c r="J1562" s="29"/>
      <c r="K1562" s="29" t="s">
        <v>8868</v>
      </c>
      <c r="L1562" s="32" t="n">
        <v>25</v>
      </c>
      <c r="M1562" s="33" t="s">
        <v>8869</v>
      </c>
      <c r="N1562" s="34" t="n">
        <v>75015</v>
      </c>
      <c r="O1562" s="35" t="s">
        <v>55</v>
      </c>
      <c r="P1562" s="36"/>
      <c r="Q1562" s="36" t="n">
        <v>1</v>
      </c>
      <c r="R1562" s="32" t="n">
        <v>68</v>
      </c>
      <c r="S1562" s="32" t="n">
        <v>1</v>
      </c>
      <c r="T1562" s="43" t="s">
        <v>316</v>
      </c>
      <c r="U1562" s="32"/>
      <c r="V1562" s="37"/>
      <c r="W1562" s="32"/>
      <c r="X1562" s="34"/>
      <c r="Y1562" s="34"/>
      <c r="Z1562" s="32"/>
      <c r="AA1562" s="32" t="s">
        <v>8870</v>
      </c>
      <c r="AB1562" s="32"/>
      <c r="AC1562" s="38" t="str">
        <f aca="false">HYPERLINK("https://biocodex6--c.vf.force.com/0014L00000KGHC0QAP", "HOROWITZ RICHARD")</f>
        <v>HOROWITZ RICHARD</v>
      </c>
      <c r="AD1562" s="38"/>
      <c r="AE1562" s="39"/>
      <c r="AF1562" s="40"/>
      <c r="AG1562" s="41"/>
      <c r="AH1562" s="32"/>
      <c r="AI1562" s="32"/>
      <c r="AL1562" s="32"/>
      <c r="AM1562" s="32"/>
      <c r="AN1562" s="32"/>
      <c r="AO1562" s="32"/>
      <c r="AP1562" s="32"/>
      <c r="AQ1562" s="32"/>
      <c r="AR1562" s="32"/>
      <c r="AS1562" s="32"/>
      <c r="AT1562" s="32"/>
      <c r="AU1562" s="32"/>
      <c r="XEY1562" s="27"/>
      <c r="XEZ1562" s="27"/>
      <c r="XFA1562" s="27"/>
      <c r="XFB1562" s="27"/>
      <c r="XFC1562" s="27"/>
      <c r="XFD1562" s="27"/>
    </row>
    <row r="1563" s="42" customFormat="true" ht="14.15" hidden="false" customHeight="true" outlineLevel="0" collapsed="false">
      <c r="A1563" s="28" t="s">
        <v>8871</v>
      </c>
      <c r="B1563" s="29" t="s">
        <v>195</v>
      </c>
      <c r="C1563" s="29" t="s">
        <v>8872</v>
      </c>
      <c r="D1563" s="30" t="s">
        <v>244</v>
      </c>
      <c r="E1563" s="30" t="s">
        <v>245</v>
      </c>
      <c r="F1563" s="32" t="n">
        <v>62</v>
      </c>
      <c r="G1563" s="31"/>
      <c r="H1563" s="31" t="n">
        <v>1</v>
      </c>
      <c r="I1563" s="31" t="s">
        <v>51</v>
      </c>
      <c r="J1563" s="29" t="s">
        <v>52</v>
      </c>
      <c r="K1563" s="29" t="s">
        <v>53</v>
      </c>
      <c r="L1563" s="32" t="n">
        <v>149</v>
      </c>
      <c r="M1563" s="33" t="s">
        <v>54</v>
      </c>
      <c r="N1563" s="34" t="n">
        <v>75015</v>
      </c>
      <c r="O1563" s="35" t="s">
        <v>55</v>
      </c>
      <c r="P1563" s="36" t="s">
        <v>4554</v>
      </c>
      <c r="Q1563" s="36" t="n">
        <v>236</v>
      </c>
      <c r="R1563" s="32" t="n">
        <v>68</v>
      </c>
      <c r="S1563" s="32" t="n">
        <v>1</v>
      </c>
      <c r="T1563" s="32"/>
      <c r="U1563" s="32"/>
      <c r="V1563" s="37"/>
      <c r="W1563" s="32"/>
      <c r="X1563" s="34"/>
      <c r="Y1563" s="34"/>
      <c r="Z1563" s="36"/>
      <c r="AA1563" s="32" t="s">
        <v>8873</v>
      </c>
      <c r="AB1563" s="32"/>
      <c r="AC1563" s="38" t="str">
        <f aca="false">HYPERLINK("https://biocodex6--c.vf.force.com/0014L00000KFzPjQAL", "ROTH PHILIPPE")</f>
        <v>ROTH PHILIPPE</v>
      </c>
      <c r="AD1563" s="38"/>
      <c r="AE1563" s="39"/>
      <c r="AF1563" s="40"/>
      <c r="AG1563" s="41"/>
      <c r="AH1563" s="32" t="s">
        <v>179</v>
      </c>
      <c r="AI1563" s="32"/>
      <c r="AL1563" s="32"/>
      <c r="AM1563" s="32"/>
      <c r="AN1563" s="32"/>
      <c r="AO1563" s="32"/>
      <c r="AP1563" s="32"/>
      <c r="AQ1563" s="32"/>
      <c r="AR1563" s="32"/>
      <c r="AS1563" s="32"/>
      <c r="AT1563" s="32"/>
      <c r="AU1563" s="32"/>
      <c r="XEY1563" s="27"/>
      <c r="XEZ1563" s="27"/>
      <c r="XFA1563" s="27"/>
      <c r="XFB1563" s="27"/>
      <c r="XFC1563" s="27"/>
      <c r="XFD1563" s="27"/>
    </row>
    <row r="1564" s="42" customFormat="true" ht="14.15" hidden="false" customHeight="true" outlineLevel="0" collapsed="false">
      <c r="A1564" s="28" t="s">
        <v>8874</v>
      </c>
      <c r="B1564" s="29" t="s">
        <v>2072</v>
      </c>
      <c r="C1564" s="29" t="s">
        <v>8875</v>
      </c>
      <c r="D1564" s="30" t="s">
        <v>172</v>
      </c>
      <c r="E1564" s="30" t="s">
        <v>1277</v>
      </c>
      <c r="F1564" s="32" t="n">
        <v>69</v>
      </c>
      <c r="G1564" s="31"/>
      <c r="H1564" s="31" t="n">
        <v>1</v>
      </c>
      <c r="I1564" s="31" t="s">
        <v>197</v>
      </c>
      <c r="J1564" s="29"/>
      <c r="K1564" s="29" t="s">
        <v>6839</v>
      </c>
      <c r="L1564" s="32" t="n">
        <v>45</v>
      </c>
      <c r="M1564" s="33" t="s">
        <v>6840</v>
      </c>
      <c r="N1564" s="34" t="n">
        <v>75017</v>
      </c>
      <c r="O1564" s="35" t="s">
        <v>55</v>
      </c>
      <c r="P1564" s="36" t="s">
        <v>8876</v>
      </c>
      <c r="Q1564" s="36" t="n">
        <v>2</v>
      </c>
      <c r="R1564" s="32" t="n">
        <v>68</v>
      </c>
      <c r="S1564" s="32" t="n">
        <v>1</v>
      </c>
      <c r="T1564" s="43" t="s">
        <v>1107</v>
      </c>
      <c r="U1564" s="32" t="n">
        <v>3</v>
      </c>
      <c r="V1564" s="37"/>
      <c r="W1564" s="32"/>
      <c r="X1564" s="34"/>
      <c r="Y1564" s="34"/>
      <c r="Z1564" s="36"/>
      <c r="AA1564" s="32" t="s">
        <v>8877</v>
      </c>
      <c r="AB1564" s="32"/>
      <c r="AC1564" s="38" t="str">
        <f aca="false">HYPERLINK("https://biocodex6--c.vf.force.com/0014L00000KFrEzQAL", "MAYOU PATRICE")</f>
        <v>MAYOU PATRICE</v>
      </c>
      <c r="AD1564" s="38"/>
      <c r="AE1564" s="39"/>
      <c r="AF1564" s="40"/>
      <c r="AG1564" s="41"/>
      <c r="AH1564" s="32" t="s">
        <v>179</v>
      </c>
      <c r="AI1564" s="32"/>
      <c r="AL1564" s="32"/>
      <c r="AM1564" s="32"/>
      <c r="AN1564" s="32"/>
      <c r="AO1564" s="32"/>
      <c r="AP1564" s="32"/>
      <c r="AQ1564" s="32"/>
      <c r="AR1564" s="32"/>
      <c r="AS1564" s="32"/>
      <c r="AT1564" s="32"/>
      <c r="AU1564" s="32"/>
      <c r="XEY1564" s="27"/>
      <c r="XEZ1564" s="27"/>
      <c r="XFA1564" s="27"/>
      <c r="XFB1564" s="27"/>
      <c r="XFC1564" s="27"/>
      <c r="XFD1564" s="27"/>
    </row>
    <row r="1565" s="42" customFormat="true" ht="14.15" hidden="false" customHeight="true" outlineLevel="0" collapsed="false">
      <c r="A1565" s="28" t="s">
        <v>8878</v>
      </c>
      <c r="B1565" s="29" t="s">
        <v>3304</v>
      </c>
      <c r="C1565" s="29" t="s">
        <v>8879</v>
      </c>
      <c r="D1565" s="30" t="s">
        <v>112</v>
      </c>
      <c r="E1565" s="30" t="s">
        <v>76</v>
      </c>
      <c r="F1565" s="32" t="n">
        <v>52</v>
      </c>
      <c r="G1565" s="31"/>
      <c r="H1565" s="31" t="n">
        <v>1</v>
      </c>
      <c r="I1565" s="31" t="s">
        <v>387</v>
      </c>
      <c r="J1565" s="29" t="s">
        <v>2266</v>
      </c>
      <c r="K1565" s="29" t="s">
        <v>2267</v>
      </c>
      <c r="L1565" s="32" t="n">
        <v>14</v>
      </c>
      <c r="M1565" s="33" t="s">
        <v>2268</v>
      </c>
      <c r="N1565" s="34" t="n">
        <v>75016</v>
      </c>
      <c r="O1565" s="35" t="s">
        <v>55</v>
      </c>
      <c r="P1565" s="36"/>
      <c r="Q1565" s="36" t="n">
        <v>6</v>
      </c>
      <c r="R1565" s="32" t="n">
        <v>67</v>
      </c>
      <c r="S1565" s="32" t="n">
        <v>1</v>
      </c>
      <c r="T1565" s="32"/>
      <c r="U1565" s="32"/>
      <c r="V1565" s="37"/>
      <c r="W1565" s="32"/>
      <c r="X1565" s="34"/>
      <c r="Y1565" s="34"/>
      <c r="Z1565" s="36"/>
      <c r="AA1565" s="36" t="s">
        <v>8880</v>
      </c>
      <c r="AB1565" s="32"/>
      <c r="AC1565" s="38" t="str">
        <f aca="false">HYPERLINK("https://biocodex6--c.vf.force.com/0014L00000KFarQQAT", "FASOLA SYLVIE")</f>
        <v>FASOLA SYLVIE</v>
      </c>
      <c r="AD1565" s="38"/>
      <c r="AE1565" s="39"/>
      <c r="AF1565" s="40"/>
      <c r="AG1565" s="41"/>
      <c r="AH1565" s="32" t="s">
        <v>179</v>
      </c>
      <c r="AI1565" s="32"/>
      <c r="AL1565" s="32"/>
      <c r="AM1565" s="32"/>
      <c r="AN1565" s="32"/>
      <c r="AO1565" s="32"/>
      <c r="AP1565" s="32"/>
      <c r="AQ1565" s="32"/>
      <c r="AR1565" s="32"/>
      <c r="AS1565" s="32"/>
      <c r="AT1565" s="32"/>
      <c r="AU1565" s="32"/>
      <c r="XEY1565" s="27"/>
      <c r="XEZ1565" s="27"/>
      <c r="XFA1565" s="27"/>
      <c r="XFB1565" s="27"/>
      <c r="XFC1565" s="27"/>
      <c r="XFD1565" s="27"/>
    </row>
    <row r="1566" s="42" customFormat="true" ht="14.15" hidden="false" customHeight="true" outlineLevel="0" collapsed="false">
      <c r="A1566" s="28" t="s">
        <v>8881</v>
      </c>
      <c r="B1566" s="29" t="s">
        <v>3255</v>
      </c>
      <c r="C1566" s="29" t="s">
        <v>8882</v>
      </c>
      <c r="D1566" s="30" t="s">
        <v>172</v>
      </c>
      <c r="E1566" s="31"/>
      <c r="F1566" s="32" t="n">
        <v>67</v>
      </c>
      <c r="G1566" s="31"/>
      <c r="H1566" s="31" t="n">
        <v>1</v>
      </c>
      <c r="I1566" s="31" t="s">
        <v>51</v>
      </c>
      <c r="J1566" s="29"/>
      <c r="K1566" s="29" t="s">
        <v>8883</v>
      </c>
      <c r="L1566" s="32" t="n">
        <v>8</v>
      </c>
      <c r="M1566" s="33" t="s">
        <v>8884</v>
      </c>
      <c r="N1566" s="34" t="n">
        <v>75015</v>
      </c>
      <c r="O1566" s="35" t="s">
        <v>55</v>
      </c>
      <c r="P1566" s="36"/>
      <c r="Q1566" s="36" t="n">
        <v>2</v>
      </c>
      <c r="R1566" s="36" t="n">
        <v>67</v>
      </c>
      <c r="S1566" s="32" t="n">
        <v>1</v>
      </c>
      <c r="T1566" s="43" t="s">
        <v>2189</v>
      </c>
      <c r="U1566" s="32" t="n">
        <v>3</v>
      </c>
      <c r="V1566" s="37" t="n">
        <v>3</v>
      </c>
      <c r="W1566" s="32"/>
      <c r="X1566" s="34"/>
      <c r="Y1566" s="34"/>
      <c r="Z1566" s="36"/>
      <c r="AA1566" s="32" t="s">
        <v>8885</v>
      </c>
      <c r="AB1566" s="32"/>
      <c r="AC1566" s="38" t="str">
        <f aca="false">HYPERLINK("https://biocodex6--c.vf.force.com/0014L00000KFj2iQAD", "HOHENBERG DENIS")</f>
        <v>HOHENBERG DENIS</v>
      </c>
      <c r="AD1566" s="38"/>
      <c r="AE1566" s="39"/>
      <c r="AF1566" s="40"/>
      <c r="AG1566" s="41"/>
      <c r="AH1566" s="32" t="s">
        <v>179</v>
      </c>
      <c r="AI1566" s="32"/>
      <c r="AL1566" s="32"/>
      <c r="AM1566" s="32"/>
      <c r="AN1566" s="32"/>
      <c r="AO1566" s="32"/>
      <c r="AP1566" s="32"/>
      <c r="AQ1566" s="32"/>
      <c r="AR1566" s="32"/>
      <c r="AS1566" s="32"/>
      <c r="AT1566" s="32"/>
      <c r="AU1566" s="32"/>
      <c r="XEY1566" s="27"/>
      <c r="XEZ1566" s="27"/>
      <c r="XFA1566" s="27"/>
      <c r="XFB1566" s="27"/>
      <c r="XFC1566" s="27"/>
      <c r="XFD1566" s="27"/>
    </row>
    <row r="1567" s="42" customFormat="true" ht="14.15" hidden="false" customHeight="true" outlineLevel="0" collapsed="false">
      <c r="A1567" s="28" t="s">
        <v>8886</v>
      </c>
      <c r="B1567" s="29" t="s">
        <v>399</v>
      </c>
      <c r="C1567" s="29" t="s">
        <v>8887</v>
      </c>
      <c r="D1567" s="30" t="s">
        <v>172</v>
      </c>
      <c r="E1567" s="31"/>
      <c r="F1567" s="32" t="n">
        <v>49</v>
      </c>
      <c r="G1567" s="31"/>
      <c r="H1567" s="31" t="n">
        <v>1</v>
      </c>
      <c r="I1567" s="31" t="s">
        <v>62</v>
      </c>
      <c r="J1567" s="29"/>
      <c r="K1567" s="29" t="s">
        <v>8888</v>
      </c>
      <c r="L1567" s="32" t="n">
        <v>10</v>
      </c>
      <c r="M1567" s="33" t="s">
        <v>8889</v>
      </c>
      <c r="N1567" s="34" t="n">
        <v>75017</v>
      </c>
      <c r="O1567" s="35" t="s">
        <v>55</v>
      </c>
      <c r="P1567" s="36" t="s">
        <v>8890</v>
      </c>
      <c r="Q1567" s="36" t="n">
        <v>1</v>
      </c>
      <c r="R1567" s="32" t="n">
        <v>67</v>
      </c>
      <c r="S1567" s="32" t="n">
        <v>1</v>
      </c>
      <c r="T1567" s="43" t="s">
        <v>316</v>
      </c>
      <c r="U1567" s="32"/>
      <c r="V1567" s="37"/>
      <c r="W1567" s="32"/>
      <c r="X1567" s="34"/>
      <c r="Y1567" s="34"/>
      <c r="Z1567" s="36"/>
      <c r="AA1567" s="32" t="s">
        <v>8891</v>
      </c>
      <c r="AB1567" s="32"/>
      <c r="AC1567" s="38" t="str">
        <f aca="false">HYPERLINK("https://biocodex6--c.vf.force.com/0014L00000KFwMzQAL", "PALLANCA OLIVIER")</f>
        <v>PALLANCA OLIVIER</v>
      </c>
      <c r="AD1567" s="38"/>
      <c r="AE1567" s="39"/>
      <c r="AF1567" s="40"/>
      <c r="AG1567" s="41"/>
      <c r="AH1567" s="32" t="s">
        <v>179</v>
      </c>
      <c r="AI1567" s="32"/>
      <c r="AL1567" s="32"/>
      <c r="AM1567" s="32"/>
      <c r="AN1567" s="32"/>
      <c r="AO1567" s="32"/>
      <c r="AP1567" s="32"/>
      <c r="AQ1567" s="32"/>
      <c r="AR1567" s="32"/>
      <c r="AS1567" s="32"/>
      <c r="AT1567" s="32"/>
      <c r="AU1567" s="32"/>
      <c r="XEY1567" s="27"/>
      <c r="XEZ1567" s="27"/>
      <c r="XFA1567" s="27"/>
      <c r="XFB1567" s="27"/>
      <c r="XFC1567" s="27"/>
      <c r="XFD1567" s="27"/>
    </row>
    <row r="1568" s="42" customFormat="true" ht="14.15" hidden="false" customHeight="true" outlineLevel="0" collapsed="false">
      <c r="A1568" s="28" t="s">
        <v>8892</v>
      </c>
      <c r="B1568" s="29" t="s">
        <v>8893</v>
      </c>
      <c r="C1568" s="29" t="s">
        <v>8894</v>
      </c>
      <c r="D1568" s="30" t="s">
        <v>244</v>
      </c>
      <c r="E1568" s="30" t="s">
        <v>245</v>
      </c>
      <c r="F1568" s="32" t="n">
        <v>56</v>
      </c>
      <c r="G1568" s="31" t="s">
        <v>98</v>
      </c>
      <c r="H1568" s="31" t="n">
        <v>1</v>
      </c>
      <c r="I1568" s="31" t="s">
        <v>197</v>
      </c>
      <c r="J1568" s="29"/>
      <c r="K1568" s="29" t="s">
        <v>4905</v>
      </c>
      <c r="L1568" s="32" t="n">
        <v>39</v>
      </c>
      <c r="M1568" s="33" t="s">
        <v>4906</v>
      </c>
      <c r="N1568" s="34" t="n">
        <v>75017</v>
      </c>
      <c r="O1568" s="35" t="s">
        <v>55</v>
      </c>
      <c r="P1568" s="36" t="s">
        <v>8895</v>
      </c>
      <c r="Q1568" s="36" t="n">
        <v>3</v>
      </c>
      <c r="R1568" s="32" t="n">
        <v>67</v>
      </c>
      <c r="S1568" s="32" t="n">
        <v>1</v>
      </c>
      <c r="T1568" s="32"/>
      <c r="U1568" s="32"/>
      <c r="V1568" s="37"/>
      <c r="W1568" s="32"/>
      <c r="X1568" s="34"/>
      <c r="Y1568" s="34"/>
      <c r="Z1568" s="36"/>
      <c r="AA1568" s="32" t="s">
        <v>8896</v>
      </c>
      <c r="AB1568" s="32" t="s">
        <v>8897</v>
      </c>
      <c r="AC1568" s="38" t="str">
        <f aca="false">HYPERLINK("https://biocodex6--c.vf.force.com/0014L00000KFzHeQAL", "RIGHINI CLAUDIA")</f>
        <v>RIGHINI CLAUDIA</v>
      </c>
      <c r="AD1568" s="38" t="str">
        <f aca="false">HYPERLINK("https://annuairesante.ameli.fr/professionnels-de-sante/recherche/fiche-detaillee-B7c1lDQ1NDO6.html", "RIGHINI CLAUDIA")</f>
        <v>RIGHINI CLAUDIA</v>
      </c>
      <c r="AE1568" s="39"/>
      <c r="AF1568" s="40"/>
      <c r="AG1568" s="41"/>
      <c r="AH1568" s="32" t="s">
        <v>179</v>
      </c>
      <c r="AI1568" s="32"/>
      <c r="AL1568" s="32"/>
      <c r="AM1568" s="32"/>
      <c r="AN1568" s="32"/>
      <c r="AO1568" s="32"/>
      <c r="AP1568" s="32"/>
      <c r="AQ1568" s="32"/>
      <c r="AR1568" s="32"/>
      <c r="AS1568" s="32"/>
      <c r="AT1568" s="32"/>
      <c r="AU1568" s="32"/>
      <c r="XEY1568" s="27"/>
      <c r="XEZ1568" s="27"/>
      <c r="XFA1568" s="27"/>
      <c r="XFB1568" s="27"/>
      <c r="XFC1568" s="27"/>
      <c r="XFD1568" s="27"/>
    </row>
    <row r="1569" s="42" customFormat="true" ht="14.15" hidden="false" customHeight="true" outlineLevel="0" collapsed="false">
      <c r="A1569" s="28" t="s">
        <v>8898</v>
      </c>
      <c r="B1569" s="29" t="s">
        <v>1130</v>
      </c>
      <c r="C1569" s="29" t="s">
        <v>8899</v>
      </c>
      <c r="D1569" s="30" t="s">
        <v>172</v>
      </c>
      <c r="E1569" s="31"/>
      <c r="F1569" s="32" t="n">
        <v>56</v>
      </c>
      <c r="G1569" s="31"/>
      <c r="H1569" s="31" t="n">
        <v>1</v>
      </c>
      <c r="I1569" s="31" t="s">
        <v>173</v>
      </c>
      <c r="J1569" s="29"/>
      <c r="K1569" s="29" t="s">
        <v>8900</v>
      </c>
      <c r="L1569" s="32" t="n">
        <v>63</v>
      </c>
      <c r="M1569" s="33" t="s">
        <v>1888</v>
      </c>
      <c r="N1569" s="34" t="n">
        <v>75016</v>
      </c>
      <c r="O1569" s="35" t="s">
        <v>55</v>
      </c>
      <c r="P1569" s="36" t="s">
        <v>8901</v>
      </c>
      <c r="Q1569" s="36" t="n">
        <v>1</v>
      </c>
      <c r="R1569" s="32" t="n">
        <v>67</v>
      </c>
      <c r="S1569" s="32" t="n">
        <v>1</v>
      </c>
      <c r="T1569" s="43" t="s">
        <v>316</v>
      </c>
      <c r="U1569" s="32"/>
      <c r="V1569" s="37"/>
      <c r="W1569" s="32"/>
      <c r="X1569" s="34"/>
      <c r="Y1569" s="34"/>
      <c r="Z1569" s="36"/>
      <c r="AA1569" s="32" t="s">
        <v>8902</v>
      </c>
      <c r="AB1569" s="32"/>
      <c r="AC1569" s="38" t="str">
        <f aca="false">HYPERLINK("https://biocodex6--c.vf.force.com/0014L00000KG43EQAT", "TOMA DANIEL")</f>
        <v>TOMA DANIEL</v>
      </c>
      <c r="AD1569" s="38"/>
      <c r="AE1569" s="39"/>
      <c r="AF1569" s="40"/>
      <c r="AG1569" s="41"/>
      <c r="AH1569" s="32" t="s">
        <v>179</v>
      </c>
      <c r="AI1569" s="32"/>
      <c r="AL1569" s="32"/>
      <c r="AM1569" s="32"/>
      <c r="AN1569" s="32"/>
      <c r="AO1569" s="32"/>
      <c r="AP1569" s="32"/>
      <c r="AQ1569" s="32"/>
      <c r="AR1569" s="32"/>
      <c r="AS1569" s="32"/>
      <c r="AT1569" s="32"/>
      <c r="AU1569" s="32"/>
      <c r="XEY1569" s="27"/>
      <c r="XEZ1569" s="27"/>
      <c r="XFA1569" s="27"/>
      <c r="XFB1569" s="27"/>
      <c r="XFC1569" s="27"/>
      <c r="XFD1569" s="27"/>
    </row>
    <row r="1570" s="42" customFormat="true" ht="14.15" hidden="false" customHeight="true" outlineLevel="0" collapsed="false">
      <c r="A1570" s="28" t="s">
        <v>8903</v>
      </c>
      <c r="B1570" s="29" t="s">
        <v>195</v>
      </c>
      <c r="C1570" s="29" t="s">
        <v>8904</v>
      </c>
      <c r="D1570" s="30" t="s">
        <v>172</v>
      </c>
      <c r="E1570" s="31"/>
      <c r="F1570" s="32" t="n">
        <v>69</v>
      </c>
      <c r="G1570" s="31"/>
      <c r="H1570" s="31" t="n">
        <v>1</v>
      </c>
      <c r="I1570" s="31" t="s">
        <v>119</v>
      </c>
      <c r="J1570" s="29"/>
      <c r="K1570" s="29" t="s">
        <v>8905</v>
      </c>
      <c r="L1570" s="32" t="n">
        <v>7</v>
      </c>
      <c r="M1570" s="33" t="s">
        <v>8906</v>
      </c>
      <c r="N1570" s="34" t="n">
        <v>75007</v>
      </c>
      <c r="O1570" s="35" t="s">
        <v>55</v>
      </c>
      <c r="P1570" s="36" t="s">
        <v>8907</v>
      </c>
      <c r="Q1570" s="36" t="n">
        <v>1</v>
      </c>
      <c r="R1570" s="32" t="n">
        <v>66</v>
      </c>
      <c r="S1570" s="32" t="n">
        <v>1</v>
      </c>
      <c r="T1570" s="43" t="s">
        <v>316</v>
      </c>
      <c r="U1570" s="32"/>
      <c r="V1570" s="37"/>
      <c r="W1570" s="32"/>
      <c r="X1570" s="34"/>
      <c r="Y1570" s="34"/>
      <c r="Z1570" s="36"/>
      <c r="AA1570" s="32" t="s">
        <v>8908</v>
      </c>
      <c r="AB1570" s="32"/>
      <c r="AC1570" s="38" t="str">
        <f aca="false">HYPERLINK("https://biocodex6--c.vf.force.com/0014L00000KFgReQAL", "GOLDENBERG PHILIPPE")</f>
        <v>GOLDENBERG PHILIPPE</v>
      </c>
      <c r="AD1570" s="38"/>
      <c r="AE1570" s="39"/>
      <c r="AF1570" s="40"/>
      <c r="AG1570" s="41"/>
      <c r="AH1570" s="32" t="s">
        <v>179</v>
      </c>
      <c r="AI1570" s="32"/>
      <c r="AL1570" s="32"/>
      <c r="AM1570" s="32"/>
      <c r="AN1570" s="32"/>
      <c r="AO1570" s="32"/>
      <c r="AP1570" s="32"/>
      <c r="AQ1570" s="32"/>
      <c r="AR1570" s="32"/>
      <c r="AS1570" s="32"/>
      <c r="AT1570" s="32"/>
      <c r="AU1570" s="32"/>
      <c r="XEY1570" s="27"/>
      <c r="XEZ1570" s="27"/>
      <c r="XFA1570" s="27"/>
      <c r="XFB1570" s="27"/>
      <c r="XFC1570" s="27"/>
      <c r="XFD1570" s="27"/>
    </row>
    <row r="1571" s="42" customFormat="true" ht="14.15" hidden="false" customHeight="true" outlineLevel="0" collapsed="false">
      <c r="A1571" s="28" t="s">
        <v>8909</v>
      </c>
      <c r="B1571" s="29" t="s">
        <v>936</v>
      </c>
      <c r="C1571" s="29" t="s">
        <v>8910</v>
      </c>
      <c r="D1571" s="30" t="s">
        <v>244</v>
      </c>
      <c r="E1571" s="30" t="s">
        <v>245</v>
      </c>
      <c r="F1571" s="32" t="n">
        <v>43</v>
      </c>
      <c r="G1571" s="31" t="s">
        <v>215</v>
      </c>
      <c r="H1571" s="31" t="n">
        <v>1</v>
      </c>
      <c r="I1571" s="31" t="s">
        <v>51</v>
      </c>
      <c r="J1571" s="29" t="s">
        <v>52</v>
      </c>
      <c r="K1571" s="29" t="s">
        <v>53</v>
      </c>
      <c r="L1571" s="32" t="n">
        <v>149</v>
      </c>
      <c r="M1571" s="33" t="s">
        <v>54</v>
      </c>
      <c r="N1571" s="34" t="n">
        <v>75015</v>
      </c>
      <c r="O1571" s="35" t="s">
        <v>55</v>
      </c>
      <c r="P1571" s="36" t="s">
        <v>4554</v>
      </c>
      <c r="Q1571" s="36" t="n">
        <v>236</v>
      </c>
      <c r="R1571" s="32" t="n">
        <v>66</v>
      </c>
      <c r="S1571" s="32" t="n">
        <v>1</v>
      </c>
      <c r="T1571" s="32"/>
      <c r="U1571" s="32"/>
      <c r="V1571" s="37"/>
      <c r="W1571" s="32"/>
      <c r="X1571" s="34"/>
      <c r="Y1571" s="34"/>
      <c r="Z1571" s="36"/>
      <c r="AA1571" s="32" t="s">
        <v>8911</v>
      </c>
      <c r="AB1571" s="32" t="s">
        <v>8912</v>
      </c>
      <c r="AC1571" s="38" t="str">
        <f aca="false">HYPERLINK("https://biocodex6--c.vf.force.com/0014L00000KG2Y8QAL", "SPAGGIARI EMMANUEL")</f>
        <v>SPAGGIARI EMMANUEL</v>
      </c>
      <c r="AD1571" s="38" t="str">
        <f aca="false">HYPERLINK("https://annuairesante.ameli.fr/professionnels-de-sante/recherche/fiche-detaillee-CbA1mjYyOTG2.html", "SPAGGIARI EMMANUEL")</f>
        <v>SPAGGIARI EMMANUEL</v>
      </c>
      <c r="AE1571" s="39"/>
      <c r="AF1571" s="40"/>
      <c r="AG1571" s="41"/>
      <c r="AH1571" s="32" t="s">
        <v>179</v>
      </c>
      <c r="AI1571" s="32"/>
      <c r="AL1571" s="32"/>
      <c r="AM1571" s="32"/>
      <c r="AN1571" s="32"/>
      <c r="AO1571" s="32"/>
      <c r="AP1571" s="32"/>
      <c r="AQ1571" s="32"/>
      <c r="AR1571" s="32"/>
      <c r="AS1571" s="32"/>
      <c r="AT1571" s="32"/>
      <c r="AU1571" s="32"/>
      <c r="XEY1571" s="27"/>
      <c r="XEZ1571" s="27"/>
      <c r="XFA1571" s="27"/>
      <c r="XFB1571" s="27"/>
      <c r="XFC1571" s="27"/>
      <c r="XFD1571" s="27"/>
    </row>
    <row r="1572" s="42" customFormat="true" ht="14.15" hidden="false" customHeight="true" outlineLevel="0" collapsed="false">
      <c r="A1572" s="28" t="s">
        <v>2316</v>
      </c>
      <c r="B1572" s="29" t="s">
        <v>195</v>
      </c>
      <c r="C1572" s="29" t="s">
        <v>8913</v>
      </c>
      <c r="D1572" s="30" t="s">
        <v>172</v>
      </c>
      <c r="E1572" s="31"/>
      <c r="F1572" s="32" t="n">
        <v>67</v>
      </c>
      <c r="G1572" s="31"/>
      <c r="H1572" s="31" t="n">
        <v>1</v>
      </c>
      <c r="I1572" s="31" t="s">
        <v>62</v>
      </c>
      <c r="J1572" s="29"/>
      <c r="K1572" s="29" t="s">
        <v>8914</v>
      </c>
      <c r="L1572" s="32" t="n">
        <v>15</v>
      </c>
      <c r="M1572" s="33" t="s">
        <v>64</v>
      </c>
      <c r="N1572" s="34" t="n">
        <v>75017</v>
      </c>
      <c r="O1572" s="35" t="s">
        <v>55</v>
      </c>
      <c r="P1572" s="36" t="s">
        <v>8915</v>
      </c>
      <c r="Q1572" s="36" t="n">
        <v>1</v>
      </c>
      <c r="R1572" s="32" t="n">
        <v>66</v>
      </c>
      <c r="S1572" s="32" t="n">
        <v>1</v>
      </c>
      <c r="T1572" s="43" t="s">
        <v>316</v>
      </c>
      <c r="U1572" s="32"/>
      <c r="V1572" s="37"/>
      <c r="W1572" s="32"/>
      <c r="X1572" s="34"/>
      <c r="Y1572" s="34"/>
      <c r="Z1572" s="36"/>
      <c r="AA1572" s="32" t="s">
        <v>8916</v>
      </c>
      <c r="AB1572" s="32"/>
      <c r="AC1572" s="38" t="str">
        <f aca="false">HYPERLINK("https://biocodex6--c.vf.force.com/0014L00000KFXd0QAH", "COSTE PHILIPPE")</f>
        <v>COSTE PHILIPPE</v>
      </c>
      <c r="AD1572" s="38"/>
      <c r="AE1572" s="39"/>
      <c r="AF1572" s="40"/>
      <c r="AG1572" s="41"/>
      <c r="AH1572" s="32" t="s">
        <v>179</v>
      </c>
      <c r="AI1572" s="32"/>
      <c r="AL1572" s="32"/>
      <c r="AM1572" s="32"/>
      <c r="AN1572" s="32"/>
      <c r="AO1572" s="32"/>
      <c r="AP1572" s="32"/>
      <c r="AQ1572" s="32"/>
      <c r="AR1572" s="32"/>
      <c r="AS1572" s="32"/>
      <c r="AT1572" s="32"/>
      <c r="AU1572" s="32"/>
      <c r="XEY1572" s="27"/>
      <c r="XEZ1572" s="27"/>
      <c r="XFA1572" s="27"/>
      <c r="XFB1572" s="27"/>
      <c r="XFC1572" s="27"/>
      <c r="XFD1572" s="27"/>
    </row>
    <row r="1573" s="42" customFormat="true" ht="14.15" hidden="false" customHeight="true" outlineLevel="0" collapsed="false">
      <c r="A1573" s="28" t="s">
        <v>8917</v>
      </c>
      <c r="B1573" s="29" t="s">
        <v>2880</v>
      </c>
      <c r="C1573" s="29" t="s">
        <v>8918</v>
      </c>
      <c r="D1573" s="30" t="s">
        <v>172</v>
      </c>
      <c r="E1573" s="30" t="s">
        <v>818</v>
      </c>
      <c r="F1573" s="32" t="n">
        <v>74</v>
      </c>
      <c r="G1573" s="31"/>
      <c r="H1573" s="31" t="n">
        <v>1</v>
      </c>
      <c r="I1573" s="31" t="s">
        <v>173</v>
      </c>
      <c r="J1573" s="29"/>
      <c r="K1573" s="29" t="s">
        <v>7406</v>
      </c>
      <c r="L1573" s="32" t="n">
        <v>140</v>
      </c>
      <c r="M1573" s="33" t="s">
        <v>175</v>
      </c>
      <c r="N1573" s="34" t="n">
        <v>75016</v>
      </c>
      <c r="O1573" s="35" t="s">
        <v>55</v>
      </c>
      <c r="P1573" s="36" t="s">
        <v>8919</v>
      </c>
      <c r="Q1573" s="36" t="n">
        <v>2</v>
      </c>
      <c r="R1573" s="36" t="n">
        <v>66</v>
      </c>
      <c r="S1573" s="32" t="n">
        <v>1</v>
      </c>
      <c r="T1573" s="43" t="s">
        <v>2189</v>
      </c>
      <c r="U1573" s="32"/>
      <c r="V1573" s="37"/>
      <c r="W1573" s="32"/>
      <c r="X1573" s="34"/>
      <c r="Y1573" s="34"/>
      <c r="Z1573" s="36"/>
      <c r="AA1573" s="32" t="s">
        <v>8920</v>
      </c>
      <c r="AB1573" s="32"/>
      <c r="AC1573" s="38" t="str">
        <f aca="false">HYPERLINK("https://biocodex6--c.vf.force.com/0014L00000KG4hkQAD", "VEREBELYI BRUNO")</f>
        <v>VEREBELYI BRUNO</v>
      </c>
      <c r="AD1573" s="38"/>
      <c r="AE1573" s="39"/>
      <c r="AF1573" s="40"/>
      <c r="AG1573" s="41"/>
      <c r="AH1573" s="32" t="s">
        <v>179</v>
      </c>
      <c r="AI1573" s="32"/>
      <c r="AL1573" s="32"/>
      <c r="AM1573" s="32"/>
      <c r="AN1573" s="32"/>
      <c r="AO1573" s="32"/>
      <c r="AP1573" s="32"/>
      <c r="AQ1573" s="32"/>
      <c r="AR1573" s="32"/>
      <c r="AS1573" s="32"/>
      <c r="AT1573" s="32"/>
      <c r="AU1573" s="32"/>
      <c r="XEY1573" s="27"/>
      <c r="XEZ1573" s="27"/>
      <c r="XFA1573" s="27"/>
      <c r="XFB1573" s="27"/>
      <c r="XFC1573" s="27"/>
      <c r="XFD1573" s="27"/>
    </row>
    <row r="1574" s="42" customFormat="true" ht="14.15" hidden="false" customHeight="true" outlineLevel="0" collapsed="false">
      <c r="A1574" s="28" t="s">
        <v>3984</v>
      </c>
      <c r="B1574" s="29" t="s">
        <v>117</v>
      </c>
      <c r="C1574" s="29" t="s">
        <v>8921</v>
      </c>
      <c r="D1574" s="30" t="s">
        <v>112</v>
      </c>
      <c r="E1574" s="30" t="s">
        <v>76</v>
      </c>
      <c r="F1574" s="32" t="n">
        <v>46</v>
      </c>
      <c r="G1574" s="31"/>
      <c r="H1574" s="31" t="n">
        <v>1</v>
      </c>
      <c r="I1574" s="31" t="s">
        <v>387</v>
      </c>
      <c r="J1574" s="29" t="s">
        <v>2266</v>
      </c>
      <c r="K1574" s="29" t="s">
        <v>2267</v>
      </c>
      <c r="L1574" s="32" t="n">
        <v>14</v>
      </c>
      <c r="M1574" s="33" t="s">
        <v>2268</v>
      </c>
      <c r="N1574" s="34" t="n">
        <v>75016</v>
      </c>
      <c r="O1574" s="35" t="s">
        <v>55</v>
      </c>
      <c r="P1574" s="36"/>
      <c r="Q1574" s="36" t="n">
        <v>6</v>
      </c>
      <c r="R1574" s="32" t="n">
        <v>65</v>
      </c>
      <c r="S1574" s="32" t="n">
        <v>1</v>
      </c>
      <c r="T1574" s="32"/>
      <c r="U1574" s="32"/>
      <c r="V1574" s="37"/>
      <c r="W1574" s="32"/>
      <c r="X1574" s="34"/>
      <c r="Y1574" s="34"/>
      <c r="Z1574" s="36"/>
      <c r="AA1574" s="32" t="s">
        <v>8922</v>
      </c>
      <c r="AB1574" s="32"/>
      <c r="AC1574" s="38" t="str">
        <f aca="false">HYPERLINK("https://biocodex6--c.vf.force.com/0014L00000KFnJJQA1", "LEVY DOMINIQUE")</f>
        <v>LEVY DOMINIQUE</v>
      </c>
      <c r="AD1574" s="38"/>
      <c r="AE1574" s="39"/>
      <c r="AF1574" s="40"/>
      <c r="AG1574" s="41"/>
      <c r="AH1574" s="32" t="s">
        <v>179</v>
      </c>
      <c r="AI1574" s="32"/>
      <c r="AL1574" s="32"/>
      <c r="AM1574" s="32"/>
      <c r="AN1574" s="32"/>
      <c r="AO1574" s="32"/>
      <c r="AP1574" s="32"/>
      <c r="AQ1574" s="32"/>
      <c r="AR1574" s="32"/>
      <c r="AS1574" s="32"/>
      <c r="AT1574" s="32"/>
      <c r="AU1574" s="32"/>
      <c r="XEY1574" s="27"/>
      <c r="XEZ1574" s="27"/>
      <c r="XFA1574" s="27"/>
      <c r="XFB1574" s="27"/>
      <c r="XFC1574" s="27"/>
      <c r="XFD1574" s="27"/>
    </row>
    <row r="1575" s="42" customFormat="true" ht="14.15" hidden="false" customHeight="true" outlineLevel="0" collapsed="false">
      <c r="A1575" s="28" t="s">
        <v>8923</v>
      </c>
      <c r="B1575" s="29" t="s">
        <v>1218</v>
      </c>
      <c r="C1575" s="29" t="s">
        <v>8924</v>
      </c>
      <c r="D1575" s="30" t="s">
        <v>172</v>
      </c>
      <c r="E1575" s="31"/>
      <c r="F1575" s="32" t="n">
        <v>82</v>
      </c>
      <c r="G1575" s="31"/>
      <c r="H1575" s="31" t="n">
        <v>1</v>
      </c>
      <c r="I1575" s="31" t="s">
        <v>119</v>
      </c>
      <c r="J1575" s="29"/>
      <c r="K1575" s="29" t="s">
        <v>8925</v>
      </c>
      <c r="L1575" s="32" t="n">
        <v>34</v>
      </c>
      <c r="M1575" s="33" t="s">
        <v>1769</v>
      </c>
      <c r="N1575" s="34" t="n">
        <v>75007</v>
      </c>
      <c r="O1575" s="35" t="s">
        <v>55</v>
      </c>
      <c r="P1575" s="36" t="s">
        <v>8926</v>
      </c>
      <c r="Q1575" s="36" t="n">
        <v>1</v>
      </c>
      <c r="R1575" s="32" t="n">
        <v>65</v>
      </c>
      <c r="S1575" s="32" t="n">
        <v>1</v>
      </c>
      <c r="T1575" s="43" t="s">
        <v>316</v>
      </c>
      <c r="U1575" s="32"/>
      <c r="V1575" s="37"/>
      <c r="W1575" s="32"/>
      <c r="X1575" s="34"/>
      <c r="Y1575" s="34"/>
      <c r="Z1575" s="36"/>
      <c r="AA1575" s="32" t="s">
        <v>8927</v>
      </c>
      <c r="AB1575" s="32"/>
      <c r="AC1575" s="38" t="str">
        <f aca="false">HYPERLINK("https://biocodex6--c.vf.force.com/0014L00000KFpGDQA1", "MAGERAND CLAUDE")</f>
        <v>MAGERAND CLAUDE</v>
      </c>
      <c r="AD1575" s="38"/>
      <c r="AE1575" s="39"/>
      <c r="AF1575" s="40"/>
      <c r="AG1575" s="41"/>
      <c r="AH1575" s="32" t="s">
        <v>179</v>
      </c>
      <c r="AI1575" s="32"/>
      <c r="AL1575" s="32"/>
      <c r="AM1575" s="32"/>
      <c r="AN1575" s="32"/>
      <c r="AO1575" s="32"/>
      <c r="AP1575" s="32"/>
      <c r="AQ1575" s="32"/>
      <c r="AR1575" s="32"/>
      <c r="AS1575" s="32"/>
      <c r="AT1575" s="32"/>
      <c r="AU1575" s="32"/>
      <c r="XEY1575" s="27"/>
      <c r="XEZ1575" s="27"/>
      <c r="XFA1575" s="27"/>
      <c r="XFB1575" s="27"/>
      <c r="XFC1575" s="27"/>
      <c r="XFD1575" s="27"/>
    </row>
    <row r="1576" s="42" customFormat="true" ht="14.15" hidden="false" customHeight="true" outlineLevel="0" collapsed="false">
      <c r="A1576" s="28" t="s">
        <v>8928</v>
      </c>
      <c r="B1576" s="29" t="s">
        <v>1766</v>
      </c>
      <c r="C1576" s="29" t="s">
        <v>8929</v>
      </c>
      <c r="D1576" s="30" t="s">
        <v>172</v>
      </c>
      <c r="E1576" s="31"/>
      <c r="F1576" s="32" t="n">
        <v>56</v>
      </c>
      <c r="G1576" s="31"/>
      <c r="H1576" s="31" t="n">
        <v>2</v>
      </c>
      <c r="I1576" s="31" t="s">
        <v>119</v>
      </c>
      <c r="J1576" s="29"/>
      <c r="K1576" s="29" t="s">
        <v>1899</v>
      </c>
      <c r="L1576" s="32" t="n">
        <v>6</v>
      </c>
      <c r="M1576" s="33" t="s">
        <v>1900</v>
      </c>
      <c r="N1576" s="34" t="n">
        <v>75007</v>
      </c>
      <c r="O1576" s="35" t="s">
        <v>55</v>
      </c>
      <c r="P1576" s="36" t="s">
        <v>8930</v>
      </c>
      <c r="Q1576" s="36" t="n">
        <v>2</v>
      </c>
      <c r="R1576" s="32" t="n">
        <v>65</v>
      </c>
      <c r="S1576" s="32" t="n">
        <v>1</v>
      </c>
      <c r="T1576" s="43" t="s">
        <v>4813</v>
      </c>
      <c r="U1576" s="32"/>
      <c r="V1576" s="37"/>
      <c r="W1576" s="32"/>
      <c r="X1576" s="34" t="n">
        <v>1</v>
      </c>
      <c r="Y1576" s="34" t="n">
        <v>2</v>
      </c>
      <c r="Z1576" s="36"/>
      <c r="AA1576" s="32" t="s">
        <v>8931</v>
      </c>
      <c r="AB1576" s="44"/>
      <c r="AC1576" s="38" t="str">
        <f aca="false">HYPERLINK("https://biocodex6--c.vf.force.com/0014L00000KFwu9QAD", "PINABEL FRANCOIS")</f>
        <v>PINABEL FRANCOIS</v>
      </c>
      <c r="AD1576" s="38"/>
      <c r="AE1576" s="39"/>
      <c r="AF1576" s="40"/>
      <c r="AG1576" s="41"/>
      <c r="AH1576" s="32" t="s">
        <v>3469</v>
      </c>
      <c r="AI1576" s="32" t="s">
        <v>2191</v>
      </c>
      <c r="AJ1576" s="42" t="s">
        <v>8932</v>
      </c>
      <c r="AL1576" s="32"/>
      <c r="AM1576" s="32"/>
      <c r="AN1576" s="32"/>
      <c r="AO1576" s="32"/>
      <c r="AP1576" s="32"/>
      <c r="AQ1576" s="32"/>
      <c r="AR1576" s="32"/>
      <c r="AS1576" s="32"/>
      <c r="AT1576" s="32"/>
      <c r="AU1576" s="32"/>
      <c r="XEY1576" s="27"/>
      <c r="XEZ1576" s="27"/>
      <c r="XFA1576" s="27"/>
      <c r="XFB1576" s="27"/>
      <c r="XFC1576" s="27"/>
      <c r="XFD1576" s="27"/>
    </row>
    <row r="1577" s="42" customFormat="true" ht="14.15" hidden="false" customHeight="true" outlineLevel="0" collapsed="false">
      <c r="A1577" s="28" t="s">
        <v>8933</v>
      </c>
      <c r="B1577" s="29" t="s">
        <v>195</v>
      </c>
      <c r="C1577" s="29" t="s">
        <v>8934</v>
      </c>
      <c r="D1577" s="30" t="s">
        <v>172</v>
      </c>
      <c r="E1577" s="30" t="s">
        <v>1277</v>
      </c>
      <c r="F1577" s="32" t="n">
        <v>67</v>
      </c>
      <c r="G1577" s="31"/>
      <c r="H1577" s="31" t="n">
        <v>1</v>
      </c>
      <c r="I1577" s="31" t="s">
        <v>119</v>
      </c>
      <c r="J1577" s="29"/>
      <c r="K1577" s="29" t="s">
        <v>8935</v>
      </c>
      <c r="L1577" s="32" t="n">
        <v>36</v>
      </c>
      <c r="M1577" s="33" t="s">
        <v>5635</v>
      </c>
      <c r="N1577" s="34" t="n">
        <v>75007</v>
      </c>
      <c r="O1577" s="35" t="s">
        <v>55</v>
      </c>
      <c r="P1577" s="36" t="s">
        <v>8936</v>
      </c>
      <c r="Q1577" s="36" t="n">
        <v>1</v>
      </c>
      <c r="R1577" s="32" t="n">
        <v>65</v>
      </c>
      <c r="S1577" s="32" t="n">
        <v>1</v>
      </c>
      <c r="T1577" s="43" t="s">
        <v>316</v>
      </c>
      <c r="U1577" s="32"/>
      <c r="V1577" s="37"/>
      <c r="W1577" s="32"/>
      <c r="X1577" s="34"/>
      <c r="Y1577" s="34"/>
      <c r="Z1577" s="36"/>
      <c r="AA1577" s="32" t="s">
        <v>8937</v>
      </c>
      <c r="AB1577" s="32"/>
      <c r="AC1577" s="38" t="str">
        <f aca="false">HYPERLINK("https://biocodex6--c.vf.force.com/0014L00000KFVomQAH", "CAYSSIALS PHILIPPE")</f>
        <v>CAYSSIALS PHILIPPE</v>
      </c>
      <c r="AD1577" s="38"/>
      <c r="AE1577" s="39"/>
      <c r="AF1577" s="40"/>
      <c r="AG1577" s="41"/>
      <c r="AH1577" s="32" t="s">
        <v>179</v>
      </c>
      <c r="AI1577" s="32"/>
      <c r="AL1577" s="32"/>
      <c r="AM1577" s="32"/>
      <c r="AN1577" s="32"/>
      <c r="AO1577" s="32"/>
      <c r="AP1577" s="32"/>
      <c r="AQ1577" s="32"/>
      <c r="AR1577" s="32"/>
      <c r="AS1577" s="32"/>
      <c r="AT1577" s="32"/>
      <c r="AU1577" s="32"/>
      <c r="XEY1577" s="27"/>
      <c r="XEZ1577" s="27"/>
      <c r="XFA1577" s="27"/>
      <c r="XFB1577" s="27"/>
      <c r="XFC1577" s="27"/>
      <c r="XFD1577" s="27"/>
    </row>
    <row r="1578" s="42" customFormat="true" ht="14.15" hidden="false" customHeight="true" outlineLevel="0" collapsed="false">
      <c r="A1578" s="28" t="s">
        <v>8938</v>
      </c>
      <c r="B1578" s="29" t="s">
        <v>7282</v>
      </c>
      <c r="C1578" s="29" t="s">
        <v>8939</v>
      </c>
      <c r="D1578" s="30" t="s">
        <v>172</v>
      </c>
      <c r="E1578" s="31"/>
      <c r="F1578" s="32" t="n">
        <v>72</v>
      </c>
      <c r="G1578" s="31"/>
      <c r="H1578" s="31" t="n">
        <v>1</v>
      </c>
      <c r="I1578" s="31" t="s">
        <v>119</v>
      </c>
      <c r="J1578" s="29"/>
      <c r="K1578" s="29" t="s">
        <v>8940</v>
      </c>
      <c r="L1578" s="32" t="n">
        <v>16</v>
      </c>
      <c r="M1578" s="33" t="s">
        <v>8941</v>
      </c>
      <c r="N1578" s="34" t="n">
        <v>75007</v>
      </c>
      <c r="O1578" s="35" t="s">
        <v>55</v>
      </c>
      <c r="P1578" s="36" t="s">
        <v>8942</v>
      </c>
      <c r="Q1578" s="36" t="n">
        <v>1</v>
      </c>
      <c r="R1578" s="32" t="n">
        <v>65</v>
      </c>
      <c r="S1578" s="32" t="n">
        <v>1</v>
      </c>
      <c r="T1578" s="43" t="s">
        <v>316</v>
      </c>
      <c r="U1578" s="32"/>
      <c r="V1578" s="37"/>
      <c r="W1578" s="32"/>
      <c r="X1578" s="34"/>
      <c r="Y1578" s="34"/>
      <c r="Z1578" s="36"/>
      <c r="AA1578" s="32" t="s">
        <v>8943</v>
      </c>
      <c r="AB1578" s="32"/>
      <c r="AC1578" s="38" t="str">
        <f aca="false">HYPERLINK("https://biocodex6--c.vf.force.com/0014L00000KFU0fQAH", "BONAMOUR DU TARTRE JEAN JACQUES")</f>
        <v>BONAMOUR DU TARTRE JEAN JACQUES</v>
      </c>
      <c r="AD1578" s="38"/>
      <c r="AE1578" s="39"/>
      <c r="AF1578" s="40"/>
      <c r="AG1578" s="41"/>
      <c r="AH1578" s="32" t="s">
        <v>179</v>
      </c>
      <c r="AI1578" s="32"/>
      <c r="AL1578" s="32"/>
      <c r="AM1578" s="32"/>
      <c r="AN1578" s="32"/>
      <c r="AO1578" s="32"/>
      <c r="AP1578" s="32"/>
      <c r="AQ1578" s="32"/>
      <c r="AR1578" s="32"/>
      <c r="AS1578" s="32"/>
      <c r="AT1578" s="32"/>
      <c r="AU1578" s="32"/>
      <c r="XEY1578" s="27"/>
      <c r="XEZ1578" s="27"/>
      <c r="XFA1578" s="27"/>
      <c r="XFB1578" s="27"/>
      <c r="XFC1578" s="27"/>
      <c r="XFD1578" s="27"/>
    </row>
    <row r="1579" s="42" customFormat="true" ht="14.15" hidden="false" customHeight="true" outlineLevel="0" collapsed="false">
      <c r="A1579" s="28" t="s">
        <v>8944</v>
      </c>
      <c r="B1579" s="29" t="s">
        <v>839</v>
      </c>
      <c r="C1579" s="29" t="s">
        <v>8945</v>
      </c>
      <c r="D1579" s="30" t="s">
        <v>172</v>
      </c>
      <c r="E1579" s="30" t="s">
        <v>818</v>
      </c>
      <c r="F1579" s="32" t="n">
        <v>68</v>
      </c>
      <c r="G1579" s="31"/>
      <c r="H1579" s="31" t="n">
        <v>1</v>
      </c>
      <c r="I1579" s="31" t="s">
        <v>435</v>
      </c>
      <c r="J1579" s="29"/>
      <c r="K1579" s="29" t="s">
        <v>8946</v>
      </c>
      <c r="L1579" s="32" t="n">
        <v>89</v>
      </c>
      <c r="M1579" s="33" t="s">
        <v>1340</v>
      </c>
      <c r="N1579" s="34" t="n">
        <v>75016</v>
      </c>
      <c r="O1579" s="35" t="s">
        <v>55</v>
      </c>
      <c r="P1579" s="36" t="s">
        <v>8947</v>
      </c>
      <c r="Q1579" s="36" t="n">
        <v>1</v>
      </c>
      <c r="R1579" s="36" t="n">
        <v>65</v>
      </c>
      <c r="S1579" s="32" t="n">
        <v>1</v>
      </c>
      <c r="T1579" s="43" t="s">
        <v>2189</v>
      </c>
      <c r="U1579" s="32" t="n">
        <v>3</v>
      </c>
      <c r="V1579" s="37"/>
      <c r="W1579" s="32"/>
      <c r="X1579" s="34"/>
      <c r="Y1579" s="34"/>
      <c r="Z1579" s="32"/>
      <c r="AA1579" s="32" t="s">
        <v>8948</v>
      </c>
      <c r="AB1579" s="32"/>
      <c r="AC1579" s="38" t="str">
        <f aca="false">HYPERLINK("https://biocodex6--c.vf.force.com/0014L00000KFtGtQAL", "NAKAB GILLES")</f>
        <v>NAKAB GILLES</v>
      </c>
      <c r="AD1579" s="38"/>
      <c r="AE1579" s="39"/>
      <c r="AF1579" s="40"/>
      <c r="AG1579" s="41"/>
      <c r="AH1579" s="32"/>
      <c r="AI1579" s="32"/>
      <c r="AL1579" s="32"/>
      <c r="AM1579" s="32"/>
      <c r="AN1579" s="32"/>
      <c r="AO1579" s="32"/>
      <c r="AP1579" s="32"/>
      <c r="AQ1579" s="32"/>
      <c r="AR1579" s="32"/>
      <c r="AS1579" s="32"/>
      <c r="AT1579" s="32"/>
      <c r="AU1579" s="32"/>
      <c r="XEY1579" s="27"/>
      <c r="XEZ1579" s="27"/>
      <c r="XFA1579" s="27"/>
      <c r="XFB1579" s="27"/>
      <c r="XFC1579" s="27"/>
      <c r="XFD1579" s="27"/>
    </row>
    <row r="1580" s="42" customFormat="true" ht="14.15" hidden="false" customHeight="true" outlineLevel="0" collapsed="false">
      <c r="A1580" s="28" t="s">
        <v>8949</v>
      </c>
      <c r="B1580" s="29" t="s">
        <v>160</v>
      </c>
      <c r="C1580" s="29" t="s">
        <v>8950</v>
      </c>
      <c r="D1580" s="30" t="s">
        <v>172</v>
      </c>
      <c r="E1580" s="31"/>
      <c r="F1580" s="32" t="n">
        <v>45</v>
      </c>
      <c r="G1580" s="31"/>
      <c r="H1580" s="31" t="n">
        <v>1</v>
      </c>
      <c r="I1580" s="31" t="s">
        <v>62</v>
      </c>
      <c r="J1580" s="29"/>
      <c r="K1580" s="29" t="s">
        <v>8951</v>
      </c>
      <c r="L1580" s="32" t="n">
        <v>35</v>
      </c>
      <c r="M1580" s="33" t="s">
        <v>1125</v>
      </c>
      <c r="N1580" s="34" t="n">
        <v>75017</v>
      </c>
      <c r="O1580" s="35" t="s">
        <v>55</v>
      </c>
      <c r="P1580" s="36" t="s">
        <v>8952</v>
      </c>
      <c r="Q1580" s="36" t="n">
        <v>1</v>
      </c>
      <c r="R1580" s="32" t="n">
        <v>65</v>
      </c>
      <c r="S1580" s="32" t="n">
        <v>1</v>
      </c>
      <c r="T1580" s="43" t="s">
        <v>316</v>
      </c>
      <c r="U1580" s="32"/>
      <c r="V1580" s="37"/>
      <c r="W1580" s="32"/>
      <c r="X1580" s="34"/>
      <c r="Y1580" s="34"/>
      <c r="Z1580" s="36"/>
      <c r="AA1580" s="32" t="s">
        <v>8953</v>
      </c>
      <c r="AB1580" s="32"/>
      <c r="AC1580" s="38" t="str">
        <f aca="false">HYPERLINK("https://biocodex6--c.vf.force.com/0014L00000KFWg3QAH", "DELARUE CAMILLE")</f>
        <v>DELARUE CAMILLE</v>
      </c>
      <c r="AD1580" s="38"/>
      <c r="AE1580" s="39"/>
      <c r="AF1580" s="40"/>
      <c r="AG1580" s="41"/>
      <c r="AH1580" s="32" t="s">
        <v>179</v>
      </c>
      <c r="AI1580" s="32"/>
      <c r="AL1580" s="32"/>
      <c r="AM1580" s="32"/>
      <c r="AN1580" s="32"/>
      <c r="AO1580" s="32"/>
      <c r="AP1580" s="32"/>
      <c r="AQ1580" s="32"/>
      <c r="AR1580" s="32"/>
      <c r="AS1580" s="32"/>
      <c r="AT1580" s="32"/>
      <c r="AU1580" s="32"/>
      <c r="XEY1580" s="27"/>
      <c r="XEZ1580" s="27"/>
      <c r="XFA1580" s="27"/>
      <c r="XFB1580" s="27"/>
      <c r="XFC1580" s="27"/>
      <c r="XFD1580" s="27"/>
    </row>
    <row r="1581" s="42" customFormat="true" ht="14.15" hidden="false" customHeight="true" outlineLevel="0" collapsed="false">
      <c r="A1581" s="28" t="s">
        <v>8954</v>
      </c>
      <c r="B1581" s="29" t="s">
        <v>450</v>
      </c>
      <c r="C1581" s="29" t="s">
        <v>8955</v>
      </c>
      <c r="D1581" s="30" t="s">
        <v>112</v>
      </c>
      <c r="E1581" s="31"/>
      <c r="F1581" s="32" t="n">
        <v>53</v>
      </c>
      <c r="G1581" s="31"/>
      <c r="H1581" s="31" t="n">
        <v>2</v>
      </c>
      <c r="I1581" s="31" t="s">
        <v>99</v>
      </c>
      <c r="J1581" s="29"/>
      <c r="K1581" s="29" t="s">
        <v>3415</v>
      </c>
      <c r="L1581" s="32" t="n">
        <v>7</v>
      </c>
      <c r="M1581" s="33" t="s">
        <v>3416</v>
      </c>
      <c r="N1581" s="34" t="n">
        <v>75015</v>
      </c>
      <c r="O1581" s="35" t="s">
        <v>55</v>
      </c>
      <c r="P1581" s="36"/>
      <c r="Q1581" s="36" t="n">
        <v>4</v>
      </c>
      <c r="R1581" s="32" t="n">
        <v>64</v>
      </c>
      <c r="S1581" s="32" t="n">
        <v>1</v>
      </c>
      <c r="T1581" s="32"/>
      <c r="U1581" s="32"/>
      <c r="V1581" s="37"/>
      <c r="W1581" s="32"/>
      <c r="X1581" s="34"/>
      <c r="Y1581" s="34"/>
      <c r="Z1581" s="36"/>
      <c r="AA1581" s="32" t="s">
        <v>8956</v>
      </c>
      <c r="AB1581" s="32"/>
      <c r="AC1581" s="38" t="str">
        <f aca="false">HYPERLINK("https://biocodex6--c.vf.force.com/0014L00000KFipMQAT", "CARPENTIER CHASKILEVITCH BENEDICTE")</f>
        <v>CARPENTIER CHASKILEVITCH BENEDICTE</v>
      </c>
      <c r="AD1581" s="38"/>
      <c r="AE1581" s="39" t="n">
        <v>45205.4583333333</v>
      </c>
      <c r="AF1581" s="40"/>
      <c r="AG1581" s="41"/>
      <c r="AH1581" s="32" t="s">
        <v>179</v>
      </c>
      <c r="AI1581" s="32"/>
      <c r="AL1581" s="32"/>
      <c r="AM1581" s="32"/>
      <c r="AN1581" s="32"/>
      <c r="AO1581" s="32"/>
      <c r="AP1581" s="32"/>
      <c r="AQ1581" s="32"/>
      <c r="AR1581" s="32"/>
      <c r="AS1581" s="32"/>
      <c r="AT1581" s="32"/>
      <c r="AU1581" s="32"/>
      <c r="XEY1581" s="27"/>
      <c r="XEZ1581" s="27"/>
      <c r="XFA1581" s="27"/>
      <c r="XFB1581" s="27"/>
      <c r="XFC1581" s="27"/>
      <c r="XFD1581" s="27"/>
    </row>
    <row r="1582" s="42" customFormat="true" ht="14.15" hidden="false" customHeight="true" outlineLevel="0" collapsed="false">
      <c r="A1582" s="28" t="s">
        <v>8957</v>
      </c>
      <c r="B1582" s="29" t="s">
        <v>4419</v>
      </c>
      <c r="C1582" s="29" t="s">
        <v>8958</v>
      </c>
      <c r="D1582" s="30" t="s">
        <v>50</v>
      </c>
      <c r="E1582" s="31"/>
      <c r="F1582" s="32" t="n">
        <v>37</v>
      </c>
      <c r="G1582" s="31"/>
      <c r="H1582" s="31" t="n">
        <v>1</v>
      </c>
      <c r="I1582" s="31" t="s">
        <v>572</v>
      </c>
      <c r="J1582" s="29"/>
      <c r="K1582" s="29" t="s">
        <v>8959</v>
      </c>
      <c r="L1582" s="32" t="n">
        <v>3</v>
      </c>
      <c r="M1582" s="33" t="s">
        <v>2653</v>
      </c>
      <c r="N1582" s="34" t="n">
        <v>75008</v>
      </c>
      <c r="O1582" s="35" t="s">
        <v>55</v>
      </c>
      <c r="P1582" s="36" t="s">
        <v>8849</v>
      </c>
      <c r="Q1582" s="36" t="n">
        <v>1</v>
      </c>
      <c r="R1582" s="32" t="n">
        <v>64</v>
      </c>
      <c r="S1582" s="32" t="n">
        <v>1</v>
      </c>
      <c r="T1582" s="32"/>
      <c r="U1582" s="32"/>
      <c r="V1582" s="37"/>
      <c r="W1582" s="32"/>
      <c r="X1582" s="34"/>
      <c r="Y1582" s="34"/>
      <c r="Z1582" s="36"/>
      <c r="AA1582" s="32" t="s">
        <v>8960</v>
      </c>
      <c r="AB1582" s="32"/>
      <c r="AC1582" s="38" t="str">
        <f aca="false">HYPERLINK("https://biocodex6--c.vf.force.com/0014L00000KGGYVQA5", "KLEBANER JONATHAN")</f>
        <v>KLEBANER JONATHAN</v>
      </c>
      <c r="AD1582" s="38"/>
      <c r="AE1582" s="39"/>
      <c r="AF1582" s="40"/>
      <c r="AG1582" s="41"/>
      <c r="AH1582" s="32" t="s">
        <v>179</v>
      </c>
      <c r="AI1582" s="32"/>
      <c r="AL1582" s="32"/>
      <c r="AM1582" s="32"/>
      <c r="AN1582" s="32"/>
      <c r="AO1582" s="32"/>
      <c r="AP1582" s="32"/>
      <c r="AQ1582" s="32"/>
      <c r="AR1582" s="32"/>
      <c r="AS1582" s="32"/>
      <c r="AT1582" s="32"/>
      <c r="AU1582" s="32"/>
      <c r="XEY1582" s="27"/>
      <c r="XEZ1582" s="27"/>
      <c r="XFA1582" s="27"/>
      <c r="XFB1582" s="27"/>
      <c r="XFC1582" s="27"/>
      <c r="XFD1582" s="27"/>
    </row>
    <row r="1583" s="42" customFormat="true" ht="14.15" hidden="false" customHeight="true" outlineLevel="0" collapsed="false">
      <c r="A1583" s="28" t="s">
        <v>8961</v>
      </c>
      <c r="B1583" s="29" t="s">
        <v>2987</v>
      </c>
      <c r="C1583" s="29" t="s">
        <v>8962</v>
      </c>
      <c r="D1583" s="30" t="s">
        <v>172</v>
      </c>
      <c r="E1583" s="30" t="s">
        <v>818</v>
      </c>
      <c r="F1583" s="32" t="n">
        <v>75</v>
      </c>
      <c r="G1583" s="31"/>
      <c r="H1583" s="31" t="n">
        <v>1</v>
      </c>
      <c r="I1583" s="31" t="s">
        <v>119</v>
      </c>
      <c r="J1583" s="29"/>
      <c r="K1583" s="29" t="s">
        <v>8963</v>
      </c>
      <c r="L1583" s="32" t="n">
        <v>198</v>
      </c>
      <c r="M1583" s="33" t="s">
        <v>3450</v>
      </c>
      <c r="N1583" s="34" t="n">
        <v>75007</v>
      </c>
      <c r="O1583" s="35" t="s">
        <v>55</v>
      </c>
      <c r="P1583" s="36" t="s">
        <v>8964</v>
      </c>
      <c r="Q1583" s="36" t="n">
        <v>1</v>
      </c>
      <c r="R1583" s="32" t="n">
        <v>64</v>
      </c>
      <c r="S1583" s="32" t="n">
        <v>1</v>
      </c>
      <c r="T1583" s="43" t="s">
        <v>316</v>
      </c>
      <c r="U1583" s="32"/>
      <c r="V1583" s="37"/>
      <c r="W1583" s="32"/>
      <c r="X1583" s="34"/>
      <c r="Y1583" s="34"/>
      <c r="Z1583" s="36"/>
      <c r="AA1583" s="32" t="s">
        <v>8965</v>
      </c>
      <c r="AB1583" s="32"/>
      <c r="AC1583" s="38" t="str">
        <f aca="false">HYPERLINK("https://biocodex6--c.vf.force.com/0014L00000KFg1zQAD", "GINESTE THIERRY")</f>
        <v>GINESTE THIERRY</v>
      </c>
      <c r="AD1583" s="38"/>
      <c r="AE1583" s="39"/>
      <c r="AF1583" s="40"/>
      <c r="AG1583" s="41"/>
      <c r="AH1583" s="32" t="s">
        <v>179</v>
      </c>
      <c r="AI1583" s="32"/>
      <c r="AL1583" s="32"/>
      <c r="AM1583" s="32"/>
      <c r="AN1583" s="32"/>
      <c r="AO1583" s="32"/>
      <c r="AP1583" s="32"/>
      <c r="AQ1583" s="32"/>
      <c r="AR1583" s="32"/>
      <c r="AS1583" s="32"/>
      <c r="AT1583" s="32"/>
      <c r="AU1583" s="32"/>
      <c r="XEY1583" s="27"/>
      <c r="XEZ1583" s="27"/>
      <c r="XFA1583" s="27"/>
      <c r="XFB1583" s="27"/>
      <c r="XFC1583" s="27"/>
      <c r="XFD1583" s="27"/>
    </row>
    <row r="1584" s="42" customFormat="true" ht="14.15" hidden="false" customHeight="true" outlineLevel="0" collapsed="false">
      <c r="A1584" s="28" t="s">
        <v>8966</v>
      </c>
      <c r="B1584" s="29" t="s">
        <v>1143</v>
      </c>
      <c r="C1584" s="29" t="s">
        <v>8967</v>
      </c>
      <c r="D1584" s="30" t="s">
        <v>172</v>
      </c>
      <c r="E1584" s="31"/>
      <c r="F1584" s="32" t="n">
        <v>79</v>
      </c>
      <c r="G1584" s="31"/>
      <c r="H1584" s="31" t="n">
        <v>1</v>
      </c>
      <c r="I1584" s="31" t="s">
        <v>119</v>
      </c>
      <c r="J1584" s="29"/>
      <c r="K1584" s="29" t="s">
        <v>8968</v>
      </c>
      <c r="L1584" s="32" t="n">
        <v>22</v>
      </c>
      <c r="M1584" s="33" t="s">
        <v>8969</v>
      </c>
      <c r="N1584" s="34" t="n">
        <v>75007</v>
      </c>
      <c r="O1584" s="35" t="s">
        <v>55</v>
      </c>
      <c r="P1584" s="36" t="s">
        <v>8970</v>
      </c>
      <c r="Q1584" s="36" t="n">
        <v>3</v>
      </c>
      <c r="R1584" s="32" t="n">
        <v>64</v>
      </c>
      <c r="S1584" s="32" t="n">
        <v>1</v>
      </c>
      <c r="T1584" s="43" t="s">
        <v>316</v>
      </c>
      <c r="U1584" s="32"/>
      <c r="V1584" s="37"/>
      <c r="W1584" s="32"/>
      <c r="X1584" s="34"/>
      <c r="Y1584" s="34"/>
      <c r="Z1584" s="36"/>
      <c r="AA1584" s="32" t="s">
        <v>8971</v>
      </c>
      <c r="AB1584" s="32"/>
      <c r="AC1584" s="38" t="str">
        <f aca="false">HYPERLINK("https://biocodex6--c.vf.force.com/0014L00000KFigyQAD", "HERMANT MARC")</f>
        <v>HERMANT MARC</v>
      </c>
      <c r="AD1584" s="38"/>
      <c r="AE1584" s="39"/>
      <c r="AF1584" s="40"/>
      <c r="AG1584" s="41"/>
      <c r="AH1584" s="32" t="s">
        <v>179</v>
      </c>
      <c r="AI1584" s="32"/>
      <c r="AL1584" s="32"/>
      <c r="AM1584" s="32"/>
      <c r="AN1584" s="32"/>
      <c r="AO1584" s="32"/>
      <c r="AP1584" s="32"/>
      <c r="AQ1584" s="32"/>
      <c r="AR1584" s="32"/>
      <c r="AS1584" s="32"/>
      <c r="AT1584" s="32"/>
      <c r="AU1584" s="32"/>
      <c r="XEY1584" s="27"/>
      <c r="XEZ1584" s="27"/>
      <c r="XFA1584" s="27"/>
      <c r="XFB1584" s="27"/>
      <c r="XFC1584" s="27"/>
      <c r="XFD1584" s="27"/>
    </row>
    <row r="1585" s="42" customFormat="true" ht="14.15" hidden="false" customHeight="true" outlineLevel="0" collapsed="false">
      <c r="A1585" s="28" t="s">
        <v>8972</v>
      </c>
      <c r="B1585" s="29" t="s">
        <v>1007</v>
      </c>
      <c r="C1585" s="29" t="s">
        <v>8973</v>
      </c>
      <c r="D1585" s="30" t="s">
        <v>172</v>
      </c>
      <c r="E1585" s="31"/>
      <c r="F1585" s="32" t="n">
        <v>47</v>
      </c>
      <c r="G1585" s="31"/>
      <c r="H1585" s="31" t="n">
        <v>1</v>
      </c>
      <c r="I1585" s="31" t="s">
        <v>51</v>
      </c>
      <c r="J1585" s="29"/>
      <c r="K1585" s="29" t="s">
        <v>6809</v>
      </c>
      <c r="L1585" s="32" t="n">
        <v>56</v>
      </c>
      <c r="M1585" s="33" t="s">
        <v>481</v>
      </c>
      <c r="N1585" s="34" t="n">
        <v>75015</v>
      </c>
      <c r="O1585" s="35" t="s">
        <v>55</v>
      </c>
      <c r="P1585" s="36" t="s">
        <v>8974</v>
      </c>
      <c r="Q1585" s="36" t="n">
        <v>3</v>
      </c>
      <c r="R1585" s="36" t="n">
        <v>64</v>
      </c>
      <c r="S1585" s="32" t="n">
        <v>1</v>
      </c>
      <c r="T1585" s="43" t="s">
        <v>2189</v>
      </c>
      <c r="U1585" s="32" t="n">
        <v>3</v>
      </c>
      <c r="V1585" s="37" t="n">
        <v>3</v>
      </c>
      <c r="W1585" s="32"/>
      <c r="X1585" s="34"/>
      <c r="Y1585" s="34"/>
      <c r="Z1585" s="36"/>
      <c r="AA1585" s="32" t="s">
        <v>8975</v>
      </c>
      <c r="AB1585" s="32"/>
      <c r="AC1585" s="38" t="str">
        <f aca="false">HYPERLINK("https://biocodex6--c.vf.force.com/0014L00000KFQUGQA5", "ESPOSITO DAVID")</f>
        <v>ESPOSITO DAVID</v>
      </c>
      <c r="AD1585" s="38"/>
      <c r="AE1585" s="39"/>
      <c r="AF1585" s="40"/>
      <c r="AG1585" s="41"/>
      <c r="AH1585" s="32" t="s">
        <v>179</v>
      </c>
      <c r="AI1585" s="32"/>
      <c r="AL1585" s="32"/>
      <c r="AM1585" s="32"/>
      <c r="AN1585" s="32"/>
      <c r="AO1585" s="32"/>
      <c r="AP1585" s="32"/>
      <c r="AQ1585" s="32"/>
      <c r="AR1585" s="32"/>
      <c r="AS1585" s="32"/>
      <c r="AT1585" s="32"/>
      <c r="AU1585" s="32"/>
      <c r="XEY1585" s="27"/>
      <c r="XEZ1585" s="27"/>
      <c r="XFA1585" s="27"/>
      <c r="XFB1585" s="27"/>
      <c r="XFC1585" s="27"/>
      <c r="XFD1585" s="27"/>
    </row>
    <row r="1586" s="42" customFormat="true" ht="14.15" hidden="false" customHeight="true" outlineLevel="0" collapsed="false">
      <c r="A1586" s="28" t="s">
        <v>8976</v>
      </c>
      <c r="B1586" s="29" t="s">
        <v>8977</v>
      </c>
      <c r="C1586" s="29" t="s">
        <v>8978</v>
      </c>
      <c r="D1586" s="30" t="s">
        <v>244</v>
      </c>
      <c r="E1586" s="30" t="s">
        <v>245</v>
      </c>
      <c r="F1586" s="32" t="n">
        <v>43</v>
      </c>
      <c r="G1586" s="31" t="s">
        <v>215</v>
      </c>
      <c r="H1586" s="31" t="n">
        <v>1</v>
      </c>
      <c r="I1586" s="31" t="s">
        <v>435</v>
      </c>
      <c r="J1586" s="29" t="s">
        <v>2209</v>
      </c>
      <c r="K1586" s="29" t="s">
        <v>2210</v>
      </c>
      <c r="L1586" s="32" t="n">
        <v>4</v>
      </c>
      <c r="M1586" s="33" t="s">
        <v>3465</v>
      </c>
      <c r="N1586" s="34" t="n">
        <v>75016</v>
      </c>
      <c r="O1586" s="35" t="s">
        <v>55</v>
      </c>
      <c r="P1586" s="36" t="s">
        <v>8979</v>
      </c>
      <c r="Q1586" s="36" t="n">
        <v>5</v>
      </c>
      <c r="R1586" s="32" t="n">
        <v>64</v>
      </c>
      <c r="S1586" s="32" t="n">
        <v>1</v>
      </c>
      <c r="T1586" s="32"/>
      <c r="U1586" s="32"/>
      <c r="V1586" s="37"/>
      <c r="W1586" s="32"/>
      <c r="X1586" s="34"/>
      <c r="Y1586" s="34"/>
      <c r="Z1586" s="36"/>
      <c r="AA1586" s="32" t="s">
        <v>8980</v>
      </c>
      <c r="AB1586" s="32" t="s">
        <v>8981</v>
      </c>
      <c r="AC1586" s="38" t="str">
        <f aca="false">HYPERLINK("https://biocodex6--c.vf.force.com/0014L00000KFhcpQAD", "LE PARCO SOIZIC")</f>
        <v>LE PARCO SOIZIC</v>
      </c>
      <c r="AD1586" s="38" t="str">
        <f aca="false">HYPERLINK("https://annuairesante.ameli.fr/professionnels-de-sante/recherche/fiche-detaillee-B7c1lTY2MDqy.html", "LE PARCO SOIZIC")</f>
        <v>LE PARCO SOIZIC</v>
      </c>
      <c r="AE1586" s="39"/>
      <c r="AF1586" s="40"/>
      <c r="AG1586" s="41"/>
      <c r="AH1586" s="32" t="s">
        <v>179</v>
      </c>
      <c r="AI1586" s="32"/>
      <c r="AL1586" s="32"/>
      <c r="AM1586" s="32"/>
      <c r="AN1586" s="32"/>
      <c r="AO1586" s="32"/>
      <c r="AP1586" s="32"/>
      <c r="AQ1586" s="32"/>
      <c r="AR1586" s="32"/>
      <c r="AS1586" s="32"/>
      <c r="AT1586" s="32"/>
      <c r="AU1586" s="32"/>
      <c r="XEY1586" s="27"/>
      <c r="XEZ1586" s="27"/>
      <c r="XFA1586" s="27"/>
      <c r="XFB1586" s="27"/>
      <c r="XFC1586" s="27"/>
      <c r="XFD1586" s="27"/>
    </row>
    <row r="1587" s="42" customFormat="true" ht="14.15" hidden="false" customHeight="true" outlineLevel="0" collapsed="false">
      <c r="A1587" s="28" t="s">
        <v>8982</v>
      </c>
      <c r="B1587" s="29" t="s">
        <v>8983</v>
      </c>
      <c r="C1587" s="29" t="s">
        <v>8984</v>
      </c>
      <c r="D1587" s="30" t="s">
        <v>172</v>
      </c>
      <c r="E1587" s="31"/>
      <c r="F1587" s="32"/>
      <c r="G1587" s="31"/>
      <c r="H1587" s="31" t="n">
        <v>1</v>
      </c>
      <c r="I1587" s="31" t="s">
        <v>77</v>
      </c>
      <c r="J1587" s="29" t="s">
        <v>3704</v>
      </c>
      <c r="K1587" s="29" t="s">
        <v>3705</v>
      </c>
      <c r="L1587" s="32" t="n">
        <v>40</v>
      </c>
      <c r="M1587" s="33" t="s">
        <v>3706</v>
      </c>
      <c r="N1587" s="34" t="n">
        <v>92200</v>
      </c>
      <c r="O1587" s="35" t="s">
        <v>81</v>
      </c>
      <c r="P1587" s="36" t="s">
        <v>8809</v>
      </c>
      <c r="Q1587" s="36" t="n">
        <v>4</v>
      </c>
      <c r="R1587" s="32" t="n">
        <v>64</v>
      </c>
      <c r="S1587" s="32" t="n">
        <v>1</v>
      </c>
      <c r="T1587" s="43" t="s">
        <v>1107</v>
      </c>
      <c r="U1587" s="32" t="n">
        <v>3</v>
      </c>
      <c r="V1587" s="37"/>
      <c r="W1587" s="32"/>
      <c r="X1587" s="34"/>
      <c r="Y1587" s="34"/>
      <c r="Z1587" s="36"/>
      <c r="AA1587" s="32" t="s">
        <v>8985</v>
      </c>
      <c r="AB1587" s="32"/>
      <c r="AC1587" s="38" t="str">
        <f aca="false">HYPERLINK("https://biocodex6--c.vf.force.com/0014L00000KFsXgQAL", "MOSHARRAF OL MOLK HOMA")</f>
        <v>MOSHARRAF OL MOLK HOMA</v>
      </c>
      <c r="AD1587" s="38"/>
      <c r="AE1587" s="39"/>
      <c r="AF1587" s="40"/>
      <c r="AG1587" s="41"/>
      <c r="AH1587" s="32" t="s">
        <v>179</v>
      </c>
      <c r="AI1587" s="32"/>
      <c r="AL1587" s="32"/>
      <c r="AM1587" s="32"/>
      <c r="AN1587" s="32"/>
      <c r="AO1587" s="32"/>
      <c r="AP1587" s="32"/>
      <c r="AQ1587" s="32"/>
      <c r="AR1587" s="32"/>
      <c r="AS1587" s="32"/>
      <c r="AT1587" s="32"/>
      <c r="AU1587" s="32"/>
      <c r="XEY1587" s="27"/>
      <c r="XEZ1587" s="27"/>
      <c r="XFA1587" s="27"/>
      <c r="XFB1587" s="27"/>
      <c r="XFC1587" s="27"/>
      <c r="XFD1587" s="27"/>
    </row>
    <row r="1588" s="42" customFormat="true" ht="14.15" hidden="false" customHeight="true" outlineLevel="0" collapsed="false">
      <c r="A1588" s="28" t="s">
        <v>8986</v>
      </c>
      <c r="B1588" s="29" t="s">
        <v>1736</v>
      </c>
      <c r="C1588" s="29" t="s">
        <v>8987</v>
      </c>
      <c r="D1588" s="30" t="s">
        <v>172</v>
      </c>
      <c r="E1588" s="31"/>
      <c r="F1588" s="32" t="n">
        <v>75</v>
      </c>
      <c r="G1588" s="31"/>
      <c r="H1588" s="31" t="n">
        <v>1</v>
      </c>
      <c r="I1588" s="31" t="s">
        <v>119</v>
      </c>
      <c r="J1588" s="29"/>
      <c r="K1588" s="29" t="s">
        <v>8988</v>
      </c>
      <c r="L1588" s="32" t="n">
        <v>61</v>
      </c>
      <c r="M1588" s="33" t="s">
        <v>5087</v>
      </c>
      <c r="N1588" s="34" t="n">
        <v>75007</v>
      </c>
      <c r="O1588" s="35" t="s">
        <v>55</v>
      </c>
      <c r="P1588" s="36" t="s">
        <v>8989</v>
      </c>
      <c r="Q1588" s="36" t="n">
        <v>1</v>
      </c>
      <c r="R1588" s="32" t="n">
        <v>63</v>
      </c>
      <c r="S1588" s="32" t="n">
        <v>1</v>
      </c>
      <c r="T1588" s="43" t="s">
        <v>1107</v>
      </c>
      <c r="U1588" s="32" t="n">
        <v>3</v>
      </c>
      <c r="V1588" s="37"/>
      <c r="W1588" s="32"/>
      <c r="X1588" s="34"/>
      <c r="Y1588" s="34"/>
      <c r="Z1588" s="36"/>
      <c r="AA1588" s="32" t="s">
        <v>8990</v>
      </c>
      <c r="AB1588" s="32"/>
      <c r="AC1588" s="38" t="str">
        <f aca="false">HYPERLINK("https://biocodex6--c.vf.force.com/0014L00000KFrhmQAD", "MIALET JEAN PAUL")</f>
        <v>MIALET JEAN PAUL</v>
      </c>
      <c r="AD1588" s="38"/>
      <c r="AE1588" s="39" t="n">
        <v>45379.4791666667</v>
      </c>
      <c r="AF1588" s="40"/>
      <c r="AG1588" s="41"/>
      <c r="AH1588" s="32" t="s">
        <v>179</v>
      </c>
      <c r="AI1588" s="32"/>
      <c r="AL1588" s="32"/>
      <c r="AM1588" s="32"/>
      <c r="AN1588" s="32"/>
      <c r="AO1588" s="32"/>
      <c r="AP1588" s="32"/>
      <c r="AQ1588" s="32"/>
      <c r="AR1588" s="32"/>
      <c r="AS1588" s="32"/>
      <c r="AT1588" s="32"/>
      <c r="AU1588" s="32"/>
      <c r="XEY1588" s="27"/>
      <c r="XEZ1588" s="27"/>
      <c r="XFA1588" s="27"/>
      <c r="XFB1588" s="27"/>
      <c r="XFC1588" s="27"/>
      <c r="XFD1588" s="27"/>
    </row>
    <row r="1589" s="42" customFormat="true" ht="14.15" hidden="false" customHeight="true" outlineLevel="0" collapsed="false">
      <c r="A1589" s="28" t="s">
        <v>8991</v>
      </c>
      <c r="B1589" s="29" t="s">
        <v>1007</v>
      </c>
      <c r="C1589" s="29" t="s">
        <v>8992</v>
      </c>
      <c r="D1589" s="30" t="s">
        <v>172</v>
      </c>
      <c r="E1589" s="30" t="s">
        <v>545</v>
      </c>
      <c r="F1589" s="32" t="n">
        <v>52</v>
      </c>
      <c r="G1589" s="31"/>
      <c r="H1589" s="31" t="n">
        <v>1</v>
      </c>
      <c r="I1589" s="31" t="s">
        <v>435</v>
      </c>
      <c r="J1589" s="29"/>
      <c r="K1589" s="29" t="s">
        <v>8993</v>
      </c>
      <c r="L1589" s="32" t="n">
        <v>17</v>
      </c>
      <c r="M1589" s="33" t="s">
        <v>8994</v>
      </c>
      <c r="N1589" s="34" t="n">
        <v>75016</v>
      </c>
      <c r="O1589" s="35" t="s">
        <v>55</v>
      </c>
      <c r="P1589" s="36" t="s">
        <v>8995</v>
      </c>
      <c r="Q1589" s="36" t="n">
        <v>4</v>
      </c>
      <c r="R1589" s="32" t="n">
        <v>63</v>
      </c>
      <c r="S1589" s="32" t="n">
        <v>1</v>
      </c>
      <c r="T1589" s="43" t="s">
        <v>177</v>
      </c>
      <c r="U1589" s="32"/>
      <c r="V1589" s="37" t="n">
        <v>3</v>
      </c>
      <c r="W1589" s="32"/>
      <c r="X1589" s="34"/>
      <c r="Y1589" s="34"/>
      <c r="Z1589" s="32"/>
      <c r="AA1589" s="32" t="s">
        <v>8996</v>
      </c>
      <c r="AB1589" s="44"/>
      <c r="AC1589" s="38" t="str">
        <f aca="false">HYPERLINK("https://biocodex6--c.vf.force.com/0014L00000KFeZhQAL", "GOURION DAVID")</f>
        <v>GOURION DAVID</v>
      </c>
      <c r="AD1589" s="38"/>
      <c r="AE1589" s="39"/>
      <c r="AF1589" s="40"/>
      <c r="AG1589" s="41"/>
      <c r="AH1589" s="32" t="s">
        <v>2191</v>
      </c>
      <c r="AI1589" s="32" t="s">
        <v>2191</v>
      </c>
      <c r="AJ1589" s="42" t="s">
        <v>8997</v>
      </c>
      <c r="AL1589" s="32"/>
      <c r="AM1589" s="32"/>
      <c r="AN1589" s="32"/>
      <c r="AO1589" s="32"/>
      <c r="AP1589" s="32"/>
      <c r="AQ1589" s="32"/>
      <c r="AR1589" s="32"/>
      <c r="AS1589" s="32"/>
      <c r="AT1589" s="32"/>
      <c r="AU1589" s="32"/>
      <c r="XEY1589" s="27"/>
      <c r="XEZ1589" s="27"/>
      <c r="XFA1589" s="27"/>
      <c r="XFB1589" s="27"/>
      <c r="XFC1589" s="27"/>
      <c r="XFD1589" s="27"/>
    </row>
    <row r="1590" s="42" customFormat="true" ht="14.15" hidden="false" customHeight="true" outlineLevel="0" collapsed="false">
      <c r="A1590" s="28" t="s">
        <v>8998</v>
      </c>
      <c r="B1590" s="29" t="s">
        <v>151</v>
      </c>
      <c r="C1590" s="29" t="s">
        <v>8999</v>
      </c>
      <c r="D1590" s="30" t="s">
        <v>172</v>
      </c>
      <c r="E1590" s="30" t="s">
        <v>818</v>
      </c>
      <c r="F1590" s="32" t="n">
        <v>69</v>
      </c>
      <c r="G1590" s="31"/>
      <c r="H1590" s="31" t="n">
        <v>1</v>
      </c>
      <c r="I1590" s="31" t="s">
        <v>435</v>
      </c>
      <c r="J1590" s="29"/>
      <c r="K1590" s="29" t="s">
        <v>8993</v>
      </c>
      <c r="L1590" s="32" t="n">
        <v>17</v>
      </c>
      <c r="M1590" s="33" t="s">
        <v>8994</v>
      </c>
      <c r="N1590" s="34" t="n">
        <v>75016</v>
      </c>
      <c r="O1590" s="35" t="s">
        <v>55</v>
      </c>
      <c r="P1590" s="36" t="s">
        <v>8995</v>
      </c>
      <c r="Q1590" s="36" t="n">
        <v>4</v>
      </c>
      <c r="R1590" s="32" t="n">
        <v>63</v>
      </c>
      <c r="S1590" s="32" t="n">
        <v>1</v>
      </c>
      <c r="T1590" s="43" t="s">
        <v>316</v>
      </c>
      <c r="U1590" s="32"/>
      <c r="V1590" s="37"/>
      <c r="W1590" s="32"/>
      <c r="X1590" s="34"/>
      <c r="Y1590" s="34"/>
      <c r="Z1590" s="32"/>
      <c r="AA1590" s="32" t="s">
        <v>9000</v>
      </c>
      <c r="AB1590" s="32"/>
      <c r="AC1590" s="38" t="str">
        <f aca="false">HYPERLINK("https://biocodex6--c.vf.force.com/0014L00000KFxTJQA1", "RAFFAITIN FREDERIC")</f>
        <v>RAFFAITIN FREDERIC</v>
      </c>
      <c r="AD1590" s="38"/>
      <c r="AE1590" s="39"/>
      <c r="AF1590" s="40"/>
      <c r="AG1590" s="41"/>
      <c r="AH1590" s="32" t="s">
        <v>156</v>
      </c>
      <c r="AI1590" s="32" t="s">
        <v>180</v>
      </c>
      <c r="AK1590" s="42" t="s">
        <v>9001</v>
      </c>
      <c r="AL1590" s="32"/>
      <c r="AM1590" s="32"/>
      <c r="AN1590" s="32"/>
      <c r="AO1590" s="32"/>
      <c r="AP1590" s="32"/>
      <c r="AQ1590" s="32"/>
      <c r="AR1590" s="32"/>
      <c r="AS1590" s="32"/>
      <c r="AT1590" s="32"/>
      <c r="AU1590" s="32"/>
      <c r="XEY1590" s="27"/>
      <c r="XEZ1590" s="27"/>
      <c r="XFA1590" s="27"/>
      <c r="XFB1590" s="27"/>
      <c r="XFC1590" s="27"/>
      <c r="XFD1590" s="27"/>
    </row>
    <row r="1591" s="42" customFormat="true" ht="14.15" hidden="false" customHeight="true" outlineLevel="0" collapsed="false">
      <c r="A1591" s="28" t="s">
        <v>9002</v>
      </c>
      <c r="B1591" s="29" t="s">
        <v>1584</v>
      </c>
      <c r="C1591" s="29" t="s">
        <v>9003</v>
      </c>
      <c r="D1591" s="30" t="s">
        <v>244</v>
      </c>
      <c r="E1591" s="30" t="s">
        <v>245</v>
      </c>
      <c r="F1591" s="32" t="n">
        <v>46</v>
      </c>
      <c r="G1591" s="31" t="s">
        <v>215</v>
      </c>
      <c r="H1591" s="31" t="n">
        <v>2</v>
      </c>
      <c r="I1591" s="31" t="s">
        <v>62</v>
      </c>
      <c r="J1591" s="29"/>
      <c r="K1591" s="29" t="s">
        <v>9004</v>
      </c>
      <c r="L1591" s="32" t="n">
        <v>133</v>
      </c>
      <c r="M1591" s="33" t="s">
        <v>1661</v>
      </c>
      <c r="N1591" s="34" t="n">
        <v>75017</v>
      </c>
      <c r="O1591" s="35" t="s">
        <v>55</v>
      </c>
      <c r="P1591" s="36" t="s">
        <v>9005</v>
      </c>
      <c r="Q1591" s="36" t="n">
        <v>1</v>
      </c>
      <c r="R1591" s="32" t="n">
        <v>63</v>
      </c>
      <c r="S1591" s="32" t="n">
        <v>1</v>
      </c>
      <c r="T1591" s="32"/>
      <c r="U1591" s="32"/>
      <c r="V1591" s="37"/>
      <c r="W1591" s="32"/>
      <c r="X1591" s="34"/>
      <c r="Y1591" s="34"/>
      <c r="Z1591" s="36"/>
      <c r="AA1591" s="32" t="s">
        <v>9006</v>
      </c>
      <c r="AB1591" s="32" t="s">
        <v>9007</v>
      </c>
      <c r="AC1591" s="38" t="str">
        <f aca="false">HYPERLINK("https://biocodex6--c.vf.force.com/0014L00000KFRoFQAX", "HAMOU PLOTKINE LAURENCE")</f>
        <v>HAMOU PLOTKINE LAURENCE</v>
      </c>
      <c r="AD1591" s="38" t="str">
        <f aca="false">HYPERLINK("https://annuairesante.ameli.fr/professionnels-de-sante/recherche/fiche-detaillee-B7c1mzo4MzC6.html", "HAMOU PLOTKINE LAURENCE")</f>
        <v>HAMOU PLOTKINE LAURENCE</v>
      </c>
      <c r="AE1591" s="39"/>
      <c r="AF1591" s="40"/>
      <c r="AG1591" s="41"/>
      <c r="AH1591" s="32" t="s">
        <v>179</v>
      </c>
      <c r="AI1591" s="32"/>
      <c r="AL1591" s="32"/>
      <c r="AM1591" s="43" t="s">
        <v>1908</v>
      </c>
      <c r="AN1591" s="43" t="s">
        <v>909</v>
      </c>
      <c r="AO1591" s="43" t="s">
        <v>1908</v>
      </c>
      <c r="AP1591" s="43" t="s">
        <v>909</v>
      </c>
      <c r="AQ1591" s="43" t="s">
        <v>1908</v>
      </c>
      <c r="AR1591" s="32"/>
      <c r="AS1591" s="32"/>
      <c r="AT1591" s="32"/>
      <c r="AU1591" s="43" t="s">
        <v>1908</v>
      </c>
      <c r="XEY1591" s="27"/>
      <c r="XEZ1591" s="27"/>
      <c r="XFA1591" s="27"/>
      <c r="XFB1591" s="27"/>
      <c r="XFC1591" s="27"/>
      <c r="XFD1591" s="27"/>
    </row>
    <row r="1592" s="42" customFormat="true" ht="14.15" hidden="false" customHeight="true" outlineLevel="0" collapsed="false">
      <c r="A1592" s="28" t="s">
        <v>9008</v>
      </c>
      <c r="B1592" s="29" t="s">
        <v>9009</v>
      </c>
      <c r="C1592" s="29" t="s">
        <v>9010</v>
      </c>
      <c r="D1592" s="30" t="s">
        <v>172</v>
      </c>
      <c r="E1592" s="30" t="s">
        <v>818</v>
      </c>
      <c r="F1592" s="32" t="n">
        <v>72</v>
      </c>
      <c r="G1592" s="31"/>
      <c r="H1592" s="31" t="n">
        <v>1</v>
      </c>
      <c r="I1592" s="31" t="s">
        <v>197</v>
      </c>
      <c r="J1592" s="29" t="s">
        <v>4801</v>
      </c>
      <c r="K1592" s="29" t="s">
        <v>4802</v>
      </c>
      <c r="L1592" s="32" t="n">
        <v>206</v>
      </c>
      <c r="M1592" s="33" t="s">
        <v>4230</v>
      </c>
      <c r="N1592" s="34" t="n">
        <v>75017</v>
      </c>
      <c r="O1592" s="35" t="s">
        <v>55</v>
      </c>
      <c r="P1592" s="36" t="s">
        <v>9011</v>
      </c>
      <c r="Q1592" s="36" t="n">
        <v>11</v>
      </c>
      <c r="R1592" s="32" t="n">
        <v>63</v>
      </c>
      <c r="S1592" s="32" t="n">
        <v>1</v>
      </c>
      <c r="T1592" s="43" t="s">
        <v>316</v>
      </c>
      <c r="U1592" s="32"/>
      <c r="V1592" s="37"/>
      <c r="W1592" s="32"/>
      <c r="X1592" s="34"/>
      <c r="Y1592" s="34"/>
      <c r="Z1592" s="36"/>
      <c r="AA1592" s="32" t="s">
        <v>9012</v>
      </c>
      <c r="AB1592" s="32"/>
      <c r="AC1592" s="38" t="str">
        <f aca="false">HYPERLINK("https://biocodex6--c.vf.force.com/0014L00000KFyCKQA1", "RETORE JEAN YVES")</f>
        <v>RETORE JEAN YVES</v>
      </c>
      <c r="AD1592" s="38"/>
      <c r="AE1592" s="39"/>
      <c r="AF1592" s="40"/>
      <c r="AG1592" s="41"/>
      <c r="AH1592" s="32" t="s">
        <v>179</v>
      </c>
      <c r="AI1592" s="32"/>
      <c r="AL1592" s="32"/>
      <c r="AM1592" s="32"/>
      <c r="AN1592" s="32"/>
      <c r="AO1592" s="32"/>
      <c r="AP1592" s="32"/>
      <c r="AQ1592" s="32"/>
      <c r="AR1592" s="32"/>
      <c r="AS1592" s="32"/>
      <c r="AT1592" s="32"/>
      <c r="AU1592" s="32"/>
      <c r="XEY1592" s="27"/>
      <c r="XEZ1592" s="27"/>
      <c r="XFA1592" s="27"/>
      <c r="XFB1592" s="27"/>
      <c r="XFC1592" s="27"/>
      <c r="XFD1592" s="27"/>
    </row>
    <row r="1593" s="42" customFormat="true" ht="14.15" hidden="false" customHeight="true" outlineLevel="0" collapsed="false">
      <c r="A1593" s="28" t="s">
        <v>2856</v>
      </c>
      <c r="B1593" s="29" t="s">
        <v>9013</v>
      </c>
      <c r="C1593" s="29" t="s">
        <v>9014</v>
      </c>
      <c r="D1593" s="30" t="s">
        <v>244</v>
      </c>
      <c r="E1593" s="30" t="s">
        <v>245</v>
      </c>
      <c r="F1593" s="32" t="n">
        <v>42</v>
      </c>
      <c r="G1593" s="31" t="s">
        <v>215</v>
      </c>
      <c r="H1593" s="31" t="n">
        <v>1</v>
      </c>
      <c r="I1593" s="31" t="s">
        <v>77</v>
      </c>
      <c r="J1593" s="29" t="s">
        <v>246</v>
      </c>
      <c r="K1593" s="29" t="s">
        <v>247</v>
      </c>
      <c r="L1593" s="32" t="n">
        <v>36</v>
      </c>
      <c r="M1593" s="33" t="s">
        <v>248</v>
      </c>
      <c r="N1593" s="34" t="n">
        <v>92200</v>
      </c>
      <c r="O1593" s="35" t="s">
        <v>81</v>
      </c>
      <c r="P1593" s="36" t="s">
        <v>9015</v>
      </c>
      <c r="Q1593" s="36" t="n">
        <v>49</v>
      </c>
      <c r="R1593" s="32" t="n">
        <v>63</v>
      </c>
      <c r="S1593" s="32" t="n">
        <v>1</v>
      </c>
      <c r="T1593" s="32"/>
      <c r="U1593" s="32"/>
      <c r="V1593" s="37"/>
      <c r="W1593" s="32"/>
      <c r="X1593" s="34"/>
      <c r="Y1593" s="34"/>
      <c r="Z1593" s="36" t="s">
        <v>9016</v>
      </c>
      <c r="AA1593" s="32" t="s">
        <v>9017</v>
      </c>
      <c r="AB1593" s="32" t="s">
        <v>9018</v>
      </c>
      <c r="AC1593" s="38" t="str">
        <f aca="false">HYPERLINK("https://biocodex6--c.vf.force.com/0014L00000KG5mKQAT", "VALENTIN MORGANE")</f>
        <v>VALENTIN MORGANE</v>
      </c>
      <c r="AD1593" s="38" t="str">
        <f aca="false">HYPERLINK("https://annuairesante.ameli.fr/professionnels-de-sante/recherche/fiche-detaillee-B7c1lTY0NzCy.html", "VALENTIN MORGANE")</f>
        <v>VALENTIN MORGANE</v>
      </c>
      <c r="AE1593" s="39"/>
      <c r="AF1593" s="40"/>
      <c r="AG1593" s="41"/>
      <c r="AH1593" s="32" t="s">
        <v>179</v>
      </c>
      <c r="AI1593" s="32"/>
      <c r="AL1593" s="32"/>
      <c r="AM1593" s="32"/>
      <c r="AN1593" s="32"/>
      <c r="AO1593" s="32"/>
      <c r="AP1593" s="32"/>
      <c r="AQ1593" s="32"/>
      <c r="AR1593" s="32"/>
      <c r="AS1593" s="32"/>
      <c r="AT1593" s="32"/>
      <c r="AU1593" s="32"/>
      <c r="XEY1593" s="27"/>
      <c r="XEZ1593" s="27"/>
      <c r="XFA1593" s="27"/>
      <c r="XFB1593" s="27"/>
      <c r="XFC1593" s="27"/>
      <c r="XFD1593" s="27"/>
    </row>
    <row r="1594" s="42" customFormat="true" ht="14.15" hidden="false" customHeight="true" outlineLevel="0" collapsed="false">
      <c r="A1594" s="28" t="s">
        <v>9019</v>
      </c>
      <c r="B1594" s="29" t="s">
        <v>3674</v>
      </c>
      <c r="C1594" s="29" t="s">
        <v>9020</v>
      </c>
      <c r="D1594" s="30" t="s">
        <v>172</v>
      </c>
      <c r="E1594" s="30" t="s">
        <v>818</v>
      </c>
      <c r="F1594" s="32" t="n">
        <v>71</v>
      </c>
      <c r="G1594" s="31"/>
      <c r="H1594" s="31" t="n">
        <v>1</v>
      </c>
      <c r="I1594" s="31" t="s">
        <v>51</v>
      </c>
      <c r="J1594" s="29"/>
      <c r="K1594" s="29" t="s">
        <v>9021</v>
      </c>
      <c r="L1594" s="32" t="n">
        <v>48</v>
      </c>
      <c r="M1594" s="33" t="s">
        <v>481</v>
      </c>
      <c r="N1594" s="34" t="n">
        <v>75015</v>
      </c>
      <c r="O1594" s="35" t="s">
        <v>55</v>
      </c>
      <c r="P1594" s="36" t="s">
        <v>9022</v>
      </c>
      <c r="Q1594" s="36" t="n">
        <v>1</v>
      </c>
      <c r="R1594" s="32" t="n">
        <v>62</v>
      </c>
      <c r="S1594" s="32" t="n">
        <v>1</v>
      </c>
      <c r="T1594" s="43" t="s">
        <v>316</v>
      </c>
      <c r="U1594" s="32"/>
      <c r="V1594" s="37"/>
      <c r="W1594" s="32"/>
      <c r="X1594" s="34"/>
      <c r="Y1594" s="34"/>
      <c r="Z1594" s="36"/>
      <c r="AA1594" s="32" t="s">
        <v>9023</v>
      </c>
      <c r="AB1594" s="32"/>
      <c r="AC1594" s="38" t="str">
        <f aca="false">HYPERLINK("https://biocodex6--c.vf.force.com/0014L00000KFY3rQAH", "DARVES BORNOZ JEAN MICHEL")</f>
        <v>DARVES BORNOZ JEAN MICHEL</v>
      </c>
      <c r="AD1594" s="38"/>
      <c r="AE1594" s="39"/>
      <c r="AF1594" s="40"/>
      <c r="AG1594" s="41"/>
      <c r="AH1594" s="32" t="s">
        <v>179</v>
      </c>
      <c r="AI1594" s="32"/>
      <c r="AL1594" s="32"/>
      <c r="AM1594" s="32"/>
      <c r="AN1594" s="32"/>
      <c r="AO1594" s="32"/>
      <c r="AP1594" s="32"/>
      <c r="AQ1594" s="32"/>
      <c r="AR1594" s="32"/>
      <c r="AS1594" s="32"/>
      <c r="AT1594" s="32"/>
      <c r="AU1594" s="32"/>
      <c r="XEY1594" s="27"/>
      <c r="XEZ1594" s="27"/>
      <c r="XFA1594" s="27"/>
      <c r="XFB1594" s="27"/>
      <c r="XFC1594" s="27"/>
      <c r="XFD1594" s="27"/>
    </row>
    <row r="1595" s="42" customFormat="true" ht="14.15" hidden="false" customHeight="true" outlineLevel="0" collapsed="false">
      <c r="A1595" s="28" t="s">
        <v>9024</v>
      </c>
      <c r="B1595" s="29" t="s">
        <v>182</v>
      </c>
      <c r="C1595" s="29" t="s">
        <v>9025</v>
      </c>
      <c r="D1595" s="30" t="s">
        <v>172</v>
      </c>
      <c r="E1595" s="31"/>
      <c r="F1595" s="32" t="n">
        <v>63</v>
      </c>
      <c r="G1595" s="31"/>
      <c r="H1595" s="31" t="n">
        <v>1</v>
      </c>
      <c r="I1595" s="31" t="s">
        <v>173</v>
      </c>
      <c r="J1595" s="29"/>
      <c r="K1595" s="29" t="s">
        <v>9026</v>
      </c>
      <c r="L1595" s="32" t="n">
        <v>5</v>
      </c>
      <c r="M1595" s="33" t="s">
        <v>9027</v>
      </c>
      <c r="N1595" s="34" t="n">
        <v>75016</v>
      </c>
      <c r="O1595" s="35" t="s">
        <v>55</v>
      </c>
      <c r="P1595" s="36" t="s">
        <v>9028</v>
      </c>
      <c r="Q1595" s="36" t="n">
        <v>3</v>
      </c>
      <c r="R1595" s="36" t="n">
        <v>62</v>
      </c>
      <c r="S1595" s="32" t="n">
        <v>1</v>
      </c>
      <c r="T1595" s="43" t="s">
        <v>2189</v>
      </c>
      <c r="U1595" s="32" t="n">
        <v>3</v>
      </c>
      <c r="V1595" s="37" t="n">
        <v>3</v>
      </c>
      <c r="W1595" s="32"/>
      <c r="X1595" s="34"/>
      <c r="Y1595" s="34"/>
      <c r="Z1595" s="36"/>
      <c r="AA1595" s="32" t="s">
        <v>9029</v>
      </c>
      <c r="AB1595" s="32"/>
      <c r="AC1595" s="38" t="str">
        <f aca="false">HYPERLINK("https://biocodex6--c.vf.force.com/0014L00000KFWWiQAP", "CHNEIWEISS LAURENT")</f>
        <v>CHNEIWEISS LAURENT</v>
      </c>
      <c r="AD1595" s="38"/>
      <c r="AE1595" s="39"/>
      <c r="AF1595" s="40"/>
      <c r="AG1595" s="41"/>
      <c r="AH1595" s="32" t="s">
        <v>179</v>
      </c>
      <c r="AI1595" s="32"/>
      <c r="AL1595" s="32"/>
      <c r="AM1595" s="32"/>
      <c r="AN1595" s="32"/>
      <c r="AO1595" s="32"/>
      <c r="AP1595" s="32"/>
      <c r="AQ1595" s="32"/>
      <c r="AR1595" s="32"/>
      <c r="AS1595" s="32"/>
      <c r="AT1595" s="32"/>
      <c r="AU1595" s="32"/>
      <c r="XEY1595" s="27"/>
      <c r="XEZ1595" s="27"/>
      <c r="XFA1595" s="27"/>
      <c r="XFB1595" s="27"/>
      <c r="XFC1595" s="27"/>
      <c r="XFD1595" s="27"/>
    </row>
    <row r="1596" s="42" customFormat="true" ht="14.15" hidden="false" customHeight="true" outlineLevel="0" collapsed="false">
      <c r="A1596" s="28" t="s">
        <v>9030</v>
      </c>
      <c r="B1596" s="29" t="s">
        <v>8314</v>
      </c>
      <c r="C1596" s="29" t="s">
        <v>9031</v>
      </c>
      <c r="D1596" s="30" t="s">
        <v>244</v>
      </c>
      <c r="E1596" s="30" t="s">
        <v>245</v>
      </c>
      <c r="F1596" s="32" t="n">
        <v>40</v>
      </c>
      <c r="G1596" s="31" t="s">
        <v>215</v>
      </c>
      <c r="H1596" s="31" t="n">
        <v>2</v>
      </c>
      <c r="I1596" s="31" t="s">
        <v>77</v>
      </c>
      <c r="J1596" s="29" t="s">
        <v>5738</v>
      </c>
      <c r="K1596" s="29" t="s">
        <v>5739</v>
      </c>
      <c r="L1596" s="32" t="n">
        <v>5</v>
      </c>
      <c r="M1596" s="33" t="s">
        <v>5740</v>
      </c>
      <c r="N1596" s="34" t="n">
        <v>92200</v>
      </c>
      <c r="O1596" s="35" t="s">
        <v>81</v>
      </c>
      <c r="P1596" s="36" t="s">
        <v>9032</v>
      </c>
      <c r="Q1596" s="36" t="n">
        <v>5</v>
      </c>
      <c r="R1596" s="32" t="n">
        <v>62</v>
      </c>
      <c r="S1596" s="32" t="n">
        <v>1</v>
      </c>
      <c r="T1596" s="32"/>
      <c r="U1596" s="32"/>
      <c r="V1596" s="37"/>
      <c r="W1596" s="32"/>
      <c r="X1596" s="34"/>
      <c r="Y1596" s="34"/>
      <c r="Z1596" s="36" t="s">
        <v>9033</v>
      </c>
      <c r="AA1596" s="32" t="s">
        <v>9034</v>
      </c>
      <c r="AB1596" s="32" t="s">
        <v>9035</v>
      </c>
      <c r="AC1596" s="38" t="str">
        <f aca="false">HYPERLINK("https://biocodex6--c.vf.force.com/0014L00000KFrDRQA1", "MARGULIES ANNE LAURE")</f>
        <v>MARGULIES ANNE LAURE</v>
      </c>
      <c r="AD1596" s="38" t="str">
        <f aca="false">HYPERLINK("https://annuairesante.ameli.fr/professionnels-de-sante/recherche/fiche-detaillee-CbA1mjE3NDK7.html", "MARGULIES ANNE LAURE")</f>
        <v>MARGULIES ANNE LAURE</v>
      </c>
      <c r="AE1596" s="39"/>
      <c r="AF1596" s="40"/>
      <c r="AG1596" s="41"/>
      <c r="AH1596" s="32" t="s">
        <v>179</v>
      </c>
      <c r="AI1596" s="32"/>
      <c r="AL1596" s="32"/>
      <c r="AM1596" s="32"/>
      <c r="AN1596" s="32"/>
      <c r="AO1596" s="32"/>
      <c r="AP1596" s="32"/>
      <c r="AQ1596" s="32"/>
      <c r="AR1596" s="32"/>
      <c r="AS1596" s="32"/>
      <c r="AT1596" s="32"/>
      <c r="AU1596" s="32"/>
      <c r="XEY1596" s="27"/>
      <c r="XEZ1596" s="27"/>
      <c r="XFA1596" s="27"/>
      <c r="XFB1596" s="27"/>
      <c r="XFC1596" s="27"/>
      <c r="XFD1596" s="27"/>
    </row>
    <row r="1597" s="42" customFormat="true" ht="14.15" hidden="false" customHeight="true" outlineLevel="0" collapsed="false">
      <c r="A1597" s="28" t="s">
        <v>9036</v>
      </c>
      <c r="B1597" s="29" t="s">
        <v>1409</v>
      </c>
      <c r="C1597" s="29" t="s">
        <v>9037</v>
      </c>
      <c r="D1597" s="30" t="s">
        <v>112</v>
      </c>
      <c r="E1597" s="31"/>
      <c r="F1597" s="32" t="n">
        <v>0</v>
      </c>
      <c r="G1597" s="31"/>
      <c r="H1597" s="31" t="n">
        <v>1</v>
      </c>
      <c r="I1597" s="31" t="s">
        <v>51</v>
      </c>
      <c r="J1597" s="29" t="s">
        <v>52</v>
      </c>
      <c r="K1597" s="29" t="s">
        <v>53</v>
      </c>
      <c r="L1597" s="32" t="n">
        <v>149</v>
      </c>
      <c r="M1597" s="33" t="s">
        <v>54</v>
      </c>
      <c r="N1597" s="34" t="n">
        <v>75015</v>
      </c>
      <c r="O1597" s="35" t="s">
        <v>55</v>
      </c>
      <c r="P1597" s="36" t="s">
        <v>1815</v>
      </c>
      <c r="Q1597" s="36" t="n">
        <v>236</v>
      </c>
      <c r="R1597" s="32" t="n">
        <v>61</v>
      </c>
      <c r="S1597" s="32" t="n">
        <v>1</v>
      </c>
      <c r="T1597" s="32"/>
      <c r="U1597" s="32"/>
      <c r="V1597" s="37"/>
      <c r="W1597" s="32"/>
      <c r="X1597" s="34"/>
      <c r="Y1597" s="34"/>
      <c r="Z1597" s="36"/>
      <c r="AA1597" s="32" t="s">
        <v>9038</v>
      </c>
      <c r="AB1597" s="32"/>
      <c r="AC1597" s="38" t="str">
        <f aca="false">HYPERLINK("https://biocodex6--c.vf.force.com/0014L00000KGMTIQA5", "FOLIGNO SILVIA")</f>
        <v>FOLIGNO SILVIA</v>
      </c>
      <c r="AD1597" s="38"/>
      <c r="AE1597" s="39"/>
      <c r="AF1597" s="40"/>
      <c r="AG1597" s="41"/>
      <c r="AH1597" s="32" t="s">
        <v>179</v>
      </c>
      <c r="AI1597" s="32"/>
      <c r="AJ1597" s="42" t="s">
        <v>1817</v>
      </c>
      <c r="AL1597" s="32"/>
      <c r="AM1597" s="32"/>
      <c r="AN1597" s="32"/>
      <c r="AO1597" s="32"/>
      <c r="AP1597" s="32"/>
      <c r="AQ1597" s="32"/>
      <c r="AR1597" s="32"/>
      <c r="AS1597" s="32"/>
      <c r="AT1597" s="32"/>
      <c r="AU1597" s="32"/>
      <c r="XEY1597" s="27"/>
      <c r="XEZ1597" s="27"/>
      <c r="XFA1597" s="27"/>
      <c r="XFB1597" s="27"/>
      <c r="XFC1597" s="27"/>
      <c r="XFD1597" s="27"/>
    </row>
    <row r="1598" s="42" customFormat="true" ht="14.15" hidden="false" customHeight="true" outlineLevel="0" collapsed="false">
      <c r="A1598" s="28" t="s">
        <v>9039</v>
      </c>
      <c r="B1598" s="29" t="s">
        <v>320</v>
      </c>
      <c r="C1598" s="29" t="s">
        <v>9040</v>
      </c>
      <c r="D1598" s="30" t="s">
        <v>172</v>
      </c>
      <c r="E1598" s="31"/>
      <c r="F1598" s="32" t="n">
        <v>74</v>
      </c>
      <c r="G1598" s="31"/>
      <c r="H1598" s="31" t="n">
        <v>1</v>
      </c>
      <c r="I1598" s="31" t="s">
        <v>51</v>
      </c>
      <c r="J1598" s="29"/>
      <c r="K1598" s="29" t="s">
        <v>8803</v>
      </c>
      <c r="L1598" s="32" t="n">
        <v>131</v>
      </c>
      <c r="M1598" s="33" t="s">
        <v>852</v>
      </c>
      <c r="N1598" s="34" t="n">
        <v>75015</v>
      </c>
      <c r="O1598" s="35" t="s">
        <v>55</v>
      </c>
      <c r="P1598" s="36" t="s">
        <v>9041</v>
      </c>
      <c r="Q1598" s="36" t="n">
        <v>2</v>
      </c>
      <c r="R1598" s="32" t="n">
        <v>61</v>
      </c>
      <c r="S1598" s="32" t="n">
        <v>1</v>
      </c>
      <c r="T1598" s="43" t="s">
        <v>316</v>
      </c>
      <c r="U1598" s="32"/>
      <c r="V1598" s="37"/>
      <c r="W1598" s="32"/>
      <c r="X1598" s="34"/>
      <c r="Y1598" s="34"/>
      <c r="Z1598" s="36"/>
      <c r="AA1598" s="32" t="s">
        <v>9042</v>
      </c>
      <c r="AB1598" s="32"/>
      <c r="AC1598" s="38" t="str">
        <f aca="false">HYPERLINK("https://biocodex6--c.vf.force.com/0014L00000KFo4ZQAT", "LERET SERGE")</f>
        <v>LERET SERGE</v>
      </c>
      <c r="AD1598" s="38"/>
      <c r="AE1598" s="39"/>
      <c r="AF1598" s="40"/>
      <c r="AG1598" s="41"/>
      <c r="AH1598" s="32" t="s">
        <v>179</v>
      </c>
      <c r="AI1598" s="32"/>
      <c r="AL1598" s="32"/>
      <c r="AM1598" s="32"/>
      <c r="AN1598" s="32"/>
      <c r="AO1598" s="32"/>
      <c r="AP1598" s="32"/>
      <c r="AQ1598" s="32"/>
      <c r="AR1598" s="32"/>
      <c r="AS1598" s="32"/>
      <c r="AT1598" s="32"/>
      <c r="AU1598" s="32"/>
      <c r="XEY1598" s="27"/>
      <c r="XEZ1598" s="27"/>
      <c r="XFA1598" s="27"/>
      <c r="XFB1598" s="27"/>
      <c r="XFC1598" s="27"/>
      <c r="XFD1598" s="27"/>
    </row>
    <row r="1599" s="42" customFormat="true" ht="14.15" hidden="false" customHeight="true" outlineLevel="0" collapsed="false">
      <c r="A1599" s="28" t="s">
        <v>9043</v>
      </c>
      <c r="B1599" s="29" t="s">
        <v>9044</v>
      </c>
      <c r="C1599" s="29" t="s">
        <v>9045</v>
      </c>
      <c r="D1599" s="30" t="s">
        <v>172</v>
      </c>
      <c r="E1599" s="31"/>
      <c r="F1599" s="32" t="n">
        <v>50</v>
      </c>
      <c r="G1599" s="31"/>
      <c r="H1599" s="31" t="n">
        <v>1</v>
      </c>
      <c r="I1599" s="31" t="s">
        <v>51</v>
      </c>
      <c r="J1599" s="29"/>
      <c r="K1599" s="29" t="s">
        <v>9046</v>
      </c>
      <c r="L1599" s="32" t="n">
        <v>37</v>
      </c>
      <c r="M1599" s="33" t="s">
        <v>236</v>
      </c>
      <c r="N1599" s="34" t="n">
        <v>75015</v>
      </c>
      <c r="O1599" s="35" t="s">
        <v>55</v>
      </c>
      <c r="P1599" s="36" t="s">
        <v>9047</v>
      </c>
      <c r="Q1599" s="36" t="n">
        <v>1</v>
      </c>
      <c r="R1599" s="32" t="n">
        <v>61</v>
      </c>
      <c r="S1599" s="32" t="n">
        <v>1</v>
      </c>
      <c r="T1599" s="43" t="s">
        <v>316</v>
      </c>
      <c r="U1599" s="32"/>
      <c r="V1599" s="37"/>
      <c r="W1599" s="32"/>
      <c r="X1599" s="34"/>
      <c r="Y1599" s="34"/>
      <c r="Z1599" s="36"/>
      <c r="AA1599" s="32" t="s">
        <v>9048</v>
      </c>
      <c r="AB1599" s="32"/>
      <c r="AC1599" s="38" t="str">
        <f aca="false">HYPERLINK("https://biocodex6--c.vf.force.com/0014L00000KFYIjQAP", "DAOUK OMAR")</f>
        <v>DAOUK OMAR</v>
      </c>
      <c r="AD1599" s="38"/>
      <c r="AE1599" s="39"/>
      <c r="AF1599" s="40"/>
      <c r="AG1599" s="41"/>
      <c r="AH1599" s="32" t="s">
        <v>179</v>
      </c>
      <c r="AI1599" s="32"/>
      <c r="AL1599" s="32"/>
      <c r="AM1599" s="32"/>
      <c r="AN1599" s="32"/>
      <c r="AO1599" s="32"/>
      <c r="AP1599" s="32"/>
      <c r="AQ1599" s="32"/>
      <c r="AR1599" s="32"/>
      <c r="AS1599" s="32"/>
      <c r="AT1599" s="32"/>
      <c r="AU1599" s="32"/>
      <c r="XEY1599" s="27"/>
      <c r="XEZ1599" s="27"/>
      <c r="XFA1599" s="27"/>
      <c r="XFB1599" s="27"/>
      <c r="XFC1599" s="27"/>
      <c r="XFD1599" s="27"/>
    </row>
    <row r="1600" s="42" customFormat="true" ht="14.15" hidden="false" customHeight="true" outlineLevel="0" collapsed="false">
      <c r="A1600" s="28" t="s">
        <v>9049</v>
      </c>
      <c r="B1600" s="29" t="s">
        <v>3825</v>
      </c>
      <c r="C1600" s="29" t="s">
        <v>9050</v>
      </c>
      <c r="D1600" s="30" t="s">
        <v>172</v>
      </c>
      <c r="E1600" s="31"/>
      <c r="F1600" s="32" t="n">
        <v>42</v>
      </c>
      <c r="G1600" s="31"/>
      <c r="H1600" s="31" t="n">
        <v>1</v>
      </c>
      <c r="I1600" s="31" t="s">
        <v>435</v>
      </c>
      <c r="J1600" s="29"/>
      <c r="K1600" s="29" t="s">
        <v>9051</v>
      </c>
      <c r="L1600" s="32" t="n">
        <v>60</v>
      </c>
      <c r="M1600" s="33" t="s">
        <v>8638</v>
      </c>
      <c r="N1600" s="34" t="n">
        <v>75016</v>
      </c>
      <c r="O1600" s="35" t="s">
        <v>55</v>
      </c>
      <c r="P1600" s="36"/>
      <c r="Q1600" s="36" t="n">
        <v>2</v>
      </c>
      <c r="R1600" s="32" t="n">
        <v>61</v>
      </c>
      <c r="S1600" s="32" t="n">
        <v>1</v>
      </c>
      <c r="T1600" s="43" t="s">
        <v>177</v>
      </c>
      <c r="U1600" s="32" t="n">
        <v>3</v>
      </c>
      <c r="V1600" s="37" t="n">
        <v>3</v>
      </c>
      <c r="W1600" s="32"/>
      <c r="X1600" s="34"/>
      <c r="Y1600" s="34"/>
      <c r="Z1600" s="36"/>
      <c r="AA1600" s="32" t="s">
        <v>9052</v>
      </c>
      <c r="AB1600" s="32"/>
      <c r="AC1600" s="38" t="str">
        <f aca="false">HYPERLINK("https://biocodex6--c.vf.force.com/0014L00000KFTzbQAH", "BARDE MICHAEL")</f>
        <v>BARDE MICHAEL</v>
      </c>
      <c r="AD1600" s="38"/>
      <c r="AE1600" s="39"/>
      <c r="AF1600" s="40"/>
      <c r="AG1600" s="41"/>
      <c r="AH1600" s="32" t="s">
        <v>179</v>
      </c>
      <c r="AI1600" s="32"/>
      <c r="AL1600" s="32"/>
      <c r="AM1600" s="32"/>
      <c r="AN1600" s="32"/>
      <c r="AO1600" s="32"/>
      <c r="AP1600" s="32"/>
      <c r="AQ1600" s="32"/>
      <c r="AR1600" s="32"/>
      <c r="AS1600" s="32"/>
      <c r="AT1600" s="32"/>
      <c r="AU1600" s="32"/>
      <c r="XEY1600" s="27"/>
      <c r="XEZ1600" s="27"/>
      <c r="XFA1600" s="27"/>
      <c r="XFB1600" s="27"/>
      <c r="XFC1600" s="27"/>
      <c r="XFD1600" s="27"/>
    </row>
    <row r="1601" s="42" customFormat="true" ht="14.15" hidden="false" customHeight="true" outlineLevel="0" collapsed="false">
      <c r="A1601" s="28" t="s">
        <v>9053</v>
      </c>
      <c r="B1601" s="29" t="s">
        <v>151</v>
      </c>
      <c r="C1601" s="29" t="s">
        <v>9054</v>
      </c>
      <c r="D1601" s="30" t="s">
        <v>172</v>
      </c>
      <c r="E1601" s="31"/>
      <c r="F1601" s="32" t="n">
        <v>58</v>
      </c>
      <c r="G1601" s="31"/>
      <c r="H1601" s="31" t="n">
        <v>1</v>
      </c>
      <c r="I1601" s="31" t="s">
        <v>435</v>
      </c>
      <c r="J1601" s="29"/>
      <c r="K1601" s="29" t="s">
        <v>9055</v>
      </c>
      <c r="L1601" s="32" t="n">
        <v>12</v>
      </c>
      <c r="M1601" s="33" t="s">
        <v>9056</v>
      </c>
      <c r="N1601" s="34" t="n">
        <v>75016</v>
      </c>
      <c r="O1601" s="35" t="s">
        <v>55</v>
      </c>
      <c r="P1601" s="36" t="s">
        <v>9057</v>
      </c>
      <c r="Q1601" s="36" t="n">
        <v>2</v>
      </c>
      <c r="R1601" s="32" t="n">
        <v>61</v>
      </c>
      <c r="S1601" s="32" t="n">
        <v>1</v>
      </c>
      <c r="T1601" s="43" t="s">
        <v>1107</v>
      </c>
      <c r="U1601" s="32" t="n">
        <v>3</v>
      </c>
      <c r="V1601" s="37"/>
      <c r="W1601" s="32"/>
      <c r="X1601" s="34"/>
      <c r="Y1601" s="34"/>
      <c r="Z1601" s="36"/>
      <c r="AA1601" s="32" t="s">
        <v>9058</v>
      </c>
      <c r="AB1601" s="32"/>
      <c r="AC1601" s="38" t="str">
        <f aca="false">HYPERLINK("https://biocodex6--c.vf.force.com/0014L00000KFwQQQA1", "POCHARD FREDERIC")</f>
        <v>POCHARD FREDERIC</v>
      </c>
      <c r="AD1601" s="38"/>
      <c r="AE1601" s="39"/>
      <c r="AF1601" s="40"/>
      <c r="AG1601" s="41"/>
      <c r="AH1601" s="32" t="s">
        <v>179</v>
      </c>
      <c r="AI1601" s="32"/>
      <c r="AL1601" s="32"/>
      <c r="AM1601" s="32"/>
      <c r="AN1601" s="32"/>
      <c r="AO1601" s="32"/>
      <c r="AP1601" s="32"/>
      <c r="AQ1601" s="32"/>
      <c r="AR1601" s="32"/>
      <c r="AS1601" s="32"/>
      <c r="AT1601" s="32"/>
      <c r="AU1601" s="32"/>
      <c r="XEY1601" s="27"/>
      <c r="XEZ1601" s="27"/>
      <c r="XFA1601" s="27"/>
      <c r="XFB1601" s="27"/>
      <c r="XFC1601" s="27"/>
      <c r="XFD1601" s="27"/>
    </row>
    <row r="1602" s="42" customFormat="true" ht="14.15" hidden="false" customHeight="true" outlineLevel="0" collapsed="false">
      <c r="A1602" s="28" t="s">
        <v>1534</v>
      </c>
      <c r="B1602" s="29" t="s">
        <v>353</v>
      </c>
      <c r="C1602" s="29" t="s">
        <v>9059</v>
      </c>
      <c r="D1602" s="30" t="s">
        <v>172</v>
      </c>
      <c r="E1602" s="31"/>
      <c r="F1602" s="32" t="n">
        <v>78</v>
      </c>
      <c r="G1602" s="31"/>
      <c r="H1602" s="31" t="n">
        <v>1</v>
      </c>
      <c r="I1602" s="31" t="s">
        <v>435</v>
      </c>
      <c r="J1602" s="29"/>
      <c r="K1602" s="29" t="s">
        <v>8993</v>
      </c>
      <c r="L1602" s="32" t="n">
        <v>17</v>
      </c>
      <c r="M1602" s="33" t="s">
        <v>8994</v>
      </c>
      <c r="N1602" s="34" t="n">
        <v>75016</v>
      </c>
      <c r="O1602" s="35" t="s">
        <v>55</v>
      </c>
      <c r="P1602" s="36" t="s">
        <v>8995</v>
      </c>
      <c r="Q1602" s="36" t="n">
        <v>4</v>
      </c>
      <c r="R1602" s="32" t="n">
        <v>61</v>
      </c>
      <c r="S1602" s="32" t="n">
        <v>1</v>
      </c>
      <c r="T1602" s="43" t="s">
        <v>316</v>
      </c>
      <c r="U1602" s="32"/>
      <c r="V1602" s="37"/>
      <c r="W1602" s="32"/>
      <c r="X1602" s="34"/>
      <c r="Y1602" s="34"/>
      <c r="Z1602" s="32"/>
      <c r="AA1602" s="32" t="s">
        <v>9060</v>
      </c>
      <c r="AB1602" s="32"/>
      <c r="AC1602" s="38" t="str">
        <f aca="false">HYPERLINK("https://biocodex6--c.vf.force.com/0014L00000KFffzQAD", "GERARD ALAIN")</f>
        <v>GERARD ALAIN</v>
      </c>
      <c r="AD1602" s="38"/>
      <c r="AE1602" s="39"/>
      <c r="AF1602" s="40"/>
      <c r="AG1602" s="41"/>
      <c r="AH1602" s="32" t="s">
        <v>156</v>
      </c>
      <c r="AI1602" s="32" t="s">
        <v>180</v>
      </c>
      <c r="AK1602" s="42" t="s">
        <v>9001</v>
      </c>
      <c r="AL1602" s="32"/>
      <c r="AM1602" s="32"/>
      <c r="AN1602" s="32"/>
      <c r="AO1602" s="32"/>
      <c r="AP1602" s="32"/>
      <c r="AQ1602" s="32"/>
      <c r="AR1602" s="32"/>
      <c r="AS1602" s="32"/>
      <c r="AT1602" s="32"/>
      <c r="AU1602" s="32"/>
      <c r="XEY1602" s="27"/>
      <c r="XEZ1602" s="27"/>
      <c r="XFA1602" s="27"/>
      <c r="XFB1602" s="27"/>
      <c r="XFC1602" s="27"/>
      <c r="XFD1602" s="27"/>
    </row>
    <row r="1603" s="42" customFormat="true" ht="14.15" hidden="false" customHeight="true" outlineLevel="0" collapsed="false">
      <c r="A1603" s="28" t="s">
        <v>9061</v>
      </c>
      <c r="B1603" s="29" t="s">
        <v>142</v>
      </c>
      <c r="C1603" s="29" t="s">
        <v>9062</v>
      </c>
      <c r="D1603" s="30" t="s">
        <v>172</v>
      </c>
      <c r="E1603" s="30" t="s">
        <v>978</v>
      </c>
      <c r="F1603" s="32" t="n">
        <v>66</v>
      </c>
      <c r="G1603" s="31"/>
      <c r="H1603" s="31" t="n">
        <v>1</v>
      </c>
      <c r="I1603" s="31" t="s">
        <v>62</v>
      </c>
      <c r="J1603" s="29"/>
      <c r="K1603" s="29" t="s">
        <v>9063</v>
      </c>
      <c r="L1603" s="32" t="n">
        <v>6</v>
      </c>
      <c r="M1603" s="33" t="s">
        <v>9064</v>
      </c>
      <c r="N1603" s="34" t="n">
        <v>75017</v>
      </c>
      <c r="O1603" s="35" t="s">
        <v>55</v>
      </c>
      <c r="P1603" s="36" t="s">
        <v>9065</v>
      </c>
      <c r="Q1603" s="36" t="n">
        <v>1</v>
      </c>
      <c r="R1603" s="32" t="n">
        <v>61</v>
      </c>
      <c r="S1603" s="32" t="n">
        <v>1</v>
      </c>
      <c r="T1603" s="43" t="s">
        <v>4813</v>
      </c>
      <c r="U1603" s="32"/>
      <c r="V1603" s="37"/>
      <c r="W1603" s="32"/>
      <c r="X1603" s="34"/>
      <c r="Y1603" s="34"/>
      <c r="Z1603" s="32"/>
      <c r="AA1603" s="32" t="s">
        <v>9066</v>
      </c>
      <c r="AC1603" s="38" t="str">
        <f aca="false">HYPERLINK("https://biocodex6--c.vf.force.com/0014L00000KFp8SQAT", "LYS MICHEL")</f>
        <v>LYS MICHEL</v>
      </c>
      <c r="AD1603" s="38"/>
      <c r="AE1603" s="39"/>
      <c r="AF1603" s="40"/>
      <c r="AG1603" s="41"/>
      <c r="AH1603" s="32" t="s">
        <v>2191</v>
      </c>
      <c r="AI1603" s="32" t="s">
        <v>2191</v>
      </c>
      <c r="AJ1603" s="42" t="s">
        <v>9067</v>
      </c>
      <c r="AL1603" s="32"/>
      <c r="AM1603" s="32"/>
      <c r="AN1603" s="32"/>
      <c r="AO1603" s="32"/>
      <c r="AP1603" s="32"/>
      <c r="AQ1603" s="32"/>
      <c r="AR1603" s="32"/>
      <c r="AS1603" s="32"/>
      <c r="AT1603" s="32"/>
      <c r="AU1603" s="32"/>
      <c r="XEY1603" s="27"/>
      <c r="XEZ1603" s="27"/>
      <c r="XFA1603" s="27"/>
      <c r="XFB1603" s="27"/>
      <c r="XFC1603" s="27"/>
      <c r="XFD1603" s="27"/>
    </row>
    <row r="1604" s="42" customFormat="true" ht="14.15" hidden="false" customHeight="true" outlineLevel="0" collapsed="false">
      <c r="A1604" s="28" t="s">
        <v>9068</v>
      </c>
      <c r="B1604" s="29" t="s">
        <v>195</v>
      </c>
      <c r="C1604" s="29" t="s">
        <v>9069</v>
      </c>
      <c r="D1604" s="30" t="s">
        <v>172</v>
      </c>
      <c r="E1604" s="30" t="s">
        <v>1277</v>
      </c>
      <c r="F1604" s="32" t="n">
        <v>75</v>
      </c>
      <c r="G1604" s="31"/>
      <c r="H1604" s="31" t="n">
        <v>1</v>
      </c>
      <c r="I1604" s="31" t="s">
        <v>62</v>
      </c>
      <c r="J1604" s="29"/>
      <c r="K1604" s="29" t="s">
        <v>1652</v>
      </c>
      <c r="L1604" s="32" t="n">
        <v>54</v>
      </c>
      <c r="M1604" s="33" t="s">
        <v>1653</v>
      </c>
      <c r="N1604" s="34" t="n">
        <v>75017</v>
      </c>
      <c r="O1604" s="35" t="s">
        <v>55</v>
      </c>
      <c r="P1604" s="36"/>
      <c r="Q1604" s="36" t="n">
        <v>3</v>
      </c>
      <c r="R1604" s="32" t="n">
        <v>61</v>
      </c>
      <c r="S1604" s="32" t="n">
        <v>1</v>
      </c>
      <c r="T1604" s="43" t="s">
        <v>316</v>
      </c>
      <c r="U1604" s="32"/>
      <c r="V1604" s="37"/>
      <c r="W1604" s="32"/>
      <c r="X1604" s="34"/>
      <c r="Y1604" s="34"/>
      <c r="Z1604" s="36"/>
      <c r="AA1604" s="32" t="s">
        <v>9070</v>
      </c>
      <c r="AB1604" s="32"/>
      <c r="AC1604" s="38" t="str">
        <f aca="false">HYPERLINK("https://biocodex6--c.vf.force.com/0014L00000KFUiEQAX", "BRENOT PHILIPPE")</f>
        <v>BRENOT PHILIPPE</v>
      </c>
      <c r="AD1604" s="38"/>
      <c r="AE1604" s="39"/>
      <c r="AF1604" s="40"/>
      <c r="AG1604" s="41"/>
      <c r="AH1604" s="32" t="s">
        <v>179</v>
      </c>
      <c r="AI1604" s="32"/>
      <c r="AL1604" s="32"/>
      <c r="AM1604" s="32"/>
      <c r="AN1604" s="32"/>
      <c r="AO1604" s="32"/>
      <c r="AP1604" s="32"/>
      <c r="AQ1604" s="32"/>
      <c r="AR1604" s="32"/>
      <c r="AS1604" s="32"/>
      <c r="AT1604" s="32"/>
      <c r="AU1604" s="32"/>
      <c r="XEY1604" s="27"/>
      <c r="XEZ1604" s="27"/>
      <c r="XFA1604" s="27"/>
      <c r="XFB1604" s="27"/>
      <c r="XFC1604" s="27"/>
      <c r="XFD1604" s="27"/>
    </row>
    <row r="1605" s="42" customFormat="true" ht="14.15" hidden="false" customHeight="true" outlineLevel="0" collapsed="false">
      <c r="A1605" s="28" t="s">
        <v>9071</v>
      </c>
      <c r="B1605" s="29" t="s">
        <v>1275</v>
      </c>
      <c r="C1605" s="29" t="s">
        <v>9072</v>
      </c>
      <c r="D1605" s="30" t="s">
        <v>172</v>
      </c>
      <c r="E1605" s="30" t="s">
        <v>1103</v>
      </c>
      <c r="F1605" s="32" t="n">
        <v>61</v>
      </c>
      <c r="G1605" s="31"/>
      <c r="H1605" s="31" t="n">
        <v>1</v>
      </c>
      <c r="I1605" s="31" t="s">
        <v>197</v>
      </c>
      <c r="J1605" s="29"/>
      <c r="K1605" s="29" t="s">
        <v>346</v>
      </c>
      <c r="L1605" s="32" t="n">
        <v>76</v>
      </c>
      <c r="M1605" s="33" t="s">
        <v>347</v>
      </c>
      <c r="N1605" s="34" t="n">
        <v>75017</v>
      </c>
      <c r="O1605" s="35" t="s">
        <v>55</v>
      </c>
      <c r="P1605" s="36" t="s">
        <v>348</v>
      </c>
      <c r="Q1605" s="36" t="n">
        <v>4</v>
      </c>
      <c r="R1605" s="32" t="n">
        <v>61</v>
      </c>
      <c r="S1605" s="32" t="n">
        <v>1</v>
      </c>
      <c r="T1605" s="43" t="s">
        <v>2183</v>
      </c>
      <c r="U1605" s="32" t="n">
        <v>3</v>
      </c>
      <c r="V1605" s="37" t="n">
        <v>3</v>
      </c>
      <c r="W1605" s="32"/>
      <c r="X1605" s="34"/>
      <c r="Y1605" s="34"/>
      <c r="Z1605" s="36"/>
      <c r="AA1605" s="32" t="s">
        <v>9073</v>
      </c>
      <c r="AB1605" s="32"/>
      <c r="AC1605" s="38" t="str">
        <f aca="false">HYPERLINK("https://biocodex6--c.vf.force.com/0014L00000KFjYRQA1", "CLERGET STEPHANE")</f>
        <v>CLERGET STEPHANE</v>
      </c>
      <c r="AD1605" s="38"/>
      <c r="AE1605" s="39"/>
      <c r="AF1605" s="40"/>
      <c r="AG1605" s="41"/>
      <c r="AH1605" s="32" t="s">
        <v>179</v>
      </c>
      <c r="AI1605" s="32"/>
      <c r="AL1605" s="32"/>
      <c r="AM1605" s="32"/>
      <c r="AN1605" s="32"/>
      <c r="AO1605" s="32"/>
      <c r="AP1605" s="32"/>
      <c r="AQ1605" s="32"/>
      <c r="AR1605" s="32"/>
      <c r="AS1605" s="32"/>
      <c r="AT1605" s="32"/>
      <c r="AU1605" s="32"/>
      <c r="XEY1605" s="27"/>
      <c r="XEZ1605" s="27"/>
      <c r="XFA1605" s="27"/>
      <c r="XFB1605" s="27"/>
      <c r="XFC1605" s="27"/>
      <c r="XFD1605" s="27"/>
    </row>
    <row r="1606" s="42" customFormat="true" ht="14.15" hidden="false" customHeight="true" outlineLevel="0" collapsed="false">
      <c r="A1606" s="28" t="s">
        <v>9074</v>
      </c>
      <c r="B1606" s="29" t="s">
        <v>3079</v>
      </c>
      <c r="C1606" s="29" t="s">
        <v>9075</v>
      </c>
      <c r="D1606" s="30" t="s">
        <v>172</v>
      </c>
      <c r="E1606" s="31"/>
      <c r="F1606" s="32" t="n">
        <v>69</v>
      </c>
      <c r="G1606" s="31"/>
      <c r="H1606" s="31" t="n">
        <v>1</v>
      </c>
      <c r="I1606" s="31" t="s">
        <v>197</v>
      </c>
      <c r="J1606" s="29"/>
      <c r="K1606" s="29" t="s">
        <v>4905</v>
      </c>
      <c r="L1606" s="32" t="n">
        <v>39</v>
      </c>
      <c r="M1606" s="33" t="s">
        <v>4906</v>
      </c>
      <c r="N1606" s="34" t="n">
        <v>75017</v>
      </c>
      <c r="O1606" s="35" t="s">
        <v>55</v>
      </c>
      <c r="P1606" s="36" t="s">
        <v>9076</v>
      </c>
      <c r="Q1606" s="36" t="n">
        <v>3</v>
      </c>
      <c r="R1606" s="32" t="n">
        <v>61</v>
      </c>
      <c r="S1606" s="32" t="n">
        <v>1</v>
      </c>
      <c r="T1606" s="43" t="s">
        <v>316</v>
      </c>
      <c r="U1606" s="32"/>
      <c r="V1606" s="37"/>
      <c r="W1606" s="32"/>
      <c r="X1606" s="34"/>
      <c r="Y1606" s="34"/>
      <c r="Z1606" s="36"/>
      <c r="AA1606" s="32" t="s">
        <v>9077</v>
      </c>
      <c r="AB1606" s="32"/>
      <c r="AC1606" s="38" t="str">
        <f aca="false">HYPERLINK("https://biocodex6--c.vf.force.com/0014L00000KG28iQAD", "STEINITZ ALBERT")</f>
        <v>STEINITZ ALBERT</v>
      </c>
      <c r="AD1606" s="38"/>
      <c r="AE1606" s="39"/>
      <c r="AF1606" s="40"/>
      <c r="AG1606" s="41"/>
      <c r="AH1606" s="32" t="s">
        <v>179</v>
      </c>
      <c r="AI1606" s="32"/>
      <c r="AL1606" s="32"/>
      <c r="AM1606" s="32"/>
      <c r="AN1606" s="32"/>
      <c r="AO1606" s="32"/>
      <c r="AP1606" s="32"/>
      <c r="AQ1606" s="32"/>
      <c r="AR1606" s="32"/>
      <c r="AS1606" s="32"/>
      <c r="AT1606" s="32"/>
      <c r="AU1606" s="32"/>
      <c r="XEY1606" s="27"/>
      <c r="XEZ1606" s="27"/>
      <c r="XFA1606" s="27"/>
      <c r="XFB1606" s="27"/>
      <c r="XFC1606" s="27"/>
      <c r="XFD1606" s="27"/>
    </row>
    <row r="1607" s="42" customFormat="true" ht="14.15" hidden="false" customHeight="true" outlineLevel="0" collapsed="false">
      <c r="A1607" s="28" t="s">
        <v>9078</v>
      </c>
      <c r="B1607" s="29" t="s">
        <v>9079</v>
      </c>
      <c r="C1607" s="29" t="s">
        <v>9080</v>
      </c>
      <c r="D1607" s="30" t="s">
        <v>172</v>
      </c>
      <c r="E1607" s="31"/>
      <c r="F1607" s="32" t="n">
        <v>51</v>
      </c>
      <c r="G1607" s="31"/>
      <c r="H1607" s="31" t="n">
        <v>1</v>
      </c>
      <c r="I1607" s="31" t="s">
        <v>173</v>
      </c>
      <c r="J1607" s="29"/>
      <c r="K1607" s="29" t="s">
        <v>9081</v>
      </c>
      <c r="L1607" s="32" t="n">
        <v>80</v>
      </c>
      <c r="M1607" s="33" t="s">
        <v>1832</v>
      </c>
      <c r="N1607" s="34" t="n">
        <v>75016</v>
      </c>
      <c r="O1607" s="35" t="s">
        <v>55</v>
      </c>
      <c r="P1607" s="36" t="s">
        <v>9082</v>
      </c>
      <c r="Q1607" s="36" t="n">
        <v>1</v>
      </c>
      <c r="R1607" s="32" t="n">
        <v>61</v>
      </c>
      <c r="S1607" s="32" t="n">
        <v>1</v>
      </c>
      <c r="T1607" s="43" t="s">
        <v>4813</v>
      </c>
      <c r="U1607" s="32"/>
      <c r="V1607" s="37" t="n">
        <v>3</v>
      </c>
      <c r="W1607" s="32"/>
      <c r="X1607" s="34"/>
      <c r="Y1607" s="34"/>
      <c r="Z1607" s="32"/>
      <c r="AA1607" s="32" t="s">
        <v>9083</v>
      </c>
      <c r="AB1607" s="44"/>
      <c r="AC1607" s="38" t="str">
        <f aca="false">HYPERLINK("https://biocodex6--c.vf.force.com/0014L00000KFWg7QAH", "DELCHEV YAVOR")</f>
        <v>DELCHEV YAVOR</v>
      </c>
      <c r="AD1607" s="38"/>
      <c r="AE1607" s="39"/>
      <c r="AF1607" s="40"/>
      <c r="AG1607" s="41"/>
      <c r="AH1607" s="32" t="s">
        <v>2191</v>
      </c>
      <c r="AI1607" s="32" t="s">
        <v>2191</v>
      </c>
      <c r="AJ1607" s="42" t="s">
        <v>9084</v>
      </c>
      <c r="AL1607" s="32"/>
      <c r="AM1607" s="32"/>
      <c r="AN1607" s="32"/>
      <c r="AO1607" s="32"/>
      <c r="AP1607" s="32"/>
      <c r="AQ1607" s="32"/>
      <c r="AR1607" s="32"/>
      <c r="AS1607" s="32"/>
      <c r="AT1607" s="32"/>
      <c r="AU1607" s="32"/>
      <c r="XEY1607" s="27"/>
      <c r="XEZ1607" s="27"/>
      <c r="XFA1607" s="27"/>
      <c r="XFB1607" s="27"/>
      <c r="XFC1607" s="27"/>
      <c r="XFD1607" s="27"/>
    </row>
    <row r="1608" s="42" customFormat="true" ht="14.15" hidden="false" customHeight="true" outlineLevel="0" collapsed="false">
      <c r="A1608" s="28" t="s">
        <v>9085</v>
      </c>
      <c r="B1608" s="29" t="s">
        <v>2794</v>
      </c>
      <c r="C1608" s="29" t="s">
        <v>9086</v>
      </c>
      <c r="D1608" s="30" t="s">
        <v>244</v>
      </c>
      <c r="E1608" s="30" t="s">
        <v>245</v>
      </c>
      <c r="F1608" s="32" t="n">
        <v>42</v>
      </c>
      <c r="G1608" s="31" t="s">
        <v>215</v>
      </c>
      <c r="H1608" s="31" t="n">
        <v>3</v>
      </c>
      <c r="I1608" s="31" t="s">
        <v>77</v>
      </c>
      <c r="J1608" s="29" t="s">
        <v>5738</v>
      </c>
      <c r="K1608" s="29" t="s">
        <v>5739</v>
      </c>
      <c r="L1608" s="32" t="n">
        <v>5</v>
      </c>
      <c r="M1608" s="33" t="s">
        <v>5740</v>
      </c>
      <c r="N1608" s="34" t="n">
        <v>92200</v>
      </c>
      <c r="O1608" s="35" t="s">
        <v>81</v>
      </c>
      <c r="P1608" s="36" t="s">
        <v>5741</v>
      </c>
      <c r="Q1608" s="36" t="n">
        <v>5</v>
      </c>
      <c r="R1608" s="32" t="n">
        <v>61</v>
      </c>
      <c r="S1608" s="32" t="n">
        <v>1</v>
      </c>
      <c r="T1608" s="32"/>
      <c r="U1608" s="32"/>
      <c r="V1608" s="37"/>
      <c r="W1608" s="32"/>
      <c r="X1608" s="34"/>
      <c r="Y1608" s="34"/>
      <c r="Z1608" s="36"/>
      <c r="AA1608" s="32" t="s">
        <v>9087</v>
      </c>
      <c r="AB1608" s="32" t="s">
        <v>9088</v>
      </c>
      <c r="AC1608" s="38" t="str">
        <f aca="false">HYPERLINK("https://biocodex6--c.vf.force.com/0014L00000KFdZzQAL", "GAUCHE CAZALIS CLAIRE")</f>
        <v>GAUCHE CAZALIS CLAIRE</v>
      </c>
      <c r="AD1608" s="38" t="str">
        <f aca="false">HYPERLINK("https://annuairesante.ameli.fr/professionnels-de-sante/recherche/fiche-detaillee-CbA1lTAwODaz.html", "GAUCHE CAZALIS CLAIRE")</f>
        <v>GAUCHE CAZALIS CLAIRE</v>
      </c>
      <c r="AE1608" s="39"/>
      <c r="AF1608" s="40"/>
      <c r="AG1608" s="41"/>
      <c r="AH1608" s="32" t="s">
        <v>179</v>
      </c>
      <c r="AI1608" s="32"/>
      <c r="AL1608" s="32"/>
      <c r="AM1608" s="32"/>
      <c r="AN1608" s="32"/>
      <c r="AO1608" s="32"/>
      <c r="AP1608" s="32"/>
      <c r="AQ1608" s="32"/>
      <c r="AR1608" s="32"/>
      <c r="AS1608" s="32"/>
      <c r="AT1608" s="32"/>
      <c r="AU1608" s="32"/>
      <c r="XEY1608" s="27"/>
      <c r="XEZ1608" s="27"/>
      <c r="XFA1608" s="27"/>
      <c r="XFB1608" s="27"/>
      <c r="XFC1608" s="27"/>
      <c r="XFD1608" s="27"/>
    </row>
    <row r="1609" s="42" customFormat="true" ht="14.15" hidden="false" customHeight="true" outlineLevel="0" collapsed="false">
      <c r="A1609" s="28" t="s">
        <v>9089</v>
      </c>
      <c r="B1609" s="29" t="s">
        <v>353</v>
      </c>
      <c r="C1609" s="29" t="s">
        <v>9090</v>
      </c>
      <c r="D1609" s="30" t="s">
        <v>172</v>
      </c>
      <c r="E1609" s="31"/>
      <c r="F1609" s="32" t="n">
        <v>78</v>
      </c>
      <c r="G1609" s="31"/>
      <c r="H1609" s="31" t="n">
        <v>1</v>
      </c>
      <c r="I1609" s="31" t="s">
        <v>119</v>
      </c>
      <c r="J1609" s="29"/>
      <c r="K1609" s="29" t="s">
        <v>9091</v>
      </c>
      <c r="L1609" s="32" t="n">
        <v>39</v>
      </c>
      <c r="M1609" s="33" t="s">
        <v>9092</v>
      </c>
      <c r="N1609" s="34" t="n">
        <v>75007</v>
      </c>
      <c r="O1609" s="35" t="s">
        <v>55</v>
      </c>
      <c r="P1609" s="36" t="s">
        <v>9093</v>
      </c>
      <c r="Q1609" s="36" t="n">
        <v>1</v>
      </c>
      <c r="R1609" s="32" t="n">
        <v>60</v>
      </c>
      <c r="S1609" s="32" t="n">
        <v>1</v>
      </c>
      <c r="T1609" s="43" t="s">
        <v>316</v>
      </c>
      <c r="U1609" s="32"/>
      <c r="V1609" s="37"/>
      <c r="W1609" s="32"/>
      <c r="X1609" s="34"/>
      <c r="Y1609" s="34"/>
      <c r="Z1609" s="36"/>
      <c r="AA1609" s="32" t="s">
        <v>9094</v>
      </c>
      <c r="AB1609" s="32"/>
      <c r="AC1609" s="38" t="str">
        <f aca="false">HYPERLINK("https://biocodex6--c.vf.force.com/0014L00000KFb5oQAD", "DONNARS ALAIN")</f>
        <v>DONNARS ALAIN</v>
      </c>
      <c r="AD1609" s="38"/>
      <c r="AE1609" s="39"/>
      <c r="AF1609" s="40"/>
      <c r="AG1609" s="41"/>
      <c r="AH1609" s="32" t="s">
        <v>179</v>
      </c>
      <c r="AI1609" s="32"/>
      <c r="AL1609" s="32"/>
      <c r="AM1609" s="32"/>
      <c r="AN1609" s="32"/>
      <c r="AO1609" s="32"/>
      <c r="AP1609" s="32"/>
      <c r="AQ1609" s="32"/>
      <c r="AR1609" s="32"/>
      <c r="AS1609" s="32"/>
      <c r="AT1609" s="32"/>
      <c r="AU1609" s="32"/>
      <c r="XEY1609" s="27"/>
      <c r="XEZ1609" s="27"/>
      <c r="XFA1609" s="27"/>
      <c r="XFB1609" s="27"/>
      <c r="XFC1609" s="27"/>
      <c r="XFD1609" s="27"/>
    </row>
    <row r="1610" s="42" customFormat="true" ht="14.15" hidden="false" customHeight="true" outlineLevel="0" collapsed="false">
      <c r="A1610" s="28" t="s">
        <v>9095</v>
      </c>
      <c r="B1610" s="29" t="s">
        <v>839</v>
      </c>
      <c r="C1610" s="29" t="s">
        <v>9096</v>
      </c>
      <c r="D1610" s="30" t="s">
        <v>172</v>
      </c>
      <c r="E1610" s="30" t="s">
        <v>1103</v>
      </c>
      <c r="F1610" s="32" t="n">
        <v>58</v>
      </c>
      <c r="G1610" s="31"/>
      <c r="H1610" s="31" t="n">
        <v>1</v>
      </c>
      <c r="I1610" s="31" t="s">
        <v>197</v>
      </c>
      <c r="J1610" s="29"/>
      <c r="K1610" s="29" t="s">
        <v>346</v>
      </c>
      <c r="L1610" s="32" t="n">
        <v>76</v>
      </c>
      <c r="M1610" s="33" t="s">
        <v>347</v>
      </c>
      <c r="N1610" s="34" t="n">
        <v>75017</v>
      </c>
      <c r="O1610" s="35" t="s">
        <v>55</v>
      </c>
      <c r="P1610" s="36" t="s">
        <v>348</v>
      </c>
      <c r="Q1610" s="36" t="n">
        <v>4</v>
      </c>
      <c r="R1610" s="32" t="n">
        <v>60</v>
      </c>
      <c r="S1610" s="32" t="n">
        <v>1</v>
      </c>
      <c r="T1610" s="43" t="s">
        <v>316</v>
      </c>
      <c r="U1610" s="32"/>
      <c r="V1610" s="37"/>
      <c r="W1610" s="32"/>
      <c r="X1610" s="34"/>
      <c r="Y1610" s="34" t="n">
        <v>1</v>
      </c>
      <c r="Z1610" s="36" t="s">
        <v>9097</v>
      </c>
      <c r="AA1610" s="32" t="s">
        <v>9098</v>
      </c>
      <c r="AB1610" s="44"/>
      <c r="AC1610" s="38" t="str">
        <f aca="false">HYPERLINK("https://biocodex6--c.vf.force.com/0014L00000KG5ktQAD", "VALET GILLES")</f>
        <v>VALET GILLES</v>
      </c>
      <c r="AD1610" s="38"/>
      <c r="AE1610" s="39"/>
      <c r="AF1610" s="40"/>
      <c r="AG1610" s="41"/>
      <c r="AH1610" s="32" t="s">
        <v>179</v>
      </c>
      <c r="AI1610" s="32"/>
      <c r="AL1610" s="32"/>
      <c r="AM1610" s="32"/>
      <c r="AN1610" s="32"/>
      <c r="AO1610" s="32"/>
      <c r="AP1610" s="32"/>
      <c r="AQ1610" s="32"/>
      <c r="AR1610" s="32"/>
      <c r="AS1610" s="32"/>
      <c r="AT1610" s="32"/>
      <c r="AU1610" s="32"/>
      <c r="XEY1610" s="27"/>
      <c r="XEZ1610" s="27"/>
      <c r="XFA1610" s="27"/>
      <c r="XFB1610" s="27"/>
      <c r="XFC1610" s="27"/>
      <c r="XFD1610" s="27"/>
    </row>
    <row r="1611" s="42" customFormat="true" ht="14.15" hidden="false" customHeight="true" outlineLevel="0" collapsed="false">
      <c r="A1611" s="28" t="s">
        <v>9099</v>
      </c>
      <c r="B1611" s="29" t="s">
        <v>4463</v>
      </c>
      <c r="C1611" s="29" t="s">
        <v>9100</v>
      </c>
      <c r="D1611" s="30" t="s">
        <v>172</v>
      </c>
      <c r="E1611" s="31"/>
      <c r="F1611" s="32" t="n">
        <v>42</v>
      </c>
      <c r="G1611" s="31"/>
      <c r="H1611" s="31" t="n">
        <v>1</v>
      </c>
      <c r="I1611" s="31" t="s">
        <v>197</v>
      </c>
      <c r="J1611" s="29"/>
      <c r="K1611" s="29" t="s">
        <v>9101</v>
      </c>
      <c r="L1611" s="32" t="n">
        <v>9</v>
      </c>
      <c r="M1611" s="33" t="s">
        <v>9102</v>
      </c>
      <c r="N1611" s="34" t="n">
        <v>75017</v>
      </c>
      <c r="O1611" s="35" t="s">
        <v>55</v>
      </c>
      <c r="P1611" s="36"/>
      <c r="Q1611" s="36" t="n">
        <v>1</v>
      </c>
      <c r="R1611" s="32" t="n">
        <v>60</v>
      </c>
      <c r="S1611" s="32" t="n">
        <v>1</v>
      </c>
      <c r="T1611" s="43" t="s">
        <v>1107</v>
      </c>
      <c r="U1611" s="32" t="n">
        <v>3</v>
      </c>
      <c r="V1611" s="37"/>
      <c r="W1611" s="32"/>
      <c r="X1611" s="34"/>
      <c r="Y1611" s="34"/>
      <c r="Z1611" s="36"/>
      <c r="AA1611" s="32" t="s">
        <v>9103</v>
      </c>
      <c r="AB1611" s="32"/>
      <c r="AC1611" s="38" t="str">
        <f aca="false">HYPERLINK("https://biocodex6--c.vf.force.com/0014L00000KFtq7QAD", "NEVEUX NICOLAS")</f>
        <v>NEVEUX NICOLAS</v>
      </c>
      <c r="AD1611" s="38"/>
      <c r="AE1611" s="39"/>
      <c r="AF1611" s="40"/>
      <c r="AG1611" s="41"/>
      <c r="AH1611" s="32" t="s">
        <v>179</v>
      </c>
      <c r="AI1611" s="32"/>
      <c r="AL1611" s="32"/>
      <c r="AM1611" s="32"/>
      <c r="AN1611" s="32"/>
      <c r="AO1611" s="32"/>
      <c r="AP1611" s="32"/>
      <c r="AQ1611" s="32"/>
      <c r="AR1611" s="32"/>
      <c r="AS1611" s="32"/>
      <c r="AT1611" s="32"/>
      <c r="AU1611" s="32"/>
      <c r="XEY1611" s="27"/>
      <c r="XEZ1611" s="27"/>
      <c r="XFA1611" s="27"/>
      <c r="XFB1611" s="27"/>
      <c r="XFC1611" s="27"/>
      <c r="XFD1611" s="27"/>
    </row>
    <row r="1612" s="42" customFormat="true" ht="14.15" hidden="false" customHeight="true" outlineLevel="0" collapsed="false">
      <c r="A1612" s="28" t="s">
        <v>3110</v>
      </c>
      <c r="B1612" s="29" t="s">
        <v>9104</v>
      </c>
      <c r="C1612" s="29" t="s">
        <v>9105</v>
      </c>
      <c r="D1612" s="30" t="s">
        <v>172</v>
      </c>
      <c r="E1612" s="30" t="s">
        <v>818</v>
      </c>
      <c r="F1612" s="32" t="n">
        <v>85</v>
      </c>
      <c r="G1612" s="31"/>
      <c r="H1612" s="31" t="n">
        <v>1</v>
      </c>
      <c r="I1612" s="31" t="s">
        <v>173</v>
      </c>
      <c r="J1612" s="29"/>
      <c r="K1612" s="29" t="s">
        <v>9106</v>
      </c>
      <c r="L1612" s="32" t="n">
        <v>5</v>
      </c>
      <c r="M1612" s="33" t="s">
        <v>9107</v>
      </c>
      <c r="N1612" s="34" t="n">
        <v>75016</v>
      </c>
      <c r="O1612" s="35" t="s">
        <v>55</v>
      </c>
      <c r="P1612" s="36" t="s">
        <v>9108</v>
      </c>
      <c r="Q1612" s="36" t="n">
        <v>1</v>
      </c>
      <c r="R1612" s="32" t="n">
        <v>60</v>
      </c>
      <c r="S1612" s="32" t="n">
        <v>1</v>
      </c>
      <c r="T1612" s="43" t="s">
        <v>316</v>
      </c>
      <c r="U1612" s="32"/>
      <c r="V1612" s="37"/>
      <c r="W1612" s="32"/>
      <c r="X1612" s="34"/>
      <c r="Y1612" s="34"/>
      <c r="Z1612" s="36"/>
      <c r="AA1612" s="32" t="s">
        <v>9109</v>
      </c>
      <c r="AB1612" s="32"/>
      <c r="AC1612" s="38" t="str">
        <f aca="false">HYPERLINK("https://biocodex6--c.vf.force.com/0014L00000KG2i4QAD", "TAWIL SAMI PAUL")</f>
        <v>TAWIL SAMI PAUL</v>
      </c>
      <c r="AD1612" s="38"/>
      <c r="AE1612" s="39"/>
      <c r="AF1612" s="40"/>
      <c r="AG1612" s="41"/>
      <c r="AH1612" s="32" t="s">
        <v>179</v>
      </c>
      <c r="AI1612" s="32"/>
      <c r="AL1612" s="32"/>
      <c r="AM1612" s="32"/>
      <c r="AN1612" s="32"/>
      <c r="AO1612" s="32"/>
      <c r="AP1612" s="32"/>
      <c r="AQ1612" s="32"/>
      <c r="AR1612" s="32"/>
      <c r="AS1612" s="32"/>
      <c r="AT1612" s="32"/>
      <c r="AU1612" s="32"/>
      <c r="XEY1612" s="27"/>
      <c r="XEZ1612" s="27"/>
      <c r="XFA1612" s="27"/>
      <c r="XFB1612" s="27"/>
      <c r="XFC1612" s="27"/>
      <c r="XFD1612" s="27"/>
    </row>
    <row r="1613" s="42" customFormat="true" ht="14.15" hidden="false" customHeight="true" outlineLevel="0" collapsed="false">
      <c r="A1613" s="28" t="s">
        <v>9110</v>
      </c>
      <c r="B1613" s="29" t="s">
        <v>1226</v>
      </c>
      <c r="C1613" s="29" t="s">
        <v>9111</v>
      </c>
      <c r="D1613" s="30" t="s">
        <v>172</v>
      </c>
      <c r="E1613" s="30" t="s">
        <v>818</v>
      </c>
      <c r="F1613" s="32" t="n">
        <v>76</v>
      </c>
      <c r="G1613" s="31"/>
      <c r="H1613" s="31" t="n">
        <v>1</v>
      </c>
      <c r="I1613" s="31" t="s">
        <v>173</v>
      </c>
      <c r="J1613" s="29"/>
      <c r="K1613" s="29" t="s">
        <v>9112</v>
      </c>
      <c r="L1613" s="32" t="n">
        <v>23</v>
      </c>
      <c r="M1613" s="33" t="s">
        <v>6772</v>
      </c>
      <c r="N1613" s="34" t="n">
        <v>75016</v>
      </c>
      <c r="O1613" s="35" t="s">
        <v>55</v>
      </c>
      <c r="P1613" s="36" t="s">
        <v>9113</v>
      </c>
      <c r="Q1613" s="36" t="n">
        <v>1</v>
      </c>
      <c r="R1613" s="32" t="n">
        <v>60</v>
      </c>
      <c r="S1613" s="32" t="n">
        <v>1</v>
      </c>
      <c r="T1613" s="43" t="s">
        <v>316</v>
      </c>
      <c r="U1613" s="32"/>
      <c r="V1613" s="37"/>
      <c r="W1613" s="32"/>
      <c r="X1613" s="34"/>
      <c r="Y1613" s="34"/>
      <c r="Z1613" s="36"/>
      <c r="AA1613" s="32" t="s">
        <v>9114</v>
      </c>
      <c r="AB1613" s="32"/>
      <c r="AC1613" s="38" t="str">
        <f aca="false">HYPERLINK("https://biocodex6--c.vf.force.com/0014L00000KFXELQA5", "COLONNA JEAN PIERRE")</f>
        <v>COLONNA JEAN PIERRE</v>
      </c>
      <c r="AD1613" s="38"/>
      <c r="AE1613" s="39"/>
      <c r="AF1613" s="40"/>
      <c r="AG1613" s="41"/>
      <c r="AH1613" s="32" t="s">
        <v>179</v>
      </c>
      <c r="AI1613" s="32"/>
      <c r="AL1613" s="32"/>
      <c r="AM1613" s="32"/>
      <c r="AN1613" s="32"/>
      <c r="AO1613" s="32"/>
      <c r="AP1613" s="32"/>
      <c r="AQ1613" s="32"/>
      <c r="AR1613" s="32"/>
      <c r="AS1613" s="32"/>
      <c r="AT1613" s="32"/>
      <c r="AU1613" s="32"/>
      <c r="XEY1613" s="27"/>
      <c r="XEZ1613" s="27"/>
      <c r="XFA1613" s="27"/>
      <c r="XFB1613" s="27"/>
      <c r="XFC1613" s="27"/>
      <c r="XFD1613" s="27"/>
    </row>
    <row r="1614" s="42" customFormat="true" ht="14.15" hidden="false" customHeight="true" outlineLevel="0" collapsed="false">
      <c r="A1614" s="28" t="s">
        <v>9115</v>
      </c>
      <c r="B1614" s="29" t="s">
        <v>4463</v>
      </c>
      <c r="C1614" s="29" t="s">
        <v>9116</v>
      </c>
      <c r="D1614" s="30" t="s">
        <v>172</v>
      </c>
      <c r="E1614" s="31"/>
      <c r="F1614" s="32" t="n">
        <v>52</v>
      </c>
      <c r="G1614" s="31"/>
      <c r="H1614" s="31" t="n">
        <v>1</v>
      </c>
      <c r="I1614" s="31" t="s">
        <v>572</v>
      </c>
      <c r="J1614" s="29"/>
      <c r="K1614" s="29" t="s">
        <v>9117</v>
      </c>
      <c r="L1614" s="32" t="n">
        <v>170</v>
      </c>
      <c r="M1614" s="33" t="s">
        <v>3334</v>
      </c>
      <c r="N1614" s="34" t="n">
        <v>75008</v>
      </c>
      <c r="O1614" s="35" t="s">
        <v>55</v>
      </c>
      <c r="P1614" s="36"/>
      <c r="Q1614" s="36" t="n">
        <v>3</v>
      </c>
      <c r="R1614" s="32" t="n">
        <v>59</v>
      </c>
      <c r="S1614" s="32" t="n">
        <v>1</v>
      </c>
      <c r="T1614" s="43" t="s">
        <v>1610</v>
      </c>
      <c r="U1614" s="32"/>
      <c r="V1614" s="37" t="n">
        <v>3</v>
      </c>
      <c r="W1614" s="32"/>
      <c r="X1614" s="34"/>
      <c r="Y1614" s="34"/>
      <c r="Z1614" s="36"/>
      <c r="AA1614" s="32" t="s">
        <v>9118</v>
      </c>
      <c r="AB1614" s="32"/>
      <c r="AC1614" s="38" t="str">
        <f aca="false">HYPERLINK("https://biocodex6--c.vf.force.com/0014L00000KFUq3QAH", "BAUP NICOLAS")</f>
        <v>BAUP NICOLAS</v>
      </c>
      <c r="AD1614" s="38"/>
      <c r="AE1614" s="39"/>
      <c r="AF1614" s="40"/>
      <c r="AG1614" s="41"/>
      <c r="AH1614" s="32" t="s">
        <v>179</v>
      </c>
      <c r="AI1614" s="32"/>
      <c r="AL1614" s="32"/>
      <c r="AM1614" s="32"/>
      <c r="AN1614" s="32"/>
      <c r="AO1614" s="32"/>
      <c r="AP1614" s="32"/>
      <c r="AQ1614" s="32"/>
      <c r="AR1614" s="32"/>
      <c r="AS1614" s="32"/>
      <c r="AT1614" s="32"/>
      <c r="AU1614" s="32"/>
      <c r="XEY1614" s="27"/>
      <c r="XEZ1614" s="27"/>
      <c r="XFA1614" s="27"/>
      <c r="XFB1614" s="27"/>
      <c r="XFC1614" s="27"/>
      <c r="XFD1614" s="27"/>
    </row>
    <row r="1615" s="42" customFormat="true" ht="14.15" hidden="false" customHeight="true" outlineLevel="0" collapsed="false">
      <c r="A1615" s="28" t="s">
        <v>6710</v>
      </c>
      <c r="B1615" s="29" t="s">
        <v>117</v>
      </c>
      <c r="C1615" s="29" t="s">
        <v>9119</v>
      </c>
      <c r="D1615" s="30" t="s">
        <v>172</v>
      </c>
      <c r="E1615" s="31"/>
      <c r="F1615" s="32" t="n">
        <v>70</v>
      </c>
      <c r="G1615" s="31"/>
      <c r="H1615" s="31" t="n">
        <v>1</v>
      </c>
      <c r="I1615" s="31" t="s">
        <v>572</v>
      </c>
      <c r="J1615" s="29"/>
      <c r="K1615" s="29" t="s">
        <v>6119</v>
      </c>
      <c r="L1615" s="32" t="n">
        <v>31</v>
      </c>
      <c r="M1615" s="33" t="s">
        <v>3647</v>
      </c>
      <c r="N1615" s="34" t="n">
        <v>75008</v>
      </c>
      <c r="O1615" s="35" t="s">
        <v>55</v>
      </c>
      <c r="P1615" s="36" t="s">
        <v>9120</v>
      </c>
      <c r="Q1615" s="36" t="n">
        <v>3</v>
      </c>
      <c r="R1615" s="32" t="n">
        <v>59</v>
      </c>
      <c r="S1615" s="32" t="n">
        <v>1</v>
      </c>
      <c r="T1615" s="43" t="s">
        <v>316</v>
      </c>
      <c r="U1615" s="32"/>
      <c r="V1615" s="37"/>
      <c r="W1615" s="32"/>
      <c r="X1615" s="34"/>
      <c r="Y1615" s="34"/>
      <c r="Z1615" s="32"/>
      <c r="AA1615" s="32" t="s">
        <v>9121</v>
      </c>
      <c r="AB1615" s="32"/>
      <c r="AC1615" s="38" t="str">
        <f aca="false">HYPERLINK("https://biocodex6--c.vf.force.com/0014L00000KFchaQAD", "GARCIA DOMINIQUE")</f>
        <v>GARCIA DOMINIQUE</v>
      </c>
      <c r="AD1615" s="38"/>
      <c r="AE1615" s="39"/>
      <c r="AF1615" s="40"/>
      <c r="AG1615" s="41"/>
      <c r="AH1615" s="32"/>
      <c r="AI1615" s="32"/>
      <c r="AL1615" s="32"/>
      <c r="AM1615" s="32"/>
      <c r="AN1615" s="32"/>
      <c r="AO1615" s="32"/>
      <c r="AP1615" s="32"/>
      <c r="AQ1615" s="32"/>
      <c r="AR1615" s="32"/>
      <c r="AS1615" s="32"/>
      <c r="AT1615" s="32"/>
      <c r="AU1615" s="32"/>
      <c r="XEY1615" s="27"/>
      <c r="XEZ1615" s="27"/>
      <c r="XFA1615" s="27"/>
      <c r="XFB1615" s="27"/>
      <c r="XFC1615" s="27"/>
      <c r="XFD1615" s="27"/>
    </row>
    <row r="1616" s="42" customFormat="true" ht="14.15" hidden="false" customHeight="true" outlineLevel="0" collapsed="false">
      <c r="A1616" s="28" t="s">
        <v>9122</v>
      </c>
      <c r="B1616" s="29" t="s">
        <v>4603</v>
      </c>
      <c r="C1616" s="29" t="s">
        <v>9123</v>
      </c>
      <c r="D1616" s="30" t="s">
        <v>172</v>
      </c>
      <c r="E1616" s="31"/>
      <c r="F1616" s="32" t="n">
        <v>44</v>
      </c>
      <c r="G1616" s="31"/>
      <c r="H1616" s="31" t="n">
        <v>1</v>
      </c>
      <c r="I1616" s="31" t="s">
        <v>119</v>
      </c>
      <c r="J1616" s="29"/>
      <c r="K1616" s="29" t="s">
        <v>5086</v>
      </c>
      <c r="L1616" s="32" t="n">
        <v>50</v>
      </c>
      <c r="M1616" s="33" t="s">
        <v>5087</v>
      </c>
      <c r="N1616" s="34" t="n">
        <v>75007</v>
      </c>
      <c r="O1616" s="35" t="s">
        <v>55</v>
      </c>
      <c r="P1616" s="36"/>
      <c r="Q1616" s="36" t="n">
        <v>4</v>
      </c>
      <c r="R1616" s="32" t="n">
        <v>59</v>
      </c>
      <c r="S1616" s="32" t="n">
        <v>1</v>
      </c>
      <c r="T1616" s="43" t="s">
        <v>1107</v>
      </c>
      <c r="U1616" s="32" t="n">
        <v>3</v>
      </c>
      <c r="V1616" s="37"/>
      <c r="W1616" s="32"/>
      <c r="X1616" s="34"/>
      <c r="Y1616" s="34"/>
      <c r="Z1616" s="36"/>
      <c r="AA1616" s="32" t="s">
        <v>9124</v>
      </c>
      <c r="AB1616" s="32"/>
      <c r="AC1616" s="38" t="str">
        <f aca="false">HYPERLINK("https://biocodex6--c.vf.force.com/0014L00000KG33IQAT", "SINZELLE JEREMIE")</f>
        <v>SINZELLE JEREMIE</v>
      </c>
      <c r="AD1616" s="38"/>
      <c r="AE1616" s="39"/>
      <c r="AF1616" s="40"/>
      <c r="AG1616" s="41"/>
      <c r="AH1616" s="32" t="s">
        <v>179</v>
      </c>
      <c r="AI1616" s="32"/>
      <c r="AL1616" s="32"/>
      <c r="AM1616" s="32"/>
      <c r="AN1616" s="32"/>
      <c r="AO1616" s="32"/>
      <c r="AP1616" s="32"/>
      <c r="AQ1616" s="32"/>
      <c r="AR1616" s="32"/>
      <c r="AS1616" s="32"/>
      <c r="AT1616" s="32"/>
      <c r="AU1616" s="32"/>
      <c r="XEY1616" s="27"/>
      <c r="XEZ1616" s="27"/>
      <c r="XFA1616" s="27"/>
      <c r="XFB1616" s="27"/>
      <c r="XFC1616" s="27"/>
      <c r="XFD1616" s="27"/>
    </row>
    <row r="1617" s="42" customFormat="true" ht="14.15" hidden="false" customHeight="true" outlineLevel="0" collapsed="false">
      <c r="A1617" s="28" t="s">
        <v>142</v>
      </c>
      <c r="B1617" s="29" t="s">
        <v>151</v>
      </c>
      <c r="C1617" s="29" t="s">
        <v>9125</v>
      </c>
      <c r="D1617" s="30" t="s">
        <v>172</v>
      </c>
      <c r="E1617" s="31"/>
      <c r="F1617" s="32" t="n">
        <v>66</v>
      </c>
      <c r="G1617" s="31"/>
      <c r="H1617" s="31" t="n">
        <v>1</v>
      </c>
      <c r="I1617" s="31" t="s">
        <v>51</v>
      </c>
      <c r="J1617" s="29"/>
      <c r="K1617" s="29" t="s">
        <v>9126</v>
      </c>
      <c r="L1617" s="32" t="n">
        <v>8</v>
      </c>
      <c r="M1617" s="33" t="s">
        <v>9127</v>
      </c>
      <c r="N1617" s="34" t="n">
        <v>75015</v>
      </c>
      <c r="O1617" s="35" t="s">
        <v>55</v>
      </c>
      <c r="P1617" s="36" t="s">
        <v>9128</v>
      </c>
      <c r="Q1617" s="36" t="n">
        <v>1</v>
      </c>
      <c r="R1617" s="32" t="n">
        <v>59</v>
      </c>
      <c r="S1617" s="32" t="n">
        <v>1</v>
      </c>
      <c r="T1617" s="43" t="s">
        <v>316</v>
      </c>
      <c r="U1617" s="32"/>
      <c r="V1617" s="37"/>
      <c r="W1617" s="32"/>
      <c r="X1617" s="34"/>
      <c r="Y1617" s="34"/>
      <c r="Z1617" s="36"/>
      <c r="AA1617" s="32" t="s">
        <v>9129</v>
      </c>
      <c r="AB1617" s="32"/>
      <c r="AC1617" s="38" t="str">
        <f aca="false">HYPERLINK("https://biocodex6--c.vf.force.com/0014L00000KFrmpQAD", "MICHEL FREDERIC")</f>
        <v>MICHEL FREDERIC</v>
      </c>
      <c r="AD1617" s="38"/>
      <c r="AE1617" s="39"/>
      <c r="AF1617" s="40"/>
      <c r="AG1617" s="41"/>
      <c r="AH1617" s="32" t="s">
        <v>179</v>
      </c>
      <c r="AI1617" s="32"/>
      <c r="AL1617" s="32"/>
      <c r="AM1617" s="32"/>
      <c r="AN1617" s="32"/>
      <c r="AO1617" s="32"/>
      <c r="AP1617" s="32"/>
      <c r="AQ1617" s="32"/>
      <c r="AR1617" s="32"/>
      <c r="AS1617" s="32"/>
      <c r="AT1617" s="32"/>
      <c r="AU1617" s="32"/>
      <c r="XEY1617" s="27"/>
      <c r="XEZ1617" s="27"/>
      <c r="XFA1617" s="27"/>
      <c r="XFB1617" s="27"/>
      <c r="XFC1617" s="27"/>
      <c r="XFD1617" s="27"/>
    </row>
    <row r="1618" s="42" customFormat="true" ht="14.15" hidden="false" customHeight="true" outlineLevel="0" collapsed="false">
      <c r="A1618" s="28" t="s">
        <v>9130</v>
      </c>
      <c r="B1618" s="29" t="s">
        <v>1423</v>
      </c>
      <c r="C1618" s="29" t="s">
        <v>9131</v>
      </c>
      <c r="D1618" s="30" t="s">
        <v>172</v>
      </c>
      <c r="E1618" s="31"/>
      <c r="F1618" s="32" t="n">
        <v>72</v>
      </c>
      <c r="G1618" s="31"/>
      <c r="H1618" s="31" t="n">
        <v>1</v>
      </c>
      <c r="I1618" s="31" t="s">
        <v>197</v>
      </c>
      <c r="J1618" s="29"/>
      <c r="K1618" s="29" t="s">
        <v>9132</v>
      </c>
      <c r="L1618" s="32" t="n">
        <v>89</v>
      </c>
      <c r="M1618" s="33" t="s">
        <v>2804</v>
      </c>
      <c r="N1618" s="34" t="n">
        <v>75017</v>
      </c>
      <c r="O1618" s="35" t="s">
        <v>55</v>
      </c>
      <c r="P1618" s="36" t="s">
        <v>9133</v>
      </c>
      <c r="Q1618" s="36" t="n">
        <v>1</v>
      </c>
      <c r="R1618" s="32" t="n">
        <v>59</v>
      </c>
      <c r="S1618" s="32" t="n">
        <v>1</v>
      </c>
      <c r="T1618" s="43" t="s">
        <v>1925</v>
      </c>
      <c r="U1618" s="32"/>
      <c r="V1618" s="37" t="n">
        <v>3</v>
      </c>
      <c r="W1618" s="32"/>
      <c r="X1618" s="34"/>
      <c r="Y1618" s="34"/>
      <c r="Z1618" s="36"/>
      <c r="AA1618" s="32" t="s">
        <v>9134</v>
      </c>
      <c r="AB1618" s="32"/>
      <c r="AC1618" s="38" t="str">
        <f aca="false">HYPERLINK("https://biocodex6--c.vf.force.com/0014L00000KFiArQAL", "HANTOUCHE ELIE")</f>
        <v>HANTOUCHE ELIE</v>
      </c>
      <c r="AD1618" s="38"/>
      <c r="AE1618" s="39"/>
      <c r="AF1618" s="40"/>
      <c r="AG1618" s="41"/>
      <c r="AH1618" s="32" t="s">
        <v>179</v>
      </c>
      <c r="AI1618" s="32"/>
      <c r="AL1618" s="32"/>
      <c r="AM1618" s="32"/>
      <c r="AN1618" s="32"/>
      <c r="AO1618" s="32"/>
      <c r="AP1618" s="32"/>
      <c r="AQ1618" s="32"/>
      <c r="AR1618" s="32"/>
      <c r="AS1618" s="32"/>
      <c r="AT1618" s="32"/>
      <c r="AU1618" s="32"/>
      <c r="XEY1618" s="27"/>
      <c r="XEZ1618" s="27"/>
      <c r="XFA1618" s="27"/>
      <c r="XFB1618" s="27"/>
      <c r="XFC1618" s="27"/>
      <c r="XFD1618" s="27"/>
    </row>
    <row r="1619" s="42" customFormat="true" ht="14.15" hidden="false" customHeight="true" outlineLevel="0" collapsed="false">
      <c r="A1619" s="28" t="s">
        <v>7316</v>
      </c>
      <c r="B1619" s="29" t="s">
        <v>195</v>
      </c>
      <c r="C1619" s="29" t="s">
        <v>9135</v>
      </c>
      <c r="D1619" s="30" t="s">
        <v>172</v>
      </c>
      <c r="E1619" s="30" t="s">
        <v>818</v>
      </c>
      <c r="F1619" s="32" t="n">
        <v>68</v>
      </c>
      <c r="G1619" s="31"/>
      <c r="H1619" s="31" t="n">
        <v>1</v>
      </c>
      <c r="I1619" s="31" t="s">
        <v>173</v>
      </c>
      <c r="J1619" s="29"/>
      <c r="K1619" s="29" t="s">
        <v>9136</v>
      </c>
      <c r="L1619" s="32" t="n">
        <v>9</v>
      </c>
      <c r="M1619" s="33" t="s">
        <v>9137</v>
      </c>
      <c r="N1619" s="34" t="n">
        <v>75016</v>
      </c>
      <c r="O1619" s="35" t="s">
        <v>55</v>
      </c>
      <c r="P1619" s="36"/>
      <c r="Q1619" s="36" t="n">
        <v>1</v>
      </c>
      <c r="R1619" s="32" t="n">
        <v>59</v>
      </c>
      <c r="S1619" s="32" t="n">
        <v>1</v>
      </c>
      <c r="T1619" s="43" t="s">
        <v>316</v>
      </c>
      <c r="U1619" s="32"/>
      <c r="V1619" s="37"/>
      <c r="W1619" s="32"/>
      <c r="X1619" s="34"/>
      <c r="Y1619" s="34"/>
      <c r="Z1619" s="36"/>
      <c r="AA1619" s="32" t="s">
        <v>9138</v>
      </c>
      <c r="AB1619" s="32"/>
      <c r="AC1619" s="38" t="str">
        <f aca="false">HYPERLINK("https://biocodex6--c.vf.force.com/0014L00000KFUYdQAP", "BOUVIER PHILIPPE")</f>
        <v>BOUVIER PHILIPPE</v>
      </c>
      <c r="AD1619" s="38"/>
      <c r="AE1619" s="39"/>
      <c r="AF1619" s="40"/>
      <c r="AG1619" s="41"/>
      <c r="AH1619" s="32" t="s">
        <v>179</v>
      </c>
      <c r="AI1619" s="32"/>
      <c r="AL1619" s="32"/>
      <c r="AM1619" s="32"/>
      <c r="AN1619" s="32"/>
      <c r="AO1619" s="32"/>
      <c r="AP1619" s="32"/>
      <c r="AQ1619" s="32"/>
      <c r="AR1619" s="32"/>
      <c r="AS1619" s="32"/>
      <c r="AT1619" s="32"/>
      <c r="AU1619" s="32"/>
      <c r="XEY1619" s="27"/>
      <c r="XEZ1619" s="27"/>
      <c r="XFA1619" s="27"/>
      <c r="XFB1619" s="27"/>
      <c r="XFC1619" s="27"/>
      <c r="XFD1619" s="27"/>
    </row>
    <row r="1620" s="42" customFormat="true" ht="14.15" hidden="false" customHeight="true" outlineLevel="0" collapsed="false">
      <c r="A1620" s="28" t="s">
        <v>9139</v>
      </c>
      <c r="B1620" s="29" t="s">
        <v>1156</v>
      </c>
      <c r="C1620" s="29" t="s">
        <v>9140</v>
      </c>
      <c r="D1620" s="30" t="s">
        <v>244</v>
      </c>
      <c r="E1620" s="30" t="s">
        <v>1602</v>
      </c>
      <c r="F1620" s="32" t="n">
        <v>47</v>
      </c>
      <c r="G1620" s="31" t="s">
        <v>215</v>
      </c>
      <c r="H1620" s="31" t="n">
        <v>1</v>
      </c>
      <c r="I1620" s="31" t="s">
        <v>295</v>
      </c>
      <c r="J1620" s="29" t="s">
        <v>489</v>
      </c>
      <c r="K1620" s="29" t="s">
        <v>490</v>
      </c>
      <c r="L1620" s="32" t="n">
        <v>3</v>
      </c>
      <c r="M1620" s="33" t="s">
        <v>491</v>
      </c>
      <c r="N1620" s="34" t="n">
        <v>92300</v>
      </c>
      <c r="O1620" s="35" t="s">
        <v>298</v>
      </c>
      <c r="P1620" s="36" t="s">
        <v>9141</v>
      </c>
      <c r="Q1620" s="36" t="n">
        <v>26</v>
      </c>
      <c r="R1620" s="32" t="n">
        <v>59</v>
      </c>
      <c r="S1620" s="32" t="n">
        <v>1</v>
      </c>
      <c r="T1620" s="32"/>
      <c r="U1620" s="32"/>
      <c r="V1620" s="37"/>
      <c r="W1620" s="32"/>
      <c r="X1620" s="34"/>
      <c r="Y1620" s="34"/>
      <c r="Z1620" s="36"/>
      <c r="AA1620" s="32" t="s">
        <v>9142</v>
      </c>
      <c r="AB1620" s="32" t="s">
        <v>9143</v>
      </c>
      <c r="AC1620" s="38" t="str">
        <f aca="false">HYPERLINK("https://biocodex6--c.vf.force.com/0014L00000KFT4VQAX", "BERNABE DUPONT CELINE")</f>
        <v>BERNABE DUPONT CELINE</v>
      </c>
      <c r="AD1620" s="38" t="str">
        <f aca="false">HYPERLINK("https://annuairesante.ameli.fr/professionnels-de-sante/recherche/fiche-detaillee-B7c1mjAwMzS2.html", "BERNABE DUPONT CELINE")</f>
        <v>BERNABE DUPONT CELINE</v>
      </c>
      <c r="AE1620" s="39"/>
      <c r="AF1620" s="40"/>
      <c r="AG1620" s="41"/>
      <c r="AH1620" s="32" t="s">
        <v>179</v>
      </c>
      <c r="AI1620" s="32"/>
      <c r="AL1620" s="32"/>
      <c r="AM1620" s="32"/>
      <c r="AN1620" s="32"/>
      <c r="AO1620" s="32"/>
      <c r="AP1620" s="32"/>
      <c r="AQ1620" s="32"/>
      <c r="AR1620" s="32"/>
      <c r="AS1620" s="32"/>
      <c r="AT1620" s="32"/>
      <c r="AU1620" s="32"/>
      <c r="XEY1620" s="27"/>
      <c r="XEZ1620" s="27"/>
      <c r="XFA1620" s="27"/>
      <c r="XFB1620" s="27"/>
      <c r="XFC1620" s="27"/>
      <c r="XFD1620" s="27"/>
    </row>
    <row r="1621" s="42" customFormat="true" ht="14.15" hidden="false" customHeight="true" outlineLevel="0" collapsed="false">
      <c r="A1621" s="28" t="s">
        <v>9144</v>
      </c>
      <c r="B1621" s="29" t="s">
        <v>1777</v>
      </c>
      <c r="C1621" s="29" t="s">
        <v>9145</v>
      </c>
      <c r="D1621" s="30" t="s">
        <v>244</v>
      </c>
      <c r="E1621" s="30" t="s">
        <v>245</v>
      </c>
      <c r="F1621" s="32" t="n">
        <v>61</v>
      </c>
      <c r="G1621" s="31"/>
      <c r="H1621" s="31" t="n">
        <v>1</v>
      </c>
      <c r="I1621" s="31" t="s">
        <v>295</v>
      </c>
      <c r="J1621" s="29" t="s">
        <v>489</v>
      </c>
      <c r="K1621" s="29" t="s">
        <v>490</v>
      </c>
      <c r="L1621" s="32" t="n">
        <v>3</v>
      </c>
      <c r="M1621" s="33" t="s">
        <v>491</v>
      </c>
      <c r="N1621" s="34" t="n">
        <v>92300</v>
      </c>
      <c r="O1621" s="35" t="s">
        <v>298</v>
      </c>
      <c r="P1621" s="36" t="s">
        <v>1592</v>
      </c>
      <c r="Q1621" s="36" t="n">
        <v>26</v>
      </c>
      <c r="R1621" s="32" t="n">
        <v>59</v>
      </c>
      <c r="S1621" s="32" t="n">
        <v>1</v>
      </c>
      <c r="T1621" s="32"/>
      <c r="U1621" s="32"/>
      <c r="V1621" s="37"/>
      <c r="W1621" s="32"/>
      <c r="X1621" s="34"/>
      <c r="Y1621" s="34"/>
      <c r="Z1621" s="36"/>
      <c r="AA1621" s="32" t="s">
        <v>9146</v>
      </c>
      <c r="AB1621" s="32"/>
      <c r="AC1621" s="38" t="str">
        <f aca="false">HYPERLINK("https://biocodex6--c.vf.force.com/0014L00000KFq07QAD", "MAIROVITZ BOCQUET VALERIE")</f>
        <v>MAIROVITZ BOCQUET VALERIE</v>
      </c>
      <c r="AD1621" s="38"/>
      <c r="AE1621" s="39"/>
      <c r="AF1621" s="40"/>
      <c r="AG1621" s="41"/>
      <c r="AH1621" s="32" t="s">
        <v>179</v>
      </c>
      <c r="AI1621" s="32"/>
      <c r="AL1621" s="32"/>
      <c r="AM1621" s="32"/>
      <c r="AN1621" s="32"/>
      <c r="AO1621" s="32"/>
      <c r="AP1621" s="32"/>
      <c r="AQ1621" s="32"/>
      <c r="AR1621" s="32"/>
      <c r="AS1621" s="32"/>
      <c r="AT1621" s="32"/>
      <c r="AU1621" s="32"/>
      <c r="XEY1621" s="27"/>
      <c r="XEZ1621" s="27"/>
      <c r="XFA1621" s="27"/>
      <c r="XFB1621" s="27"/>
      <c r="XFC1621" s="27"/>
      <c r="XFD1621" s="27"/>
    </row>
    <row r="1622" s="42" customFormat="true" ht="14.15" hidden="false" customHeight="true" outlineLevel="0" collapsed="false">
      <c r="A1622" s="28" t="s">
        <v>9147</v>
      </c>
      <c r="B1622" s="29" t="s">
        <v>5648</v>
      </c>
      <c r="C1622" s="29" t="s">
        <v>9148</v>
      </c>
      <c r="D1622" s="30" t="s">
        <v>172</v>
      </c>
      <c r="E1622" s="31"/>
      <c r="F1622" s="32" t="n">
        <v>68</v>
      </c>
      <c r="G1622" s="31"/>
      <c r="H1622" s="31" t="n">
        <v>1</v>
      </c>
      <c r="I1622" s="31" t="s">
        <v>572</v>
      </c>
      <c r="J1622" s="29"/>
      <c r="K1622" s="29" t="s">
        <v>9149</v>
      </c>
      <c r="L1622" s="32" t="n">
        <v>80</v>
      </c>
      <c r="M1622" s="33" t="s">
        <v>9150</v>
      </c>
      <c r="N1622" s="34" t="n">
        <v>75008</v>
      </c>
      <c r="O1622" s="35" t="s">
        <v>55</v>
      </c>
      <c r="P1622" s="36" t="s">
        <v>9151</v>
      </c>
      <c r="Q1622" s="36" t="n">
        <v>1</v>
      </c>
      <c r="R1622" s="32" t="n">
        <v>58</v>
      </c>
      <c r="S1622" s="32" t="n">
        <v>1</v>
      </c>
      <c r="T1622" s="43" t="s">
        <v>316</v>
      </c>
      <c r="U1622" s="32"/>
      <c r="V1622" s="37"/>
      <c r="W1622" s="32"/>
      <c r="X1622" s="34"/>
      <c r="Y1622" s="34"/>
      <c r="Z1622" s="36"/>
      <c r="AA1622" s="32" t="s">
        <v>9152</v>
      </c>
      <c r="AB1622" s="32"/>
      <c r="AC1622" s="38" t="str">
        <f aca="false">HYPERLINK("https://biocodex6--c.vf.force.com/0014L00000KFvxPQAT", "PIERLOT PASCAL")</f>
        <v>PIERLOT PASCAL</v>
      </c>
      <c r="AD1622" s="38"/>
      <c r="AE1622" s="39"/>
      <c r="AF1622" s="40"/>
      <c r="AG1622" s="41"/>
      <c r="AH1622" s="32" t="s">
        <v>179</v>
      </c>
      <c r="AI1622" s="32"/>
      <c r="AL1622" s="32"/>
      <c r="AM1622" s="32"/>
      <c r="AN1622" s="32"/>
      <c r="AO1622" s="32"/>
      <c r="AP1622" s="32"/>
      <c r="AQ1622" s="32"/>
      <c r="AR1622" s="32"/>
      <c r="AS1622" s="32"/>
      <c r="AT1622" s="32"/>
      <c r="AU1622" s="32"/>
      <c r="XEY1622" s="27"/>
      <c r="XEZ1622" s="27"/>
      <c r="XFA1622" s="27"/>
      <c r="XFB1622" s="27"/>
      <c r="XFC1622" s="27"/>
      <c r="XFD1622" s="27"/>
    </row>
    <row r="1623" s="42" customFormat="true" ht="14.15" hidden="false" customHeight="true" outlineLevel="0" collapsed="false">
      <c r="A1623" s="28" t="s">
        <v>9153</v>
      </c>
      <c r="B1623" s="29" t="s">
        <v>773</v>
      </c>
      <c r="C1623" s="29" t="s">
        <v>9154</v>
      </c>
      <c r="D1623" s="30" t="s">
        <v>172</v>
      </c>
      <c r="E1623" s="31"/>
      <c r="F1623" s="32" t="n">
        <v>67</v>
      </c>
      <c r="G1623" s="31"/>
      <c r="H1623" s="31" t="n">
        <v>1</v>
      </c>
      <c r="I1623" s="31" t="s">
        <v>119</v>
      </c>
      <c r="J1623" s="29"/>
      <c r="K1623" s="29" t="s">
        <v>9155</v>
      </c>
      <c r="L1623" s="32" t="n">
        <v>37</v>
      </c>
      <c r="M1623" s="33" t="s">
        <v>9156</v>
      </c>
      <c r="N1623" s="34" t="n">
        <v>75007</v>
      </c>
      <c r="O1623" s="35" t="s">
        <v>55</v>
      </c>
      <c r="P1623" s="36" t="s">
        <v>9157</v>
      </c>
      <c r="Q1623" s="36" t="n">
        <v>1</v>
      </c>
      <c r="R1623" s="32" t="n">
        <v>58</v>
      </c>
      <c r="S1623" s="32" t="n">
        <v>1</v>
      </c>
      <c r="T1623" s="43" t="s">
        <v>1107</v>
      </c>
      <c r="U1623" s="32" t="n">
        <v>3</v>
      </c>
      <c r="V1623" s="37" t="n">
        <v>3</v>
      </c>
      <c r="W1623" s="32"/>
      <c r="X1623" s="34"/>
      <c r="Y1623" s="34"/>
      <c r="Z1623" s="36"/>
      <c r="AA1623" s="32" t="s">
        <v>9158</v>
      </c>
      <c r="AB1623" s="32"/>
      <c r="AC1623" s="38" t="str">
        <f aca="false">HYPERLINK("https://biocodex6--c.vf.force.com/0014L00000KFhlcQAD", "JONTZA THOMAS")</f>
        <v>JONTZA THOMAS</v>
      </c>
      <c r="AD1623" s="38"/>
      <c r="AE1623" s="39"/>
      <c r="AF1623" s="40"/>
      <c r="AG1623" s="41"/>
      <c r="AH1623" s="32" t="s">
        <v>179</v>
      </c>
      <c r="AI1623" s="32"/>
      <c r="AL1623" s="32"/>
      <c r="AM1623" s="32"/>
      <c r="AN1623" s="32"/>
      <c r="AO1623" s="32"/>
      <c r="AP1623" s="32"/>
      <c r="AQ1623" s="32"/>
      <c r="AR1623" s="32"/>
      <c r="AS1623" s="32"/>
      <c r="AT1623" s="32"/>
      <c r="AU1623" s="32"/>
      <c r="XEY1623" s="27"/>
      <c r="XEZ1623" s="27"/>
      <c r="XFA1623" s="27"/>
      <c r="XFB1623" s="27"/>
      <c r="XFC1623" s="27"/>
      <c r="XFD1623" s="27"/>
    </row>
    <row r="1624" s="42" customFormat="true" ht="14.15" hidden="false" customHeight="true" outlineLevel="0" collapsed="false">
      <c r="A1624" s="28" t="s">
        <v>9159</v>
      </c>
      <c r="B1624" s="51" t="s">
        <v>690</v>
      </c>
      <c r="C1624" s="51" t="s">
        <v>9160</v>
      </c>
      <c r="D1624" s="30" t="s">
        <v>172</v>
      </c>
      <c r="E1624" s="30" t="s">
        <v>545</v>
      </c>
      <c r="F1624" s="32" t="n">
        <v>61</v>
      </c>
      <c r="G1624" s="31"/>
      <c r="H1624" s="31" t="n">
        <v>2</v>
      </c>
      <c r="I1624" s="31" t="s">
        <v>435</v>
      </c>
      <c r="J1624" s="29"/>
      <c r="K1624" s="29" t="s">
        <v>9161</v>
      </c>
      <c r="L1624" s="32" t="n">
        <v>29</v>
      </c>
      <c r="M1624" s="33" t="s">
        <v>9162</v>
      </c>
      <c r="N1624" s="34" t="n">
        <v>75116</v>
      </c>
      <c r="O1624" s="35" t="s">
        <v>55</v>
      </c>
      <c r="P1624" s="36" t="s">
        <v>9163</v>
      </c>
      <c r="Q1624" s="36" t="n">
        <v>1</v>
      </c>
      <c r="R1624" s="32" t="n">
        <v>58</v>
      </c>
      <c r="S1624" s="32" t="n">
        <v>1</v>
      </c>
      <c r="T1624" s="32"/>
      <c r="U1624" s="32"/>
      <c r="V1624" s="37"/>
      <c r="W1624" s="32"/>
      <c r="X1624" s="34"/>
      <c r="Y1624" s="58"/>
      <c r="Z1624" s="32"/>
      <c r="AA1624" s="32" t="s">
        <v>9164</v>
      </c>
      <c r="AB1624" s="44"/>
      <c r="AC1624" s="38" t="str">
        <f aca="false">HYPERLINK("https://biocodex6--c.vf.force.com/0014L00000KFtTjQAL", "NEUMAN ERIC")</f>
        <v>NEUMAN ERIC</v>
      </c>
      <c r="AD1624" s="38"/>
      <c r="AE1624" s="39"/>
      <c r="AF1624" s="40"/>
      <c r="AG1624" s="41" t="s">
        <v>125</v>
      </c>
      <c r="AH1624" s="32" t="s">
        <v>2191</v>
      </c>
      <c r="AI1624" s="32" t="s">
        <v>2191</v>
      </c>
      <c r="AL1624" s="32"/>
      <c r="AM1624" s="32"/>
      <c r="AN1624" s="32"/>
      <c r="AO1624" s="32"/>
      <c r="AP1624" s="32"/>
      <c r="AQ1624" s="32"/>
      <c r="AR1624" s="32"/>
      <c r="AS1624" s="32"/>
      <c r="AT1624" s="32"/>
      <c r="AU1624" s="32"/>
      <c r="XEY1624" s="27"/>
      <c r="XEZ1624" s="27"/>
      <c r="XFA1624" s="27"/>
      <c r="XFB1624" s="27"/>
      <c r="XFC1624" s="27"/>
      <c r="XFD1624" s="27"/>
    </row>
    <row r="1625" s="42" customFormat="true" ht="14.15" hidden="false" customHeight="true" outlineLevel="0" collapsed="false">
      <c r="A1625" s="28" t="s">
        <v>9165</v>
      </c>
      <c r="B1625" s="29" t="s">
        <v>2794</v>
      </c>
      <c r="C1625" s="29" t="s">
        <v>9166</v>
      </c>
      <c r="D1625" s="30" t="s">
        <v>172</v>
      </c>
      <c r="E1625" s="30" t="s">
        <v>818</v>
      </c>
      <c r="F1625" s="32" t="n">
        <v>68</v>
      </c>
      <c r="G1625" s="31"/>
      <c r="H1625" s="31" t="n">
        <v>1</v>
      </c>
      <c r="I1625" s="31" t="s">
        <v>51</v>
      </c>
      <c r="J1625" s="29"/>
      <c r="K1625" s="29" t="s">
        <v>8883</v>
      </c>
      <c r="L1625" s="32" t="n">
        <v>8</v>
      </c>
      <c r="M1625" s="33" t="s">
        <v>8884</v>
      </c>
      <c r="N1625" s="34" t="n">
        <v>75015</v>
      </c>
      <c r="O1625" s="35" t="s">
        <v>55</v>
      </c>
      <c r="P1625" s="36"/>
      <c r="Q1625" s="36" t="n">
        <v>2</v>
      </c>
      <c r="R1625" s="32" t="n">
        <v>57</v>
      </c>
      <c r="S1625" s="32" t="n">
        <v>1</v>
      </c>
      <c r="T1625" s="43" t="s">
        <v>316</v>
      </c>
      <c r="U1625" s="32"/>
      <c r="V1625" s="37"/>
      <c r="W1625" s="32"/>
      <c r="X1625" s="34"/>
      <c r="Y1625" s="34"/>
      <c r="Z1625" s="36"/>
      <c r="AA1625" s="32" t="s">
        <v>9167</v>
      </c>
      <c r="AB1625" s="32"/>
      <c r="AC1625" s="38" t="str">
        <f aca="false">HYPERLINK("https://biocodex6--c.vf.force.com/0014L00000KFWiuQAH", "CHOPIN HOHENBERG CLAIRE")</f>
        <v>CHOPIN HOHENBERG CLAIRE</v>
      </c>
      <c r="AD1625" s="38"/>
      <c r="AE1625" s="39"/>
      <c r="AF1625" s="40"/>
      <c r="AG1625" s="41"/>
      <c r="AH1625" s="32" t="s">
        <v>179</v>
      </c>
      <c r="AI1625" s="32"/>
      <c r="AL1625" s="32"/>
      <c r="AM1625" s="32"/>
      <c r="AN1625" s="32"/>
      <c r="AO1625" s="32"/>
      <c r="AP1625" s="32"/>
      <c r="AQ1625" s="32"/>
      <c r="AR1625" s="32"/>
      <c r="AS1625" s="32"/>
      <c r="AT1625" s="32"/>
      <c r="AU1625" s="32"/>
      <c r="XEY1625" s="27"/>
      <c r="XEZ1625" s="27"/>
      <c r="XFA1625" s="27"/>
      <c r="XFB1625" s="27"/>
      <c r="XFC1625" s="27"/>
      <c r="XFD1625" s="27"/>
    </row>
    <row r="1626" s="42" customFormat="true" ht="14.15" hidden="false" customHeight="true" outlineLevel="0" collapsed="false">
      <c r="A1626" s="28" t="s">
        <v>9168</v>
      </c>
      <c r="B1626" s="29" t="s">
        <v>2794</v>
      </c>
      <c r="C1626" s="29" t="s">
        <v>9169</v>
      </c>
      <c r="D1626" s="30" t="s">
        <v>244</v>
      </c>
      <c r="E1626" s="30" t="s">
        <v>245</v>
      </c>
      <c r="F1626" s="32" t="n">
        <v>45</v>
      </c>
      <c r="G1626" s="31"/>
      <c r="H1626" s="31" t="n">
        <v>1</v>
      </c>
      <c r="I1626" s="31" t="s">
        <v>51</v>
      </c>
      <c r="J1626" s="29" t="s">
        <v>52</v>
      </c>
      <c r="K1626" s="29" t="s">
        <v>53</v>
      </c>
      <c r="L1626" s="32" t="n">
        <v>149</v>
      </c>
      <c r="M1626" s="33" t="s">
        <v>54</v>
      </c>
      <c r="N1626" s="34" t="n">
        <v>75015</v>
      </c>
      <c r="O1626" s="35" t="s">
        <v>55</v>
      </c>
      <c r="P1626" s="36" t="s">
        <v>4554</v>
      </c>
      <c r="Q1626" s="36" t="n">
        <v>236</v>
      </c>
      <c r="R1626" s="32" t="n">
        <v>57</v>
      </c>
      <c r="S1626" s="32" t="n">
        <v>1</v>
      </c>
      <c r="T1626" s="32"/>
      <c r="U1626" s="32"/>
      <c r="V1626" s="37"/>
      <c r="W1626" s="32"/>
      <c r="X1626" s="34"/>
      <c r="Y1626" s="34"/>
      <c r="Z1626" s="36"/>
      <c r="AA1626" s="32" t="s">
        <v>9170</v>
      </c>
      <c r="AB1626" s="32"/>
      <c r="AC1626" s="38" t="str">
        <f aca="false">HYPERLINK("https://biocodex6--c.vf.force.com/0014L00000KFk47QAD", "COLMANT D ARMAGNAC CLAIRE")</f>
        <v>COLMANT D ARMAGNAC CLAIRE</v>
      </c>
      <c r="AD1626" s="38"/>
      <c r="AE1626" s="39"/>
      <c r="AF1626" s="40"/>
      <c r="AG1626" s="41"/>
      <c r="AH1626" s="32" t="s">
        <v>179</v>
      </c>
      <c r="AI1626" s="32"/>
      <c r="AL1626" s="32"/>
      <c r="AM1626" s="32"/>
      <c r="AN1626" s="32"/>
      <c r="AO1626" s="32"/>
      <c r="AP1626" s="32"/>
      <c r="AQ1626" s="32"/>
      <c r="AR1626" s="32"/>
      <c r="AS1626" s="32"/>
      <c r="AT1626" s="32"/>
      <c r="AU1626" s="32"/>
      <c r="XEY1626" s="27"/>
      <c r="XEZ1626" s="27"/>
      <c r="XFA1626" s="27"/>
      <c r="XFB1626" s="27"/>
      <c r="XFC1626" s="27"/>
      <c r="XFD1626" s="27"/>
    </row>
    <row r="1627" s="42" customFormat="true" ht="14.15" hidden="false" customHeight="true" outlineLevel="0" collapsed="false">
      <c r="A1627" s="28" t="s">
        <v>7887</v>
      </c>
      <c r="B1627" s="29" t="s">
        <v>182</v>
      </c>
      <c r="C1627" s="29" t="s">
        <v>9171</v>
      </c>
      <c r="D1627" s="30" t="s">
        <v>244</v>
      </c>
      <c r="E1627" s="30" t="s">
        <v>245</v>
      </c>
      <c r="F1627" s="32" t="n">
        <v>47</v>
      </c>
      <c r="G1627" s="31" t="s">
        <v>215</v>
      </c>
      <c r="H1627" s="31" t="n">
        <v>1</v>
      </c>
      <c r="I1627" s="31" t="s">
        <v>51</v>
      </c>
      <c r="J1627" s="29" t="s">
        <v>52</v>
      </c>
      <c r="K1627" s="29" t="s">
        <v>53</v>
      </c>
      <c r="L1627" s="32" t="n">
        <v>149</v>
      </c>
      <c r="M1627" s="33" t="s">
        <v>54</v>
      </c>
      <c r="N1627" s="34" t="n">
        <v>75015</v>
      </c>
      <c r="O1627" s="35" t="s">
        <v>55</v>
      </c>
      <c r="P1627" s="36" t="s">
        <v>9172</v>
      </c>
      <c r="Q1627" s="36" t="n">
        <v>236</v>
      </c>
      <c r="R1627" s="32" t="n">
        <v>57</v>
      </c>
      <c r="S1627" s="32" t="n">
        <v>1</v>
      </c>
      <c r="T1627" s="32"/>
      <c r="U1627" s="32"/>
      <c r="V1627" s="37"/>
      <c r="W1627" s="32"/>
      <c r="X1627" s="34"/>
      <c r="Y1627" s="34"/>
      <c r="Z1627" s="36"/>
      <c r="AA1627" s="32" t="s">
        <v>9173</v>
      </c>
      <c r="AB1627" s="32" t="s">
        <v>9174</v>
      </c>
      <c r="AC1627" s="38" t="str">
        <f aca="false">HYPERLINK("https://biocodex6--c.vf.force.com/0014L00000KG1YWQA1", "SALOMON LAURENT")</f>
        <v>SALOMON LAURENT</v>
      </c>
      <c r="AD1627" s="38" t="str">
        <f aca="false">HYPERLINK("https://annuairesante.ameli.fr/professionnels-de-sante/recherche/fiche-detaillee-B7c1mzY0ODK7.html", "SALOMON LAURENT")</f>
        <v>SALOMON LAURENT</v>
      </c>
      <c r="AE1627" s="39"/>
      <c r="AF1627" s="40"/>
      <c r="AG1627" s="41"/>
      <c r="AH1627" s="32" t="s">
        <v>179</v>
      </c>
      <c r="AI1627" s="32"/>
      <c r="AL1627" s="32"/>
      <c r="AM1627" s="32"/>
      <c r="AN1627" s="32"/>
      <c r="AO1627" s="32"/>
      <c r="AP1627" s="32"/>
      <c r="AQ1627" s="32"/>
      <c r="AR1627" s="32"/>
      <c r="AS1627" s="32"/>
      <c r="AT1627" s="32"/>
      <c r="AU1627" s="32"/>
      <c r="XEY1627" s="27"/>
      <c r="XEZ1627" s="27"/>
      <c r="XFA1627" s="27"/>
      <c r="XFB1627" s="27"/>
      <c r="XFC1627" s="27"/>
      <c r="XFD1627" s="27"/>
    </row>
    <row r="1628" s="42" customFormat="true" ht="14.15" hidden="false" customHeight="true" outlineLevel="0" collapsed="false">
      <c r="A1628" s="28" t="s">
        <v>9175</v>
      </c>
      <c r="B1628" s="29" t="s">
        <v>3346</v>
      </c>
      <c r="C1628" s="29" t="s">
        <v>9176</v>
      </c>
      <c r="D1628" s="30" t="s">
        <v>244</v>
      </c>
      <c r="E1628" s="30" t="s">
        <v>1602</v>
      </c>
      <c r="F1628" s="32" t="n">
        <v>45</v>
      </c>
      <c r="G1628" s="31" t="s">
        <v>215</v>
      </c>
      <c r="H1628" s="31" t="n">
        <v>1</v>
      </c>
      <c r="I1628" s="31" t="s">
        <v>51</v>
      </c>
      <c r="J1628" s="29" t="s">
        <v>52</v>
      </c>
      <c r="K1628" s="29" t="s">
        <v>53</v>
      </c>
      <c r="L1628" s="32" t="n">
        <v>149</v>
      </c>
      <c r="M1628" s="33" t="s">
        <v>54</v>
      </c>
      <c r="N1628" s="34" t="n">
        <v>75015</v>
      </c>
      <c r="O1628" s="35" t="s">
        <v>55</v>
      </c>
      <c r="P1628" s="36" t="s">
        <v>9177</v>
      </c>
      <c r="Q1628" s="36" t="n">
        <v>236</v>
      </c>
      <c r="R1628" s="32" t="n">
        <v>57</v>
      </c>
      <c r="S1628" s="32" t="n">
        <v>1</v>
      </c>
      <c r="T1628" s="32"/>
      <c r="U1628" s="32"/>
      <c r="V1628" s="37"/>
      <c r="W1628" s="32"/>
      <c r="X1628" s="34"/>
      <c r="Y1628" s="34"/>
      <c r="Z1628" s="36"/>
      <c r="AA1628" s="32" t="s">
        <v>9178</v>
      </c>
      <c r="AB1628" s="32" t="s">
        <v>9179</v>
      </c>
      <c r="AC1628" s="38" t="str">
        <f aca="false">HYPERLINK("https://biocodex6--c.vf.force.com/0014L00000KG2iGQAT", "STIRNEMANN JULIEN")</f>
        <v>STIRNEMANN JULIEN</v>
      </c>
      <c r="AD1628" s="38" t="str">
        <f aca="false">HYPERLINK("https://annuairesante.ameli.fr/professionnels-de-sante/recherche/fiche-detaillee-B7c1mzo4Nje6.html", "STIRNEMANN JULIEN")</f>
        <v>STIRNEMANN JULIEN</v>
      </c>
      <c r="AE1628" s="39"/>
      <c r="AF1628" s="40"/>
      <c r="AG1628" s="41"/>
      <c r="AH1628" s="32" t="s">
        <v>179</v>
      </c>
      <c r="AI1628" s="32"/>
      <c r="AL1628" s="32"/>
      <c r="AM1628" s="32"/>
      <c r="AN1628" s="32"/>
      <c r="AO1628" s="32"/>
      <c r="AP1628" s="32"/>
      <c r="AQ1628" s="32"/>
      <c r="AR1628" s="32"/>
      <c r="AS1628" s="32"/>
      <c r="AT1628" s="32"/>
      <c r="AU1628" s="32"/>
      <c r="XEY1628" s="27"/>
      <c r="XEZ1628" s="27"/>
      <c r="XFA1628" s="27"/>
      <c r="XFB1628" s="27"/>
      <c r="XFC1628" s="27"/>
      <c r="XFD1628" s="27"/>
    </row>
    <row r="1629" s="42" customFormat="true" ht="14.15" hidden="false" customHeight="true" outlineLevel="0" collapsed="false">
      <c r="A1629" s="28" t="s">
        <v>9180</v>
      </c>
      <c r="B1629" s="29" t="s">
        <v>5792</v>
      </c>
      <c r="C1629" s="29" t="s">
        <v>9181</v>
      </c>
      <c r="D1629" s="30" t="s">
        <v>244</v>
      </c>
      <c r="E1629" s="30" t="s">
        <v>245</v>
      </c>
      <c r="F1629" s="32" t="n">
        <v>64</v>
      </c>
      <c r="G1629" s="31" t="s">
        <v>215</v>
      </c>
      <c r="H1629" s="31" t="n">
        <v>1</v>
      </c>
      <c r="I1629" s="31" t="s">
        <v>51</v>
      </c>
      <c r="J1629" s="29" t="s">
        <v>52</v>
      </c>
      <c r="K1629" s="29" t="s">
        <v>53</v>
      </c>
      <c r="L1629" s="32" t="n">
        <v>149</v>
      </c>
      <c r="M1629" s="33" t="s">
        <v>54</v>
      </c>
      <c r="N1629" s="34" t="n">
        <v>75015</v>
      </c>
      <c r="O1629" s="35" t="s">
        <v>55</v>
      </c>
      <c r="P1629" s="36" t="s">
        <v>9172</v>
      </c>
      <c r="Q1629" s="36" t="n">
        <v>236</v>
      </c>
      <c r="R1629" s="32" t="n">
        <v>57</v>
      </c>
      <c r="S1629" s="32" t="n">
        <v>1</v>
      </c>
      <c r="T1629" s="32"/>
      <c r="U1629" s="32"/>
      <c r="V1629" s="37"/>
      <c r="W1629" s="32"/>
      <c r="X1629" s="34"/>
      <c r="Y1629" s="34"/>
      <c r="Z1629" s="36"/>
      <c r="AA1629" s="32" t="s">
        <v>9182</v>
      </c>
      <c r="AB1629" s="32" t="s">
        <v>9183</v>
      </c>
      <c r="AC1629" s="38" t="str">
        <f aca="false">HYPERLINK("https://biocodex6--c.vf.force.com/0014L00000KG6EEQA1", "VILLE YVES")</f>
        <v>VILLE YVES</v>
      </c>
      <c r="AD1629" s="38" t="str">
        <f aca="false">HYPERLINK("https://annuairesante.ameli.fr/professionnels-de-sante/recherche/fiche-detaillee-B7c1mzE5ODG6.html", "VILLE YVES")</f>
        <v>VILLE YVES</v>
      </c>
      <c r="AE1629" s="39"/>
      <c r="AF1629" s="40"/>
      <c r="AG1629" s="41"/>
      <c r="AH1629" s="32" t="s">
        <v>179</v>
      </c>
      <c r="AI1629" s="32"/>
      <c r="AL1629" s="32"/>
      <c r="AM1629" s="32"/>
      <c r="AN1629" s="32"/>
      <c r="AO1629" s="32"/>
      <c r="AP1629" s="32"/>
      <c r="AQ1629" s="32"/>
      <c r="AR1629" s="32"/>
      <c r="AS1629" s="32"/>
      <c r="AT1629" s="32"/>
      <c r="AU1629" s="32"/>
      <c r="XEY1629" s="27"/>
      <c r="XEZ1629" s="27"/>
      <c r="XFA1629" s="27"/>
      <c r="XFB1629" s="27"/>
      <c r="XFC1629" s="27"/>
      <c r="XFD1629" s="27"/>
    </row>
    <row r="1630" s="42" customFormat="true" ht="14.15" hidden="false" customHeight="true" outlineLevel="0" collapsed="false">
      <c r="A1630" s="28" t="s">
        <v>9184</v>
      </c>
      <c r="B1630" s="29" t="s">
        <v>9185</v>
      </c>
      <c r="C1630" s="29" t="s">
        <v>9186</v>
      </c>
      <c r="D1630" s="30" t="s">
        <v>172</v>
      </c>
      <c r="E1630" s="31"/>
      <c r="F1630" s="32" t="n">
        <v>68</v>
      </c>
      <c r="G1630" s="31"/>
      <c r="H1630" s="31" t="n">
        <v>1</v>
      </c>
      <c r="I1630" s="31" t="s">
        <v>62</v>
      </c>
      <c r="J1630" s="29"/>
      <c r="K1630" s="29" t="s">
        <v>9187</v>
      </c>
      <c r="L1630" s="32" t="n">
        <v>4</v>
      </c>
      <c r="M1630" s="33" t="s">
        <v>2830</v>
      </c>
      <c r="N1630" s="34" t="n">
        <v>75017</v>
      </c>
      <c r="O1630" s="35" t="s">
        <v>55</v>
      </c>
      <c r="P1630" s="36" t="s">
        <v>9188</v>
      </c>
      <c r="Q1630" s="36" t="n">
        <v>1</v>
      </c>
      <c r="R1630" s="32" t="n">
        <v>57</v>
      </c>
      <c r="S1630" s="32" t="n">
        <v>1</v>
      </c>
      <c r="T1630" s="43" t="s">
        <v>1107</v>
      </c>
      <c r="U1630" s="32" t="n">
        <v>3</v>
      </c>
      <c r="V1630" s="37"/>
      <c r="W1630" s="32"/>
      <c r="X1630" s="34"/>
      <c r="Y1630" s="34"/>
      <c r="Z1630" s="36"/>
      <c r="AA1630" s="32" t="s">
        <v>9189</v>
      </c>
      <c r="AB1630" s="32"/>
      <c r="AC1630" s="38" t="str">
        <f aca="false">HYPERLINK("https://biocodex6--c.vf.force.com/0014L00000KFtqGQAT", "NORTIER ERIK")</f>
        <v>NORTIER ERIK</v>
      </c>
      <c r="AD1630" s="38"/>
      <c r="AE1630" s="39"/>
      <c r="AF1630" s="40"/>
      <c r="AG1630" s="41"/>
      <c r="AH1630" s="32" t="s">
        <v>179</v>
      </c>
      <c r="AI1630" s="32"/>
      <c r="AL1630" s="32"/>
      <c r="AM1630" s="32"/>
      <c r="AN1630" s="32"/>
      <c r="AO1630" s="32"/>
      <c r="AP1630" s="32"/>
      <c r="AQ1630" s="32"/>
      <c r="AR1630" s="32"/>
      <c r="AS1630" s="32"/>
      <c r="AT1630" s="32"/>
      <c r="AU1630" s="32"/>
      <c r="XEY1630" s="27"/>
      <c r="XEZ1630" s="27"/>
      <c r="XFA1630" s="27"/>
      <c r="XFB1630" s="27"/>
      <c r="XFC1630" s="27"/>
      <c r="XFD1630" s="27"/>
    </row>
    <row r="1631" s="42" customFormat="true" ht="14.15" hidden="false" customHeight="true" outlineLevel="0" collapsed="false">
      <c r="A1631" s="28" t="s">
        <v>9190</v>
      </c>
      <c r="B1631" s="29" t="s">
        <v>958</v>
      </c>
      <c r="C1631" s="29" t="s">
        <v>9191</v>
      </c>
      <c r="D1631" s="30" t="s">
        <v>172</v>
      </c>
      <c r="E1631" s="30" t="s">
        <v>818</v>
      </c>
      <c r="F1631" s="32" t="n">
        <v>73</v>
      </c>
      <c r="G1631" s="31"/>
      <c r="H1631" s="31" t="n">
        <v>1</v>
      </c>
      <c r="I1631" s="31" t="s">
        <v>197</v>
      </c>
      <c r="J1631" s="29"/>
      <c r="K1631" s="29" t="s">
        <v>9192</v>
      </c>
      <c r="L1631" s="32" t="n">
        <v>26</v>
      </c>
      <c r="M1631" s="33" t="s">
        <v>9193</v>
      </c>
      <c r="N1631" s="34" t="n">
        <v>75017</v>
      </c>
      <c r="O1631" s="35" t="s">
        <v>55</v>
      </c>
      <c r="P1631" s="36" t="s">
        <v>9194</v>
      </c>
      <c r="Q1631" s="36" t="n">
        <v>2</v>
      </c>
      <c r="R1631" s="32" t="n">
        <v>57</v>
      </c>
      <c r="S1631" s="32" t="n">
        <v>1</v>
      </c>
      <c r="T1631" s="43" t="s">
        <v>316</v>
      </c>
      <c r="U1631" s="32"/>
      <c r="V1631" s="37"/>
      <c r="W1631" s="32"/>
      <c r="X1631" s="34"/>
      <c r="Y1631" s="34"/>
      <c r="Z1631" s="36"/>
      <c r="AA1631" s="32" t="s">
        <v>9195</v>
      </c>
      <c r="AB1631" s="32"/>
      <c r="AC1631" s="38" t="str">
        <f aca="false">HYPERLINK("https://biocodex6--c.vf.force.com/0014L00000KFy94QAD", "RENNESSON PATRICK")</f>
        <v>RENNESSON PATRICK</v>
      </c>
      <c r="AD1631" s="38"/>
      <c r="AE1631" s="39"/>
      <c r="AF1631" s="40"/>
      <c r="AG1631" s="41"/>
      <c r="AH1631" s="32" t="s">
        <v>179</v>
      </c>
      <c r="AI1631" s="32"/>
      <c r="AL1631" s="32"/>
      <c r="AM1631" s="32"/>
      <c r="AN1631" s="32"/>
      <c r="AO1631" s="32"/>
      <c r="AP1631" s="32"/>
      <c r="AQ1631" s="32"/>
      <c r="AR1631" s="32"/>
      <c r="AS1631" s="32"/>
      <c r="AT1631" s="32"/>
      <c r="AU1631" s="32"/>
      <c r="XEY1631" s="27"/>
      <c r="XEZ1631" s="27"/>
      <c r="XFA1631" s="27"/>
      <c r="XFB1631" s="27"/>
      <c r="XFC1631" s="27"/>
      <c r="XFD1631" s="27"/>
    </row>
    <row r="1632" s="42" customFormat="true" ht="14.15" hidden="false" customHeight="true" outlineLevel="0" collapsed="false">
      <c r="A1632" s="28" t="s">
        <v>9196</v>
      </c>
      <c r="B1632" s="29" t="s">
        <v>2794</v>
      </c>
      <c r="C1632" s="29" t="s">
        <v>9197</v>
      </c>
      <c r="D1632" s="30" t="s">
        <v>172</v>
      </c>
      <c r="E1632" s="31"/>
      <c r="F1632" s="32" t="n">
        <v>62</v>
      </c>
      <c r="G1632" s="31"/>
      <c r="H1632" s="31" t="n">
        <v>1</v>
      </c>
      <c r="I1632" s="31" t="s">
        <v>173</v>
      </c>
      <c r="J1632" s="29"/>
      <c r="K1632" s="29" t="s">
        <v>9026</v>
      </c>
      <c r="L1632" s="32" t="n">
        <v>5</v>
      </c>
      <c r="M1632" s="33" t="s">
        <v>9027</v>
      </c>
      <c r="N1632" s="34" t="n">
        <v>75016</v>
      </c>
      <c r="O1632" s="35" t="s">
        <v>55</v>
      </c>
      <c r="P1632" s="36" t="s">
        <v>9028</v>
      </c>
      <c r="Q1632" s="36" t="n">
        <v>3</v>
      </c>
      <c r="R1632" s="32" t="n">
        <v>57</v>
      </c>
      <c r="S1632" s="32" t="n">
        <v>1</v>
      </c>
      <c r="T1632" s="43" t="s">
        <v>316</v>
      </c>
      <c r="U1632" s="32"/>
      <c r="V1632" s="37"/>
      <c r="W1632" s="32"/>
      <c r="X1632" s="34"/>
      <c r="Y1632" s="34"/>
      <c r="Z1632" s="36"/>
      <c r="AA1632" s="32" t="s">
        <v>9198</v>
      </c>
      <c r="AB1632" s="32"/>
      <c r="AC1632" s="38" t="str">
        <f aca="false">HYPERLINK("https://biocodex6--c.vf.force.com/0014L00000KFOJIQA5", "ABUSUBUL CLAIRE")</f>
        <v>ABUSUBUL CLAIRE</v>
      </c>
      <c r="AD1632" s="38"/>
      <c r="AE1632" s="39"/>
      <c r="AF1632" s="40"/>
      <c r="AG1632" s="41"/>
      <c r="AH1632" s="32" t="s">
        <v>179</v>
      </c>
      <c r="AI1632" s="32"/>
      <c r="AL1632" s="32"/>
      <c r="AM1632" s="32"/>
      <c r="AN1632" s="32"/>
      <c r="AO1632" s="32"/>
      <c r="AP1632" s="32"/>
      <c r="AQ1632" s="32"/>
      <c r="AR1632" s="32"/>
      <c r="AS1632" s="32"/>
      <c r="AT1632" s="32"/>
      <c r="AU1632" s="32"/>
      <c r="XEY1632" s="27"/>
      <c r="XEZ1632" s="27"/>
      <c r="XFA1632" s="27"/>
      <c r="XFB1632" s="27"/>
      <c r="XFC1632" s="27"/>
      <c r="XFD1632" s="27"/>
    </row>
    <row r="1633" s="42" customFormat="true" ht="14.15" hidden="false" customHeight="true" outlineLevel="0" collapsed="false">
      <c r="A1633" s="28" t="s">
        <v>9199</v>
      </c>
      <c r="B1633" s="29" t="s">
        <v>4285</v>
      </c>
      <c r="C1633" s="29" t="s">
        <v>9200</v>
      </c>
      <c r="D1633" s="30" t="s">
        <v>112</v>
      </c>
      <c r="E1633" s="31"/>
      <c r="F1633" s="32" t="n">
        <v>41</v>
      </c>
      <c r="G1633" s="31"/>
      <c r="H1633" s="31" t="n">
        <v>2</v>
      </c>
      <c r="I1633" s="31" t="s">
        <v>77</v>
      </c>
      <c r="J1633" s="29"/>
      <c r="K1633" s="29" t="s">
        <v>4825</v>
      </c>
      <c r="L1633" s="32" t="n">
        <v>41</v>
      </c>
      <c r="M1633" s="33" t="s">
        <v>4826</v>
      </c>
      <c r="N1633" s="34" t="n">
        <v>92200</v>
      </c>
      <c r="O1633" s="35" t="s">
        <v>81</v>
      </c>
      <c r="P1633" s="36" t="s">
        <v>4827</v>
      </c>
      <c r="Q1633" s="36" t="n">
        <v>2</v>
      </c>
      <c r="R1633" s="32" t="n">
        <v>57</v>
      </c>
      <c r="S1633" s="32" t="n">
        <v>1</v>
      </c>
      <c r="T1633" s="32"/>
      <c r="U1633" s="32"/>
      <c r="V1633" s="37"/>
      <c r="W1633" s="32"/>
      <c r="X1633" s="34"/>
      <c r="Y1633" s="34"/>
      <c r="Z1633" s="36"/>
      <c r="AA1633" s="32" t="s">
        <v>9201</v>
      </c>
      <c r="AB1633" s="32"/>
      <c r="AC1633" s="38" t="str">
        <f aca="false">HYPERLINK("https://biocodex6--c.vf.force.com/0014L00000KFdHsQAL", "FABRE TESTE JENNIFER")</f>
        <v>FABRE TESTE JENNIFER</v>
      </c>
      <c r="AD1633" s="38"/>
      <c r="AE1633" s="39"/>
      <c r="AF1633" s="40"/>
      <c r="AG1633" s="41"/>
      <c r="AH1633" s="32" t="s">
        <v>179</v>
      </c>
      <c r="AI1633" s="32"/>
      <c r="AL1633" s="32"/>
      <c r="AM1633" s="32"/>
      <c r="AN1633" s="32"/>
      <c r="AO1633" s="32"/>
      <c r="AP1633" s="32"/>
      <c r="AQ1633" s="32"/>
      <c r="AR1633" s="32"/>
      <c r="AS1633" s="32"/>
      <c r="AT1633" s="32"/>
      <c r="AU1633" s="32"/>
      <c r="XEY1633" s="27"/>
      <c r="XEZ1633" s="27"/>
      <c r="XFA1633" s="27"/>
      <c r="XFB1633" s="27"/>
      <c r="XFC1633" s="27"/>
      <c r="XFD1633" s="27"/>
    </row>
    <row r="1634" s="42" customFormat="true" ht="14.15" hidden="false" customHeight="true" outlineLevel="0" collapsed="false">
      <c r="A1634" s="28" t="s">
        <v>9202</v>
      </c>
      <c r="B1634" s="29" t="s">
        <v>9203</v>
      </c>
      <c r="C1634" s="29" t="s">
        <v>9204</v>
      </c>
      <c r="D1634" s="30" t="s">
        <v>172</v>
      </c>
      <c r="E1634" s="31"/>
      <c r="F1634" s="32" t="n">
        <v>62</v>
      </c>
      <c r="G1634" s="31"/>
      <c r="H1634" s="31" t="n">
        <v>2</v>
      </c>
      <c r="I1634" s="31" t="s">
        <v>572</v>
      </c>
      <c r="J1634" s="29"/>
      <c r="K1634" s="29" t="s">
        <v>9205</v>
      </c>
      <c r="L1634" s="32" t="n">
        <v>6</v>
      </c>
      <c r="M1634" s="33" t="s">
        <v>5665</v>
      </c>
      <c r="N1634" s="34" t="n">
        <v>75008</v>
      </c>
      <c r="O1634" s="35" t="s">
        <v>55</v>
      </c>
      <c r="P1634" s="36" t="s">
        <v>9206</v>
      </c>
      <c r="Q1634" s="36" t="n">
        <v>1</v>
      </c>
      <c r="R1634" s="32" t="n">
        <v>56</v>
      </c>
      <c r="S1634" s="32" t="n">
        <v>1</v>
      </c>
      <c r="T1634" s="43" t="s">
        <v>316</v>
      </c>
      <c r="U1634" s="32"/>
      <c r="V1634" s="37"/>
      <c r="W1634" s="32"/>
      <c r="X1634" s="34"/>
      <c r="Y1634" s="34"/>
      <c r="Z1634" s="36"/>
      <c r="AA1634" s="32" t="s">
        <v>9207</v>
      </c>
      <c r="AB1634" s="32"/>
      <c r="AC1634" s="38" t="str">
        <f aca="false">HYPERLINK("https://biocodex6--c.vf.force.com/0014L00000KFZ2fQAH", "DE BRIONNE MARIE HELENE")</f>
        <v>DE BRIONNE MARIE HELENE</v>
      </c>
      <c r="AD1634" s="38"/>
      <c r="AE1634" s="39"/>
      <c r="AF1634" s="40"/>
      <c r="AG1634" s="41"/>
      <c r="AH1634" s="32" t="s">
        <v>179</v>
      </c>
      <c r="AI1634" s="32"/>
      <c r="AL1634" s="32"/>
      <c r="AM1634" s="32"/>
      <c r="AN1634" s="32"/>
      <c r="AO1634" s="32"/>
      <c r="AP1634" s="32"/>
      <c r="AQ1634" s="32"/>
      <c r="AR1634" s="32"/>
      <c r="AS1634" s="32"/>
      <c r="AT1634" s="32"/>
      <c r="AU1634" s="32"/>
      <c r="XEY1634" s="27"/>
      <c r="XEZ1634" s="27"/>
      <c r="XFA1634" s="27"/>
      <c r="XFB1634" s="27"/>
      <c r="XFC1634" s="27"/>
      <c r="XFD1634" s="27"/>
    </row>
    <row r="1635" s="42" customFormat="true" ht="14.15" hidden="false" customHeight="true" outlineLevel="0" collapsed="false">
      <c r="A1635" s="28" t="s">
        <v>9208</v>
      </c>
      <c r="B1635" s="29" t="s">
        <v>9209</v>
      </c>
      <c r="C1635" s="29" t="s">
        <v>9210</v>
      </c>
      <c r="D1635" s="30" t="s">
        <v>172</v>
      </c>
      <c r="E1635" s="31"/>
      <c r="F1635" s="32" t="n">
        <v>52</v>
      </c>
      <c r="G1635" s="31"/>
      <c r="H1635" s="31" t="n">
        <v>2</v>
      </c>
      <c r="I1635" s="31" t="s">
        <v>119</v>
      </c>
      <c r="J1635" s="29"/>
      <c r="K1635" s="29" t="s">
        <v>9211</v>
      </c>
      <c r="L1635" s="32" t="n">
        <v>209</v>
      </c>
      <c r="M1635" s="33" t="s">
        <v>3450</v>
      </c>
      <c r="N1635" s="34" t="n">
        <v>75007</v>
      </c>
      <c r="O1635" s="35" t="s">
        <v>55</v>
      </c>
      <c r="P1635" s="36"/>
      <c r="Q1635" s="36" t="n">
        <v>1</v>
      </c>
      <c r="R1635" s="32" t="n">
        <v>56</v>
      </c>
      <c r="S1635" s="32" t="n">
        <v>1</v>
      </c>
      <c r="T1635" s="43" t="s">
        <v>316</v>
      </c>
      <c r="U1635" s="32"/>
      <c r="V1635" s="37"/>
      <c r="W1635" s="32"/>
      <c r="X1635" s="34"/>
      <c r="Y1635" s="34"/>
      <c r="Z1635" s="36"/>
      <c r="AA1635" s="32" t="s">
        <v>9212</v>
      </c>
      <c r="AB1635" s="32"/>
      <c r="AC1635" s="38" t="str">
        <f aca="false">HYPERLINK("https://biocodex6--c.vf.force.com/0014L00000KG3kpQAD", "TAVASSOLI LADANE")</f>
        <v>TAVASSOLI LADANE</v>
      </c>
      <c r="AD1635" s="38"/>
      <c r="AE1635" s="39"/>
      <c r="AF1635" s="40"/>
      <c r="AG1635" s="41"/>
      <c r="AH1635" s="32" t="s">
        <v>179</v>
      </c>
      <c r="AI1635" s="32"/>
      <c r="AL1635" s="32"/>
      <c r="AM1635" s="32"/>
      <c r="AN1635" s="32"/>
      <c r="AO1635" s="32"/>
      <c r="AP1635" s="32"/>
      <c r="AQ1635" s="32"/>
      <c r="AR1635" s="32"/>
      <c r="AS1635" s="32"/>
      <c r="AT1635" s="32"/>
      <c r="AU1635" s="32"/>
      <c r="XEY1635" s="27"/>
      <c r="XEZ1635" s="27"/>
      <c r="XFA1635" s="27"/>
      <c r="XFB1635" s="27"/>
      <c r="XFC1635" s="27"/>
      <c r="XFD1635" s="27"/>
    </row>
    <row r="1636" s="42" customFormat="true" ht="14.15" hidden="false" customHeight="true" outlineLevel="0" collapsed="false">
      <c r="A1636" s="28" t="s">
        <v>9213</v>
      </c>
      <c r="B1636" s="29" t="s">
        <v>9214</v>
      </c>
      <c r="C1636" s="29" t="s">
        <v>9215</v>
      </c>
      <c r="D1636" s="30" t="s">
        <v>172</v>
      </c>
      <c r="E1636" s="31"/>
      <c r="F1636" s="32" t="n">
        <v>72</v>
      </c>
      <c r="G1636" s="31"/>
      <c r="H1636" s="31" t="n">
        <v>1</v>
      </c>
      <c r="I1636" s="31" t="s">
        <v>435</v>
      </c>
      <c r="J1636" s="29"/>
      <c r="K1636" s="29" t="s">
        <v>9051</v>
      </c>
      <c r="L1636" s="32" t="n">
        <v>60</v>
      </c>
      <c r="M1636" s="33" t="s">
        <v>8638</v>
      </c>
      <c r="N1636" s="34" t="n">
        <v>75016</v>
      </c>
      <c r="O1636" s="35" t="s">
        <v>55</v>
      </c>
      <c r="P1636" s="36"/>
      <c r="Q1636" s="36" t="n">
        <v>2</v>
      </c>
      <c r="R1636" s="32" t="n">
        <v>56</v>
      </c>
      <c r="S1636" s="32" t="n">
        <v>1</v>
      </c>
      <c r="T1636" s="43" t="s">
        <v>316</v>
      </c>
      <c r="U1636" s="32"/>
      <c r="V1636" s="37"/>
      <c r="W1636" s="32"/>
      <c r="X1636" s="34"/>
      <c r="Y1636" s="34"/>
      <c r="Z1636" s="36"/>
      <c r="AA1636" s="32" t="s">
        <v>9216</v>
      </c>
      <c r="AB1636" s="32"/>
      <c r="AC1636" s="38" t="str">
        <f aca="false">HYPERLINK("https://biocodex6--c.vf.force.com/0014L00000KFZQaQAP", "DEBESSE ISMAT")</f>
        <v>DEBESSE ISMAT</v>
      </c>
      <c r="AD1636" s="38"/>
      <c r="AE1636" s="39"/>
      <c r="AF1636" s="40"/>
      <c r="AG1636" s="41"/>
      <c r="AH1636" s="32" t="s">
        <v>179</v>
      </c>
      <c r="AI1636" s="32"/>
      <c r="AL1636" s="32"/>
      <c r="AM1636" s="32"/>
      <c r="AN1636" s="32"/>
      <c r="AO1636" s="32"/>
      <c r="AP1636" s="32"/>
      <c r="AQ1636" s="32"/>
      <c r="AR1636" s="32"/>
      <c r="AS1636" s="32"/>
      <c r="AT1636" s="32"/>
      <c r="AU1636" s="32"/>
      <c r="XEY1636" s="27"/>
      <c r="XEZ1636" s="27"/>
      <c r="XFA1636" s="27"/>
      <c r="XFB1636" s="27"/>
      <c r="XFC1636" s="27"/>
      <c r="XFD1636" s="27"/>
    </row>
    <row r="1637" s="42" customFormat="true" ht="14.15" hidden="false" customHeight="true" outlineLevel="0" collapsed="false">
      <c r="A1637" s="28" t="s">
        <v>9217</v>
      </c>
      <c r="B1637" s="29" t="s">
        <v>868</v>
      </c>
      <c r="C1637" s="29" t="s">
        <v>9218</v>
      </c>
      <c r="D1637" s="30" t="s">
        <v>172</v>
      </c>
      <c r="E1637" s="31"/>
      <c r="F1637" s="32" t="n">
        <v>69</v>
      </c>
      <c r="G1637" s="31"/>
      <c r="H1637" s="31" t="n">
        <v>1</v>
      </c>
      <c r="I1637" s="31" t="s">
        <v>173</v>
      </c>
      <c r="J1637" s="29"/>
      <c r="K1637" s="29" t="s">
        <v>9219</v>
      </c>
      <c r="L1637" s="32" t="n">
        <v>36</v>
      </c>
      <c r="M1637" s="33" t="s">
        <v>9220</v>
      </c>
      <c r="N1637" s="34" t="n">
        <v>75016</v>
      </c>
      <c r="O1637" s="35" t="s">
        <v>55</v>
      </c>
      <c r="P1637" s="36" t="s">
        <v>9221</v>
      </c>
      <c r="Q1637" s="36" t="n">
        <v>2</v>
      </c>
      <c r="R1637" s="32" t="n">
        <v>56</v>
      </c>
      <c r="S1637" s="32" t="n">
        <v>1</v>
      </c>
      <c r="T1637" s="43" t="s">
        <v>177</v>
      </c>
      <c r="U1637" s="32"/>
      <c r="V1637" s="37" t="n">
        <v>3</v>
      </c>
      <c r="W1637" s="32"/>
      <c r="X1637" s="34"/>
      <c r="Y1637" s="34"/>
      <c r="Z1637" s="36"/>
      <c r="AA1637" s="32" t="s">
        <v>9222</v>
      </c>
      <c r="AB1637" s="32"/>
      <c r="AC1637" s="38" t="str">
        <f aca="false">HYPERLINK("https://biocodex6--c.vf.force.com/0014L00000KFW6XQAX", "CHAPPE GEORGES")</f>
        <v>CHAPPE GEORGES</v>
      </c>
      <c r="AD1637" s="38"/>
      <c r="AE1637" s="39"/>
      <c r="AF1637" s="40"/>
      <c r="AG1637" s="41"/>
      <c r="AH1637" s="32" t="s">
        <v>179</v>
      </c>
      <c r="AI1637" s="32"/>
      <c r="AL1637" s="32"/>
      <c r="AM1637" s="32"/>
      <c r="AN1637" s="32"/>
      <c r="AO1637" s="32"/>
      <c r="AP1637" s="32"/>
      <c r="AQ1637" s="32"/>
      <c r="AR1637" s="32"/>
      <c r="AS1637" s="32"/>
      <c r="AT1637" s="32"/>
      <c r="AU1637" s="32"/>
      <c r="XEY1637" s="27"/>
      <c r="XEZ1637" s="27"/>
      <c r="XFA1637" s="27"/>
      <c r="XFB1637" s="27"/>
      <c r="XFC1637" s="27"/>
      <c r="XFD1637" s="27"/>
    </row>
    <row r="1638" s="42" customFormat="true" ht="14.15" hidden="false" customHeight="true" outlineLevel="0" collapsed="false">
      <c r="A1638" s="28" t="s">
        <v>9223</v>
      </c>
      <c r="B1638" s="29" t="s">
        <v>1174</v>
      </c>
      <c r="C1638" s="29" t="s">
        <v>9224</v>
      </c>
      <c r="D1638" s="30" t="s">
        <v>172</v>
      </c>
      <c r="E1638" s="30" t="s">
        <v>818</v>
      </c>
      <c r="F1638" s="32" t="n">
        <v>73</v>
      </c>
      <c r="G1638" s="31"/>
      <c r="H1638" s="31" t="n">
        <v>2</v>
      </c>
      <c r="I1638" s="31" t="s">
        <v>51</v>
      </c>
      <c r="J1638" s="29" t="s">
        <v>3812</v>
      </c>
      <c r="K1638" s="29" t="s">
        <v>3813</v>
      </c>
      <c r="L1638" s="32" t="n">
        <v>17</v>
      </c>
      <c r="M1638" s="33" t="s">
        <v>3814</v>
      </c>
      <c r="N1638" s="34" t="n">
        <v>75015</v>
      </c>
      <c r="O1638" s="35" t="s">
        <v>55</v>
      </c>
      <c r="P1638" s="36" t="s">
        <v>7162</v>
      </c>
      <c r="Q1638" s="36" t="n">
        <v>5</v>
      </c>
      <c r="R1638" s="32" t="n">
        <v>55</v>
      </c>
      <c r="S1638" s="32" t="n">
        <v>1</v>
      </c>
      <c r="T1638" s="43" t="s">
        <v>316</v>
      </c>
      <c r="U1638" s="32"/>
      <c r="V1638" s="37"/>
      <c r="W1638" s="32"/>
      <c r="X1638" s="34"/>
      <c r="Y1638" s="34"/>
      <c r="Z1638" s="36"/>
      <c r="AA1638" s="32" t="s">
        <v>9225</v>
      </c>
      <c r="AB1638" s="32"/>
      <c r="AC1638" s="38" t="str">
        <f aca="false">HYPERLINK("https://biocodex6--c.vf.force.com/0014L00000KFRPZQA5", "BALETTE MARTINE")</f>
        <v>BALETTE MARTINE</v>
      </c>
      <c r="AD1638" s="38"/>
      <c r="AE1638" s="39" t="n">
        <v>45264.4791666667</v>
      </c>
      <c r="AF1638" s="40"/>
      <c r="AG1638" s="41"/>
      <c r="AH1638" s="32" t="s">
        <v>179</v>
      </c>
      <c r="AI1638" s="32"/>
      <c r="AL1638" s="32"/>
      <c r="AM1638" s="32"/>
      <c r="AN1638" s="32"/>
      <c r="AO1638" s="32"/>
      <c r="AP1638" s="32"/>
      <c r="AQ1638" s="32"/>
      <c r="AR1638" s="32"/>
      <c r="AS1638" s="32"/>
      <c r="AT1638" s="32"/>
      <c r="AU1638" s="32"/>
      <c r="XEY1638" s="27"/>
      <c r="XEZ1638" s="27"/>
      <c r="XFA1638" s="27"/>
      <c r="XFB1638" s="27"/>
      <c r="XFC1638" s="27"/>
      <c r="XFD1638" s="27"/>
    </row>
    <row r="1639" s="42" customFormat="true" ht="14.15" hidden="false" customHeight="true" outlineLevel="0" collapsed="false">
      <c r="A1639" s="28" t="s">
        <v>376</v>
      </c>
      <c r="B1639" s="29" t="s">
        <v>709</v>
      </c>
      <c r="C1639" s="29" t="s">
        <v>9226</v>
      </c>
      <c r="D1639" s="30" t="s">
        <v>172</v>
      </c>
      <c r="E1639" s="31"/>
      <c r="F1639" s="32" t="n">
        <v>55</v>
      </c>
      <c r="G1639" s="31"/>
      <c r="H1639" s="31" t="n">
        <v>1</v>
      </c>
      <c r="I1639" s="31" t="s">
        <v>387</v>
      </c>
      <c r="J1639" s="29" t="s">
        <v>9227</v>
      </c>
      <c r="K1639" s="29" t="s">
        <v>9228</v>
      </c>
      <c r="L1639" s="32" t="n">
        <v>25</v>
      </c>
      <c r="M1639" s="33" t="s">
        <v>9229</v>
      </c>
      <c r="N1639" s="34" t="n">
        <v>75016</v>
      </c>
      <c r="O1639" s="35" t="s">
        <v>55</v>
      </c>
      <c r="P1639" s="36" t="s">
        <v>9230</v>
      </c>
      <c r="Q1639" s="36" t="n">
        <v>1</v>
      </c>
      <c r="R1639" s="32" t="n">
        <v>55</v>
      </c>
      <c r="S1639" s="32" t="n">
        <v>1</v>
      </c>
      <c r="T1639" s="43" t="s">
        <v>316</v>
      </c>
      <c r="U1639" s="32"/>
      <c r="V1639" s="37"/>
      <c r="W1639" s="32"/>
      <c r="X1639" s="34"/>
      <c r="Y1639" s="34" t="n">
        <v>1</v>
      </c>
      <c r="Z1639" s="36"/>
      <c r="AA1639" s="32" t="s">
        <v>9231</v>
      </c>
      <c r="AB1639" s="44"/>
      <c r="AC1639" s="38" t="str">
        <f aca="false">HYPERLINK("https://biocodex6--c.vf.force.com/0014L00000KFRNIQA5", "ALEXANDRE MARION")</f>
        <v>ALEXANDRE MARION</v>
      </c>
      <c r="AD1639" s="38"/>
      <c r="AE1639" s="39"/>
      <c r="AF1639" s="40"/>
      <c r="AG1639" s="41"/>
      <c r="AH1639" s="32" t="s">
        <v>179</v>
      </c>
      <c r="AI1639" s="32"/>
      <c r="AL1639" s="32"/>
      <c r="AM1639" s="32"/>
      <c r="AN1639" s="32"/>
      <c r="AO1639" s="32"/>
      <c r="AP1639" s="32"/>
      <c r="AQ1639" s="32"/>
      <c r="AR1639" s="32"/>
      <c r="AS1639" s="32"/>
      <c r="AT1639" s="32"/>
      <c r="AU1639" s="32"/>
      <c r="XEY1639" s="27"/>
      <c r="XEZ1639" s="27"/>
      <c r="XFA1639" s="27"/>
      <c r="XFB1639" s="27"/>
      <c r="XFC1639" s="27"/>
      <c r="XFD1639" s="27"/>
    </row>
    <row r="1640" s="42" customFormat="true" ht="14.15" hidden="false" customHeight="true" outlineLevel="0" collapsed="false">
      <c r="A1640" s="28" t="s">
        <v>9232</v>
      </c>
      <c r="B1640" s="29" t="s">
        <v>495</v>
      </c>
      <c r="C1640" s="29" t="s">
        <v>9233</v>
      </c>
      <c r="D1640" s="30" t="s">
        <v>172</v>
      </c>
      <c r="E1640" s="31"/>
      <c r="F1640" s="32" t="n">
        <v>61</v>
      </c>
      <c r="G1640" s="31"/>
      <c r="H1640" s="31" t="n">
        <v>1</v>
      </c>
      <c r="I1640" s="31" t="s">
        <v>572</v>
      </c>
      <c r="J1640" s="29"/>
      <c r="K1640" s="29" t="s">
        <v>9117</v>
      </c>
      <c r="L1640" s="32" t="n">
        <v>170</v>
      </c>
      <c r="M1640" s="33" t="s">
        <v>3334</v>
      </c>
      <c r="N1640" s="34" t="n">
        <v>75008</v>
      </c>
      <c r="O1640" s="35" t="s">
        <v>55</v>
      </c>
      <c r="P1640" s="36"/>
      <c r="Q1640" s="36" t="n">
        <v>3</v>
      </c>
      <c r="R1640" s="32" t="n">
        <v>55</v>
      </c>
      <c r="S1640" s="32" t="n">
        <v>1</v>
      </c>
      <c r="T1640" s="43" t="s">
        <v>2183</v>
      </c>
      <c r="U1640" s="32" t="n">
        <v>3</v>
      </c>
      <c r="V1640" s="37" t="n">
        <v>3</v>
      </c>
      <c r="W1640" s="32"/>
      <c r="X1640" s="34"/>
      <c r="Y1640" s="34"/>
      <c r="Z1640" s="36"/>
      <c r="AA1640" s="32" t="s">
        <v>9234</v>
      </c>
      <c r="AB1640" s="32"/>
      <c r="AC1640" s="38" t="str">
        <f aca="false">HYPERLINK("https://biocodex6--c.vf.force.com/0014L00000KFSTUQA5", "BENCHETRIT FRANCK")</f>
        <v>BENCHETRIT FRANCK</v>
      </c>
      <c r="AD1640" s="38"/>
      <c r="AE1640" s="39" t="n">
        <v>45370.6875</v>
      </c>
      <c r="AF1640" s="40"/>
      <c r="AG1640" s="41"/>
      <c r="AH1640" s="32" t="s">
        <v>179</v>
      </c>
      <c r="AI1640" s="32"/>
      <c r="AL1640" s="32"/>
      <c r="AM1640" s="32"/>
      <c r="AN1640" s="32"/>
      <c r="AO1640" s="32"/>
      <c r="AP1640" s="32"/>
      <c r="AQ1640" s="32"/>
      <c r="AR1640" s="32"/>
      <c r="AS1640" s="32"/>
      <c r="AT1640" s="32"/>
      <c r="AU1640" s="32"/>
      <c r="XEY1640" s="27"/>
      <c r="XEZ1640" s="27"/>
      <c r="XFA1640" s="27"/>
      <c r="XFB1640" s="27"/>
      <c r="XFC1640" s="27"/>
      <c r="XFD1640" s="27"/>
    </row>
    <row r="1641" s="42" customFormat="true" ht="14.15" hidden="false" customHeight="true" outlineLevel="0" collapsed="false">
      <c r="A1641" s="28" t="s">
        <v>9235</v>
      </c>
      <c r="B1641" s="29" t="s">
        <v>861</v>
      </c>
      <c r="C1641" s="29" t="s">
        <v>9236</v>
      </c>
      <c r="D1641" s="30" t="s">
        <v>172</v>
      </c>
      <c r="E1641" s="31"/>
      <c r="F1641" s="32" t="n">
        <v>56</v>
      </c>
      <c r="G1641" s="31"/>
      <c r="H1641" s="31" t="n">
        <v>1</v>
      </c>
      <c r="I1641" s="31" t="s">
        <v>572</v>
      </c>
      <c r="J1641" s="29"/>
      <c r="K1641" s="29" t="s">
        <v>9237</v>
      </c>
      <c r="L1641" s="32" t="n">
        <v>14</v>
      </c>
      <c r="M1641" s="33" t="s">
        <v>9238</v>
      </c>
      <c r="N1641" s="34" t="n">
        <v>75008</v>
      </c>
      <c r="O1641" s="35" t="s">
        <v>55</v>
      </c>
      <c r="P1641" s="36" t="s">
        <v>9239</v>
      </c>
      <c r="Q1641" s="36" t="n">
        <v>1</v>
      </c>
      <c r="R1641" s="32" t="n">
        <v>55</v>
      </c>
      <c r="S1641" s="32" t="n">
        <v>1</v>
      </c>
      <c r="T1641" s="43" t="s">
        <v>316</v>
      </c>
      <c r="U1641" s="32"/>
      <c r="V1641" s="37"/>
      <c r="W1641" s="32"/>
      <c r="X1641" s="34"/>
      <c r="Y1641" s="34"/>
      <c r="Z1641" s="36"/>
      <c r="AA1641" s="32" t="s">
        <v>9240</v>
      </c>
      <c r="AB1641" s="32"/>
      <c r="AC1641" s="38" t="str">
        <f aca="false">HYPERLINK("https://biocodex6--c.vf.force.com/0014L00000KFwViQAL", "PASSARD CHRISTOPHE")</f>
        <v>PASSARD CHRISTOPHE</v>
      </c>
      <c r="AD1641" s="38"/>
      <c r="AE1641" s="39"/>
      <c r="AF1641" s="40"/>
      <c r="AG1641" s="41"/>
      <c r="AH1641" s="32" t="s">
        <v>179</v>
      </c>
      <c r="AI1641" s="32"/>
      <c r="AL1641" s="32"/>
      <c r="AM1641" s="32"/>
      <c r="AN1641" s="32"/>
      <c r="AO1641" s="32"/>
      <c r="AP1641" s="32"/>
      <c r="AQ1641" s="32"/>
      <c r="AR1641" s="32"/>
      <c r="AS1641" s="32"/>
      <c r="AT1641" s="32"/>
      <c r="AU1641" s="32"/>
      <c r="XEY1641" s="27"/>
      <c r="XEZ1641" s="27"/>
      <c r="XFA1641" s="27"/>
      <c r="XFB1641" s="27"/>
      <c r="XFC1641" s="27"/>
      <c r="XFD1641" s="27"/>
    </row>
    <row r="1642" s="42" customFormat="true" ht="14.15" hidden="false" customHeight="true" outlineLevel="0" collapsed="false">
      <c r="A1642" s="28" t="s">
        <v>9241</v>
      </c>
      <c r="B1642" s="29" t="s">
        <v>1539</v>
      </c>
      <c r="C1642" s="29" t="s">
        <v>9242</v>
      </c>
      <c r="D1642" s="30" t="s">
        <v>172</v>
      </c>
      <c r="E1642" s="31"/>
      <c r="F1642" s="32" t="n">
        <v>51</v>
      </c>
      <c r="G1642" s="31"/>
      <c r="H1642" s="31" t="n">
        <v>1</v>
      </c>
      <c r="I1642" s="31" t="s">
        <v>99</v>
      </c>
      <c r="J1642" s="29"/>
      <c r="K1642" s="29" t="s">
        <v>9243</v>
      </c>
      <c r="L1642" s="32" t="n">
        <v>19</v>
      </c>
      <c r="M1642" s="33" t="s">
        <v>1002</v>
      </c>
      <c r="N1642" s="34" t="n">
        <v>75015</v>
      </c>
      <c r="O1642" s="35" t="s">
        <v>55</v>
      </c>
      <c r="P1642" s="36" t="s">
        <v>9244</v>
      </c>
      <c r="Q1642" s="36" t="n">
        <v>1</v>
      </c>
      <c r="R1642" s="32" t="n">
        <v>55</v>
      </c>
      <c r="S1642" s="32" t="n">
        <v>1</v>
      </c>
      <c r="T1642" s="43" t="s">
        <v>3663</v>
      </c>
      <c r="U1642" s="32" t="n">
        <v>3</v>
      </c>
      <c r="V1642" s="37"/>
      <c r="W1642" s="32"/>
      <c r="X1642" s="34"/>
      <c r="Y1642" s="34"/>
      <c r="Z1642" s="36"/>
      <c r="AA1642" s="32" t="s">
        <v>9245</v>
      </c>
      <c r="AB1642" s="32"/>
      <c r="AC1642" s="38" t="str">
        <f aca="false">HYPERLINK("https://biocodex6--c.vf.force.com/0014L00000KFxLlQAL", "PAUTRAT REILHAC STEPHANIE")</f>
        <v>PAUTRAT REILHAC STEPHANIE</v>
      </c>
      <c r="AD1642" s="38"/>
      <c r="AE1642" s="39"/>
      <c r="AF1642" s="40"/>
      <c r="AG1642" s="41"/>
      <c r="AH1642" s="32" t="s">
        <v>179</v>
      </c>
      <c r="AI1642" s="32"/>
      <c r="AL1642" s="32"/>
      <c r="AM1642" s="32"/>
      <c r="AN1642" s="32"/>
      <c r="AO1642" s="32"/>
      <c r="AP1642" s="32"/>
      <c r="AQ1642" s="32"/>
      <c r="AR1642" s="32"/>
      <c r="AS1642" s="32"/>
      <c r="AT1642" s="32"/>
      <c r="AU1642" s="32"/>
      <c r="XEY1642" s="27"/>
      <c r="XEZ1642" s="27"/>
      <c r="XFA1642" s="27"/>
      <c r="XFB1642" s="27"/>
      <c r="XFC1642" s="27"/>
      <c r="XFD1642" s="27"/>
    </row>
    <row r="1643" s="42" customFormat="true" ht="14.15" hidden="false" customHeight="true" outlineLevel="0" collapsed="false">
      <c r="A1643" s="28" t="s">
        <v>9246</v>
      </c>
      <c r="B1643" s="29" t="s">
        <v>7492</v>
      </c>
      <c r="C1643" s="29" t="s">
        <v>9247</v>
      </c>
      <c r="D1643" s="30" t="s">
        <v>1103</v>
      </c>
      <c r="E1643" s="31"/>
      <c r="F1643" s="32" t="n">
        <v>58</v>
      </c>
      <c r="G1643" s="31"/>
      <c r="H1643" s="31" t="n">
        <v>1</v>
      </c>
      <c r="I1643" s="31" t="s">
        <v>435</v>
      </c>
      <c r="J1643" s="29"/>
      <c r="K1643" s="29" t="s">
        <v>9248</v>
      </c>
      <c r="L1643" s="32" t="n">
        <v>132</v>
      </c>
      <c r="M1643" s="33" t="s">
        <v>498</v>
      </c>
      <c r="N1643" s="34" t="n">
        <v>75016</v>
      </c>
      <c r="O1643" s="35" t="s">
        <v>55</v>
      </c>
      <c r="P1643" s="36"/>
      <c r="Q1643" s="36" t="n">
        <v>1</v>
      </c>
      <c r="R1643" s="32" t="n">
        <v>55</v>
      </c>
      <c r="S1643" s="32" t="n">
        <v>1</v>
      </c>
      <c r="T1643" s="43" t="s">
        <v>2197</v>
      </c>
      <c r="U1643" s="32" t="n">
        <v>3</v>
      </c>
      <c r="V1643" s="37"/>
      <c r="W1643" s="32"/>
      <c r="X1643" s="34"/>
      <c r="Y1643" s="34"/>
      <c r="Z1643" s="32"/>
      <c r="AA1643" s="32" t="s">
        <v>9249</v>
      </c>
      <c r="AB1643" s="32"/>
      <c r="AC1643" s="38" t="str">
        <f aca="false">HYPERLINK("https://biocodex6--c.vf.force.com/0014L00000KFSQGQA5", "AZZAZENE RACHID")</f>
        <v>AZZAZENE RACHID</v>
      </c>
      <c r="AD1643" s="38"/>
      <c r="AE1643" s="39"/>
      <c r="AF1643" s="40"/>
      <c r="AG1643" s="41"/>
      <c r="AH1643" s="32"/>
      <c r="AI1643" s="32"/>
      <c r="AL1643" s="32"/>
      <c r="AM1643" s="32"/>
      <c r="AN1643" s="32"/>
      <c r="AO1643" s="32"/>
      <c r="AP1643" s="32"/>
      <c r="AQ1643" s="32"/>
      <c r="AR1643" s="32"/>
      <c r="AS1643" s="32"/>
      <c r="AT1643" s="32"/>
      <c r="AU1643" s="32"/>
      <c r="XEY1643" s="27"/>
      <c r="XEZ1643" s="27"/>
      <c r="XFA1643" s="27"/>
      <c r="XFB1643" s="27"/>
      <c r="XFC1643" s="27"/>
      <c r="XFD1643" s="27"/>
    </row>
    <row r="1644" s="42" customFormat="true" ht="14.15" hidden="false" customHeight="true" outlineLevel="0" collapsed="false">
      <c r="A1644" s="28" t="s">
        <v>9250</v>
      </c>
      <c r="B1644" s="29" t="s">
        <v>643</v>
      </c>
      <c r="C1644" s="29" t="s">
        <v>9251</v>
      </c>
      <c r="D1644" s="30" t="s">
        <v>172</v>
      </c>
      <c r="E1644" s="30" t="s">
        <v>1103</v>
      </c>
      <c r="F1644" s="32" t="n">
        <v>74</v>
      </c>
      <c r="G1644" s="31"/>
      <c r="H1644" s="31" t="n">
        <v>1</v>
      </c>
      <c r="I1644" s="31" t="s">
        <v>435</v>
      </c>
      <c r="J1644" s="29"/>
      <c r="K1644" s="29" t="s">
        <v>5650</v>
      </c>
      <c r="L1644" s="32" t="n">
        <v>4</v>
      </c>
      <c r="M1644" s="33" t="s">
        <v>5651</v>
      </c>
      <c r="N1644" s="34" t="n">
        <v>75016</v>
      </c>
      <c r="O1644" s="35" t="s">
        <v>55</v>
      </c>
      <c r="P1644" s="36" t="s">
        <v>9252</v>
      </c>
      <c r="Q1644" s="36" t="n">
        <v>3</v>
      </c>
      <c r="R1644" s="32" t="n">
        <v>55</v>
      </c>
      <c r="S1644" s="32" t="n">
        <v>1</v>
      </c>
      <c r="T1644" s="43" t="s">
        <v>316</v>
      </c>
      <c r="U1644" s="32"/>
      <c r="V1644" s="37"/>
      <c r="W1644" s="32"/>
      <c r="X1644" s="34"/>
      <c r="Y1644" s="34"/>
      <c r="Z1644" s="36"/>
      <c r="AA1644" s="32" t="s">
        <v>9253</v>
      </c>
      <c r="AB1644" s="32"/>
      <c r="AC1644" s="38" t="str">
        <f aca="false">HYPERLINK("https://biocodex6--c.vf.force.com/0014L00000KFXoBQAX", "COURBIN PIERRE")</f>
        <v>COURBIN PIERRE</v>
      </c>
      <c r="AD1644" s="38"/>
      <c r="AE1644" s="39"/>
      <c r="AF1644" s="40"/>
      <c r="AG1644" s="41"/>
      <c r="AH1644" s="32" t="s">
        <v>179</v>
      </c>
      <c r="AI1644" s="32"/>
      <c r="AL1644" s="32"/>
      <c r="AM1644" s="32"/>
      <c r="AN1644" s="32"/>
      <c r="AO1644" s="32"/>
      <c r="AP1644" s="32"/>
      <c r="AQ1644" s="32"/>
      <c r="AR1644" s="32"/>
      <c r="AS1644" s="32"/>
      <c r="AT1644" s="32"/>
      <c r="AU1644" s="32"/>
      <c r="XEY1644" s="27"/>
      <c r="XEZ1644" s="27"/>
      <c r="XFA1644" s="27"/>
      <c r="XFB1644" s="27"/>
      <c r="XFC1644" s="27"/>
      <c r="XFD1644" s="27"/>
    </row>
    <row r="1645" s="42" customFormat="true" ht="14.15" hidden="false" customHeight="true" outlineLevel="0" collapsed="false">
      <c r="A1645" s="28" t="s">
        <v>9254</v>
      </c>
      <c r="B1645" s="29" t="s">
        <v>353</v>
      </c>
      <c r="C1645" s="29" t="s">
        <v>9255</v>
      </c>
      <c r="D1645" s="30" t="s">
        <v>172</v>
      </c>
      <c r="E1645" s="31"/>
      <c r="F1645" s="32" t="n">
        <v>75</v>
      </c>
      <c r="G1645" s="31"/>
      <c r="H1645" s="31" t="n">
        <v>1</v>
      </c>
      <c r="I1645" s="31" t="s">
        <v>435</v>
      </c>
      <c r="J1645" s="29"/>
      <c r="K1645" s="29" t="s">
        <v>8053</v>
      </c>
      <c r="L1645" s="32" t="n">
        <v>14</v>
      </c>
      <c r="M1645" s="33" t="s">
        <v>2312</v>
      </c>
      <c r="N1645" s="34" t="n">
        <v>75016</v>
      </c>
      <c r="O1645" s="35" t="s">
        <v>55</v>
      </c>
      <c r="P1645" s="36" t="s">
        <v>9256</v>
      </c>
      <c r="Q1645" s="36" t="n">
        <v>3</v>
      </c>
      <c r="R1645" s="32" t="n">
        <v>55</v>
      </c>
      <c r="S1645" s="32" t="n">
        <v>1</v>
      </c>
      <c r="T1645" s="43" t="s">
        <v>316</v>
      </c>
      <c r="U1645" s="32"/>
      <c r="V1645" s="37"/>
      <c r="W1645" s="32"/>
      <c r="X1645" s="34"/>
      <c r="Y1645" s="34"/>
      <c r="Z1645" s="36"/>
      <c r="AA1645" s="32" t="s">
        <v>9257</v>
      </c>
      <c r="AB1645" s="32"/>
      <c r="AC1645" s="38" t="str">
        <f aca="false">HYPERLINK("https://biocodex6--c.vf.force.com/0014L00000KG4PdQAL", "VANIER ALAIN")</f>
        <v>VANIER ALAIN</v>
      </c>
      <c r="AD1645" s="38"/>
      <c r="AE1645" s="39"/>
      <c r="AF1645" s="40"/>
      <c r="AG1645" s="41"/>
      <c r="AH1645" s="32" t="s">
        <v>179</v>
      </c>
      <c r="AI1645" s="32"/>
      <c r="AL1645" s="32"/>
      <c r="AM1645" s="32"/>
      <c r="AN1645" s="32"/>
      <c r="AO1645" s="32"/>
      <c r="AP1645" s="32"/>
      <c r="AQ1645" s="32"/>
      <c r="AR1645" s="32"/>
      <c r="AS1645" s="32"/>
      <c r="AT1645" s="32"/>
      <c r="AU1645" s="32"/>
      <c r="XEY1645" s="27"/>
      <c r="XEZ1645" s="27"/>
      <c r="XFA1645" s="27"/>
      <c r="XFB1645" s="27"/>
      <c r="XFC1645" s="27"/>
      <c r="XFD1645" s="27"/>
    </row>
    <row r="1646" s="42" customFormat="true" ht="14.15" hidden="false" customHeight="true" outlineLevel="0" collapsed="false">
      <c r="A1646" s="28" t="s">
        <v>9258</v>
      </c>
      <c r="B1646" s="29" t="s">
        <v>839</v>
      </c>
      <c r="C1646" s="29" t="s">
        <v>9259</v>
      </c>
      <c r="D1646" s="30" t="s">
        <v>172</v>
      </c>
      <c r="E1646" s="31"/>
      <c r="F1646" s="32" t="n">
        <v>78</v>
      </c>
      <c r="G1646" s="31"/>
      <c r="H1646" s="31" t="n">
        <v>1</v>
      </c>
      <c r="I1646" s="31" t="s">
        <v>197</v>
      </c>
      <c r="J1646" s="29"/>
      <c r="K1646" s="29" t="s">
        <v>9260</v>
      </c>
      <c r="L1646" s="32" t="n">
        <v>5</v>
      </c>
      <c r="M1646" s="33" t="s">
        <v>9261</v>
      </c>
      <c r="N1646" s="34" t="n">
        <v>75017</v>
      </c>
      <c r="O1646" s="35" t="s">
        <v>55</v>
      </c>
      <c r="P1646" s="36" t="s">
        <v>9262</v>
      </c>
      <c r="Q1646" s="36" t="n">
        <v>1</v>
      </c>
      <c r="R1646" s="32" t="n">
        <v>55</v>
      </c>
      <c r="S1646" s="32" t="n">
        <v>1</v>
      </c>
      <c r="T1646" s="43" t="s">
        <v>316</v>
      </c>
      <c r="U1646" s="32"/>
      <c r="V1646" s="37"/>
      <c r="W1646" s="32"/>
      <c r="X1646" s="34"/>
      <c r="Y1646" s="34"/>
      <c r="Z1646" s="36"/>
      <c r="AA1646" s="32" t="s">
        <v>9263</v>
      </c>
      <c r="AB1646" s="32"/>
      <c r="AC1646" s="38" t="str">
        <f aca="false">HYPERLINK("https://biocodex6--c.vf.force.com/0014L00000KFV5pQAH", "BURNAT GILLES")</f>
        <v>BURNAT GILLES</v>
      </c>
      <c r="AD1646" s="38"/>
      <c r="AE1646" s="39"/>
      <c r="AF1646" s="40"/>
      <c r="AG1646" s="41"/>
      <c r="AH1646" s="32" t="s">
        <v>179</v>
      </c>
      <c r="AI1646" s="32"/>
      <c r="AL1646" s="32"/>
      <c r="AM1646" s="32"/>
      <c r="AN1646" s="32"/>
      <c r="AO1646" s="32"/>
      <c r="AP1646" s="32"/>
      <c r="AQ1646" s="32"/>
      <c r="AR1646" s="32"/>
      <c r="AS1646" s="32"/>
      <c r="AT1646" s="32"/>
      <c r="AU1646" s="32"/>
      <c r="XEY1646" s="27"/>
      <c r="XEZ1646" s="27"/>
      <c r="XFA1646" s="27"/>
      <c r="XFB1646" s="27"/>
      <c r="XFC1646" s="27"/>
      <c r="XFD1646" s="27"/>
    </row>
    <row r="1647" s="42" customFormat="true" ht="14.15" hidden="false" customHeight="true" outlineLevel="0" collapsed="false">
      <c r="A1647" s="28" t="s">
        <v>9264</v>
      </c>
      <c r="B1647" s="29" t="s">
        <v>9265</v>
      </c>
      <c r="C1647" s="29" t="s">
        <v>9266</v>
      </c>
      <c r="D1647" s="30" t="s">
        <v>172</v>
      </c>
      <c r="E1647" s="31"/>
      <c r="F1647" s="32" t="n">
        <v>74</v>
      </c>
      <c r="G1647" s="31"/>
      <c r="H1647" s="31" t="n">
        <v>1</v>
      </c>
      <c r="I1647" s="31" t="s">
        <v>173</v>
      </c>
      <c r="J1647" s="29"/>
      <c r="K1647" s="29" t="s">
        <v>8767</v>
      </c>
      <c r="L1647" s="32" t="n">
        <v>37</v>
      </c>
      <c r="M1647" s="33" t="s">
        <v>175</v>
      </c>
      <c r="N1647" s="34" t="n">
        <v>75016</v>
      </c>
      <c r="O1647" s="35" t="s">
        <v>55</v>
      </c>
      <c r="P1647" s="36" t="s">
        <v>9267</v>
      </c>
      <c r="Q1647" s="36" t="n">
        <v>2</v>
      </c>
      <c r="R1647" s="32" t="n">
        <v>55</v>
      </c>
      <c r="S1647" s="32" t="n">
        <v>1</v>
      </c>
      <c r="T1647" s="43" t="s">
        <v>316</v>
      </c>
      <c r="U1647" s="32"/>
      <c r="V1647" s="37"/>
      <c r="W1647" s="32"/>
      <c r="X1647" s="34"/>
      <c r="Y1647" s="34"/>
      <c r="Z1647" s="36"/>
      <c r="AA1647" s="32" t="s">
        <v>9268</v>
      </c>
      <c r="AB1647" s="32"/>
      <c r="AC1647" s="38" t="str">
        <f aca="false">HYPERLINK("https://biocodex6--c.vf.force.com/0014L00000KFRf4QAH", "BARON BERNADETTE")</f>
        <v>BARON BERNADETTE</v>
      </c>
      <c r="AD1647" s="38"/>
      <c r="AE1647" s="39"/>
      <c r="AF1647" s="40"/>
      <c r="AG1647" s="41"/>
      <c r="AH1647" s="32" t="s">
        <v>179</v>
      </c>
      <c r="AI1647" s="32"/>
      <c r="AL1647" s="32"/>
      <c r="AM1647" s="32"/>
      <c r="AN1647" s="32"/>
      <c r="AO1647" s="32"/>
      <c r="AP1647" s="32"/>
      <c r="AQ1647" s="32"/>
      <c r="AR1647" s="32"/>
      <c r="AS1647" s="32"/>
      <c r="AT1647" s="32"/>
      <c r="AU1647" s="32"/>
      <c r="XEY1647" s="27"/>
      <c r="XEZ1647" s="27"/>
      <c r="XFA1647" s="27"/>
      <c r="XFB1647" s="27"/>
      <c r="XFC1647" s="27"/>
      <c r="XFD1647" s="27"/>
    </row>
    <row r="1648" s="42" customFormat="true" ht="14.15" hidden="false" customHeight="true" outlineLevel="0" collapsed="false">
      <c r="A1648" s="28" t="s">
        <v>9269</v>
      </c>
      <c r="B1648" s="29" t="s">
        <v>2433</v>
      </c>
      <c r="C1648" s="29" t="s">
        <v>9270</v>
      </c>
      <c r="D1648" s="30" t="s">
        <v>172</v>
      </c>
      <c r="E1648" s="30" t="s">
        <v>818</v>
      </c>
      <c r="F1648" s="32" t="n">
        <v>70</v>
      </c>
      <c r="G1648" s="31"/>
      <c r="H1648" s="31" t="n">
        <v>1</v>
      </c>
      <c r="I1648" s="31" t="s">
        <v>572</v>
      </c>
      <c r="J1648" s="29"/>
      <c r="K1648" s="29" t="s">
        <v>9271</v>
      </c>
      <c r="L1648" s="32" t="n">
        <v>186</v>
      </c>
      <c r="M1648" s="33" t="s">
        <v>3334</v>
      </c>
      <c r="N1648" s="34" t="n">
        <v>75008</v>
      </c>
      <c r="O1648" s="35" t="s">
        <v>55</v>
      </c>
      <c r="P1648" s="36" t="s">
        <v>9272</v>
      </c>
      <c r="Q1648" s="36" t="n">
        <v>1</v>
      </c>
      <c r="R1648" s="32" t="n">
        <v>54</v>
      </c>
      <c r="S1648" s="32" t="n">
        <v>1</v>
      </c>
      <c r="T1648" s="43" t="s">
        <v>3663</v>
      </c>
      <c r="U1648" s="32" t="n">
        <v>3</v>
      </c>
      <c r="V1648" s="37" t="n">
        <v>3</v>
      </c>
      <c r="W1648" s="32"/>
      <c r="X1648" s="34"/>
      <c r="Y1648" s="34"/>
      <c r="Z1648" s="36"/>
      <c r="AA1648" s="32" t="s">
        <v>9273</v>
      </c>
      <c r="AB1648" s="32"/>
      <c r="AC1648" s="38" t="str">
        <f aca="false">HYPERLINK("https://biocodex6--c.vf.force.com/0014L00000KFVfoQAH", "CASTRO BERNARD")</f>
        <v>CASTRO BERNARD</v>
      </c>
      <c r="AD1648" s="38"/>
      <c r="AE1648" s="39" t="n">
        <v>45370.75</v>
      </c>
      <c r="AF1648" s="40"/>
      <c r="AG1648" s="41"/>
      <c r="AH1648" s="32" t="s">
        <v>179</v>
      </c>
      <c r="AI1648" s="32"/>
      <c r="AL1648" s="32"/>
      <c r="AM1648" s="32"/>
      <c r="AN1648" s="32"/>
      <c r="AO1648" s="32"/>
      <c r="AP1648" s="32"/>
      <c r="AQ1648" s="32"/>
      <c r="AR1648" s="32"/>
      <c r="AS1648" s="32"/>
      <c r="AT1648" s="32"/>
      <c r="AU1648" s="32"/>
      <c r="XEY1648" s="27"/>
      <c r="XEZ1648" s="27"/>
      <c r="XFA1648" s="27"/>
      <c r="XFB1648" s="27"/>
      <c r="XFC1648" s="27"/>
      <c r="XFD1648" s="27"/>
    </row>
    <row r="1649" s="42" customFormat="true" ht="14.15" hidden="false" customHeight="true" outlineLevel="0" collapsed="false">
      <c r="A1649" s="28" t="s">
        <v>9274</v>
      </c>
      <c r="B1649" s="29" t="s">
        <v>9275</v>
      </c>
      <c r="C1649" s="29" t="s">
        <v>9276</v>
      </c>
      <c r="D1649" s="30" t="s">
        <v>172</v>
      </c>
      <c r="E1649" s="31"/>
      <c r="F1649" s="32" t="n">
        <v>47</v>
      </c>
      <c r="G1649" s="31"/>
      <c r="H1649" s="31" t="n">
        <v>1</v>
      </c>
      <c r="I1649" s="31" t="s">
        <v>572</v>
      </c>
      <c r="J1649" s="29"/>
      <c r="K1649" s="29" t="s">
        <v>9277</v>
      </c>
      <c r="L1649" s="32" t="n">
        <v>36</v>
      </c>
      <c r="M1649" s="33" t="s">
        <v>9278</v>
      </c>
      <c r="N1649" s="34" t="n">
        <v>75008</v>
      </c>
      <c r="O1649" s="35" t="s">
        <v>55</v>
      </c>
      <c r="P1649" s="36" t="s">
        <v>9279</v>
      </c>
      <c r="Q1649" s="36" t="n">
        <v>1</v>
      </c>
      <c r="R1649" s="32" t="n">
        <v>54</v>
      </c>
      <c r="S1649" s="32" t="n">
        <v>1</v>
      </c>
      <c r="T1649" s="43" t="s">
        <v>3663</v>
      </c>
      <c r="U1649" s="32"/>
      <c r="V1649" s="37" t="n">
        <v>3</v>
      </c>
      <c r="W1649" s="32"/>
      <c r="X1649" s="34"/>
      <c r="Y1649" s="34"/>
      <c r="Z1649" s="36"/>
      <c r="AA1649" s="32" t="s">
        <v>9280</v>
      </c>
      <c r="AB1649" s="32"/>
      <c r="AC1649" s="38" t="str">
        <f aca="false">HYPERLINK("https://biocodex6--c.vf.force.com/0014L00000KFTqbQAH", "BANAYAN MIKAEL")</f>
        <v>BANAYAN MIKAEL</v>
      </c>
      <c r="AD1649" s="38"/>
      <c r="AE1649" s="39"/>
      <c r="AF1649" s="40"/>
      <c r="AG1649" s="41"/>
      <c r="AH1649" s="32" t="s">
        <v>179</v>
      </c>
      <c r="AI1649" s="32"/>
      <c r="AL1649" s="32"/>
      <c r="AM1649" s="32"/>
      <c r="AN1649" s="32"/>
      <c r="AO1649" s="32"/>
      <c r="AP1649" s="32"/>
      <c r="AQ1649" s="32"/>
      <c r="AR1649" s="32"/>
      <c r="AS1649" s="32"/>
      <c r="AT1649" s="32"/>
      <c r="AU1649" s="32"/>
      <c r="XEY1649" s="27"/>
      <c r="XEZ1649" s="27"/>
      <c r="XFA1649" s="27"/>
      <c r="XFB1649" s="27"/>
      <c r="XFC1649" s="27"/>
      <c r="XFD1649" s="27"/>
    </row>
    <row r="1650" s="42" customFormat="true" ht="14.15" hidden="false" customHeight="true" outlineLevel="0" collapsed="false">
      <c r="A1650" s="28" t="s">
        <v>9281</v>
      </c>
      <c r="B1650" s="29" t="s">
        <v>1977</v>
      </c>
      <c r="C1650" s="29" t="s">
        <v>9282</v>
      </c>
      <c r="D1650" s="30" t="s">
        <v>172</v>
      </c>
      <c r="E1650" s="31"/>
      <c r="F1650" s="32" t="n">
        <v>68</v>
      </c>
      <c r="G1650" s="31"/>
      <c r="H1650" s="31" t="n">
        <v>1</v>
      </c>
      <c r="I1650" s="31" t="s">
        <v>51</v>
      </c>
      <c r="J1650" s="29"/>
      <c r="K1650" s="29" t="s">
        <v>9283</v>
      </c>
      <c r="L1650" s="32" t="n">
        <v>8</v>
      </c>
      <c r="M1650" s="33" t="s">
        <v>9284</v>
      </c>
      <c r="N1650" s="34" t="n">
        <v>75015</v>
      </c>
      <c r="O1650" s="35" t="s">
        <v>55</v>
      </c>
      <c r="P1650" s="36" t="s">
        <v>9285</v>
      </c>
      <c r="Q1650" s="36" t="n">
        <v>1</v>
      </c>
      <c r="R1650" s="32" t="n">
        <v>54</v>
      </c>
      <c r="S1650" s="32" t="n">
        <v>1</v>
      </c>
      <c r="T1650" s="43" t="s">
        <v>316</v>
      </c>
      <c r="U1650" s="32"/>
      <c r="V1650" s="37"/>
      <c r="W1650" s="32"/>
      <c r="X1650" s="34"/>
      <c r="Y1650" s="34"/>
      <c r="Z1650" s="36"/>
      <c r="AA1650" s="32" t="s">
        <v>9286</v>
      </c>
      <c r="AB1650" s="32"/>
      <c r="AC1650" s="38" t="str">
        <f aca="false">HYPERLINK("https://biocodex6--c.vf.force.com/0014L00000KG3CEQA1", "BEAUMONT SOLANGE")</f>
        <v>BEAUMONT SOLANGE</v>
      </c>
      <c r="AD1650" s="38"/>
      <c r="AE1650" s="39"/>
      <c r="AF1650" s="40"/>
      <c r="AG1650" s="41"/>
      <c r="AH1650" s="32" t="s">
        <v>179</v>
      </c>
      <c r="AI1650" s="32"/>
      <c r="AL1650" s="32"/>
      <c r="AM1650" s="32"/>
      <c r="AN1650" s="32"/>
      <c r="AO1650" s="32"/>
      <c r="AP1650" s="32"/>
      <c r="AQ1650" s="32"/>
      <c r="AR1650" s="32"/>
      <c r="AS1650" s="32"/>
      <c r="AT1650" s="32"/>
      <c r="AU1650" s="32"/>
      <c r="XEY1650" s="27"/>
      <c r="XEZ1650" s="27"/>
      <c r="XFA1650" s="27"/>
      <c r="XFB1650" s="27"/>
      <c r="XFC1650" s="27"/>
      <c r="XFD1650" s="27"/>
    </row>
    <row r="1651" s="42" customFormat="true" ht="14.15" hidden="false" customHeight="true" outlineLevel="0" collapsed="false">
      <c r="A1651" s="28" t="s">
        <v>9287</v>
      </c>
      <c r="B1651" s="29" t="s">
        <v>204</v>
      </c>
      <c r="C1651" s="29" t="s">
        <v>9288</v>
      </c>
      <c r="D1651" s="30" t="s">
        <v>172</v>
      </c>
      <c r="E1651" s="31"/>
      <c r="F1651" s="32" t="n">
        <v>77</v>
      </c>
      <c r="G1651" s="31"/>
      <c r="H1651" s="31" t="n">
        <v>1</v>
      </c>
      <c r="I1651" s="31" t="s">
        <v>51</v>
      </c>
      <c r="J1651" s="29"/>
      <c r="K1651" s="29" t="s">
        <v>1644</v>
      </c>
      <c r="L1651" s="32" t="n">
        <v>76</v>
      </c>
      <c r="M1651" s="33" t="s">
        <v>236</v>
      </c>
      <c r="N1651" s="34" t="n">
        <v>75015</v>
      </c>
      <c r="O1651" s="35" t="s">
        <v>55</v>
      </c>
      <c r="P1651" s="36" t="s">
        <v>1645</v>
      </c>
      <c r="Q1651" s="36" t="n">
        <v>3</v>
      </c>
      <c r="R1651" s="36" t="n">
        <v>54</v>
      </c>
      <c r="S1651" s="32" t="n">
        <v>1</v>
      </c>
      <c r="T1651" s="43" t="s">
        <v>2189</v>
      </c>
      <c r="U1651" s="32"/>
      <c r="V1651" s="37"/>
      <c r="W1651" s="32"/>
      <c r="X1651" s="34"/>
      <c r="Y1651" s="34"/>
      <c r="Z1651" s="36"/>
      <c r="AA1651" s="32" t="s">
        <v>9289</v>
      </c>
      <c r="AB1651" s="32"/>
      <c r="AC1651" s="38" t="str">
        <f aca="false">HYPERLINK("https://biocodex6--c.vf.force.com/0014L00000KFn8NQAT", "LEBLANC NATHALIE")</f>
        <v>LEBLANC NATHALIE</v>
      </c>
      <c r="AD1651" s="38"/>
      <c r="AE1651" s="39"/>
      <c r="AF1651" s="40"/>
      <c r="AG1651" s="41"/>
      <c r="AH1651" s="32" t="s">
        <v>179</v>
      </c>
      <c r="AI1651" s="32"/>
      <c r="AL1651" s="32"/>
      <c r="AM1651" s="32"/>
      <c r="AN1651" s="32"/>
      <c r="AO1651" s="32"/>
      <c r="AP1651" s="32"/>
      <c r="AQ1651" s="32"/>
      <c r="AR1651" s="32"/>
      <c r="AS1651" s="32"/>
      <c r="AT1651" s="32"/>
      <c r="AU1651" s="32"/>
      <c r="XEY1651" s="27"/>
      <c r="XEZ1651" s="27"/>
      <c r="XFA1651" s="27"/>
      <c r="XFB1651" s="27"/>
      <c r="XFC1651" s="27"/>
      <c r="XFD1651" s="27"/>
    </row>
    <row r="1652" s="42" customFormat="true" ht="14.15" hidden="false" customHeight="true" outlineLevel="0" collapsed="false">
      <c r="A1652" s="28" t="s">
        <v>1534</v>
      </c>
      <c r="B1652" s="29" t="s">
        <v>9290</v>
      </c>
      <c r="C1652" s="29" t="s">
        <v>9291</v>
      </c>
      <c r="D1652" s="30" t="s">
        <v>1103</v>
      </c>
      <c r="E1652" s="31"/>
      <c r="F1652" s="32" t="n">
        <v>66</v>
      </c>
      <c r="G1652" s="31"/>
      <c r="H1652" s="31" t="n">
        <v>2</v>
      </c>
      <c r="I1652" s="31" t="s">
        <v>435</v>
      </c>
      <c r="J1652" s="29"/>
      <c r="K1652" s="29" t="s">
        <v>9292</v>
      </c>
      <c r="L1652" s="32" t="n">
        <v>57</v>
      </c>
      <c r="M1652" s="33" t="s">
        <v>9162</v>
      </c>
      <c r="N1652" s="34" t="n">
        <v>75016</v>
      </c>
      <c r="O1652" s="35" t="s">
        <v>55</v>
      </c>
      <c r="P1652" s="36" t="s">
        <v>9293</v>
      </c>
      <c r="Q1652" s="36" t="n">
        <v>1</v>
      </c>
      <c r="R1652" s="32" t="n">
        <v>54</v>
      </c>
      <c r="S1652" s="32" t="n">
        <v>1</v>
      </c>
      <c r="T1652" s="43" t="s">
        <v>2197</v>
      </c>
      <c r="U1652" s="32" t="n">
        <v>3</v>
      </c>
      <c r="V1652" s="37"/>
      <c r="W1652" s="32"/>
      <c r="X1652" s="34"/>
      <c r="Y1652" s="34"/>
      <c r="Z1652" s="32"/>
      <c r="AA1652" s="32" t="s">
        <v>9294</v>
      </c>
      <c r="AB1652" s="32"/>
      <c r="AC1652" s="38" t="str">
        <f aca="false">HYPERLINK("https://biocodex6--c.vf.force.com/0014L00000KFfg5QAD", "GERARD CHRISTOPHE LOIC")</f>
        <v>GERARD CHRISTOPHE LOIC</v>
      </c>
      <c r="AD1652" s="38"/>
      <c r="AE1652" s="39"/>
      <c r="AF1652" s="40"/>
      <c r="AG1652" s="41"/>
      <c r="AH1652" s="32"/>
      <c r="AI1652" s="32"/>
      <c r="AL1652" s="32"/>
      <c r="AM1652" s="32"/>
      <c r="AN1652" s="32"/>
      <c r="AO1652" s="32"/>
      <c r="AP1652" s="32"/>
      <c r="AQ1652" s="32"/>
      <c r="AR1652" s="32"/>
      <c r="AS1652" s="32"/>
      <c r="AT1652" s="32"/>
      <c r="AU1652" s="32"/>
      <c r="XEY1652" s="27"/>
      <c r="XEZ1652" s="27"/>
      <c r="XFA1652" s="27"/>
      <c r="XFB1652" s="27"/>
      <c r="XFC1652" s="27"/>
      <c r="XFD1652" s="27"/>
    </row>
    <row r="1653" s="42" customFormat="true" ht="14.15" hidden="false" customHeight="true" outlineLevel="0" collapsed="false">
      <c r="A1653" s="28" t="s">
        <v>9295</v>
      </c>
      <c r="B1653" s="29" t="s">
        <v>3304</v>
      </c>
      <c r="C1653" s="29" t="s">
        <v>9296</v>
      </c>
      <c r="D1653" s="30" t="s">
        <v>172</v>
      </c>
      <c r="E1653" s="31"/>
      <c r="F1653" s="32" t="n">
        <v>59</v>
      </c>
      <c r="G1653" s="31"/>
      <c r="H1653" s="31" t="n">
        <v>1</v>
      </c>
      <c r="I1653" s="31" t="s">
        <v>173</v>
      </c>
      <c r="J1653" s="29"/>
      <c r="K1653" s="29" t="s">
        <v>9297</v>
      </c>
      <c r="L1653" s="32" t="n">
        <v>40</v>
      </c>
      <c r="M1653" s="33" t="s">
        <v>3105</v>
      </c>
      <c r="N1653" s="34" t="n">
        <v>75016</v>
      </c>
      <c r="O1653" s="35" t="s">
        <v>55</v>
      </c>
      <c r="P1653" s="36" t="s">
        <v>9298</v>
      </c>
      <c r="Q1653" s="36" t="n">
        <v>2</v>
      </c>
      <c r="R1653" s="32" t="n">
        <v>54</v>
      </c>
      <c r="S1653" s="32" t="n">
        <v>1</v>
      </c>
      <c r="T1653" s="43" t="s">
        <v>316</v>
      </c>
      <c r="U1653" s="32"/>
      <c r="V1653" s="37"/>
      <c r="W1653" s="32"/>
      <c r="X1653" s="34"/>
      <c r="Y1653" s="34"/>
      <c r="Z1653" s="36"/>
      <c r="AA1653" s="32" t="s">
        <v>9299</v>
      </c>
      <c r="AB1653" s="32"/>
      <c r="AC1653" s="38" t="str">
        <f aca="false">HYPERLINK("https://biocodex6--c.vf.force.com/0014L00000KFzVbQAL", "ROUER SAPORTA SYLVIE")</f>
        <v>ROUER SAPORTA SYLVIE</v>
      </c>
      <c r="AD1653" s="38"/>
      <c r="AE1653" s="39"/>
      <c r="AF1653" s="40"/>
      <c r="AG1653" s="41"/>
      <c r="AH1653" s="32" t="s">
        <v>179</v>
      </c>
      <c r="AI1653" s="32"/>
      <c r="AL1653" s="32"/>
      <c r="AM1653" s="32"/>
      <c r="AN1653" s="32"/>
      <c r="AO1653" s="32"/>
      <c r="AP1653" s="32"/>
      <c r="AQ1653" s="32"/>
      <c r="AR1653" s="32"/>
      <c r="AS1653" s="32"/>
      <c r="AT1653" s="32"/>
      <c r="AU1653" s="32"/>
      <c r="XEY1653" s="27"/>
      <c r="XEZ1653" s="27"/>
      <c r="XFA1653" s="27"/>
      <c r="XFB1653" s="27"/>
      <c r="XFC1653" s="27"/>
      <c r="XFD1653" s="27"/>
    </row>
    <row r="1654" s="42" customFormat="true" ht="14.15" hidden="false" customHeight="true" outlineLevel="0" collapsed="false">
      <c r="A1654" s="28" t="s">
        <v>9300</v>
      </c>
      <c r="B1654" s="29" t="s">
        <v>9301</v>
      </c>
      <c r="C1654" s="29" t="s">
        <v>9302</v>
      </c>
      <c r="D1654" s="30" t="s">
        <v>172</v>
      </c>
      <c r="E1654" s="30" t="s">
        <v>818</v>
      </c>
      <c r="F1654" s="32" t="n">
        <v>73</v>
      </c>
      <c r="G1654" s="31"/>
      <c r="H1654" s="31" t="n">
        <v>1</v>
      </c>
      <c r="I1654" s="31" t="s">
        <v>173</v>
      </c>
      <c r="J1654" s="29"/>
      <c r="K1654" s="29" t="s">
        <v>9297</v>
      </c>
      <c r="L1654" s="32" t="n">
        <v>40</v>
      </c>
      <c r="M1654" s="33" t="s">
        <v>3105</v>
      </c>
      <c r="N1654" s="34" t="n">
        <v>75016</v>
      </c>
      <c r="O1654" s="35" t="s">
        <v>55</v>
      </c>
      <c r="P1654" s="36" t="s">
        <v>9303</v>
      </c>
      <c r="Q1654" s="36" t="n">
        <v>2</v>
      </c>
      <c r="R1654" s="32" t="n">
        <v>54</v>
      </c>
      <c r="S1654" s="32" t="n">
        <v>1</v>
      </c>
      <c r="T1654" s="43" t="s">
        <v>316</v>
      </c>
      <c r="U1654" s="32"/>
      <c r="V1654" s="37"/>
      <c r="W1654" s="32"/>
      <c r="X1654" s="34"/>
      <c r="Y1654" s="34"/>
      <c r="Z1654" s="36"/>
      <c r="AA1654" s="32" t="s">
        <v>9304</v>
      </c>
      <c r="AB1654" s="32"/>
      <c r="AC1654" s="38" t="str">
        <f aca="false">HYPERLINK("https://biocodex6--c.vf.force.com/0014L00000KG0cKQAT", "SAUVAGNAT ROKAYA")</f>
        <v>SAUVAGNAT ROKAYA</v>
      </c>
      <c r="AD1654" s="38"/>
      <c r="AE1654" s="39"/>
      <c r="AF1654" s="40"/>
      <c r="AG1654" s="41"/>
      <c r="AH1654" s="32" t="s">
        <v>179</v>
      </c>
      <c r="AI1654" s="32"/>
      <c r="AL1654" s="32"/>
      <c r="AM1654" s="32"/>
      <c r="AN1654" s="32"/>
      <c r="AO1654" s="32"/>
      <c r="AP1654" s="32"/>
      <c r="AQ1654" s="32"/>
      <c r="AR1654" s="32"/>
      <c r="AS1654" s="32"/>
      <c r="AT1654" s="32"/>
      <c r="AU1654" s="32"/>
      <c r="XEY1654" s="27"/>
      <c r="XEZ1654" s="27"/>
      <c r="XFA1654" s="27"/>
      <c r="XFB1654" s="27"/>
      <c r="XFC1654" s="27"/>
      <c r="XFD1654" s="27"/>
    </row>
    <row r="1655" s="42" customFormat="true" ht="14.15" hidden="false" customHeight="true" outlineLevel="0" collapsed="false">
      <c r="A1655" s="28" t="s">
        <v>9305</v>
      </c>
      <c r="B1655" s="29" t="s">
        <v>1130</v>
      </c>
      <c r="C1655" s="29" t="s">
        <v>9306</v>
      </c>
      <c r="D1655" s="30" t="s">
        <v>172</v>
      </c>
      <c r="E1655" s="31"/>
      <c r="F1655" s="32" t="n">
        <v>70</v>
      </c>
      <c r="G1655" s="31"/>
      <c r="H1655" s="31" t="n">
        <v>1</v>
      </c>
      <c r="I1655" s="31" t="s">
        <v>233</v>
      </c>
      <c r="J1655" s="29"/>
      <c r="K1655" s="29" t="s">
        <v>9307</v>
      </c>
      <c r="L1655" s="32" t="n">
        <v>155</v>
      </c>
      <c r="M1655" s="33" t="s">
        <v>1002</v>
      </c>
      <c r="N1655" s="34" t="n">
        <v>75015</v>
      </c>
      <c r="O1655" s="35" t="s">
        <v>55</v>
      </c>
      <c r="P1655" s="36" t="s">
        <v>9308</v>
      </c>
      <c r="Q1655" s="36" t="n">
        <v>1</v>
      </c>
      <c r="R1655" s="32" t="n">
        <v>54</v>
      </c>
      <c r="S1655" s="32" t="n">
        <v>1</v>
      </c>
      <c r="T1655" s="43" t="s">
        <v>316</v>
      </c>
      <c r="U1655" s="32"/>
      <c r="V1655" s="37"/>
      <c r="W1655" s="32"/>
      <c r="X1655" s="34"/>
      <c r="Y1655" s="34"/>
      <c r="Z1655" s="36"/>
      <c r="AA1655" s="32" t="s">
        <v>9309</v>
      </c>
      <c r="AB1655" s="32"/>
      <c r="AC1655" s="38" t="str">
        <f aca="false">HYPERLINK("https://biocodex6--c.vf.force.com/0014L00000KFdCdQAL", "FASS DANIEL")</f>
        <v>FASS DANIEL</v>
      </c>
      <c r="AD1655" s="38"/>
      <c r="AE1655" s="39"/>
      <c r="AF1655" s="40"/>
      <c r="AG1655" s="41"/>
      <c r="AH1655" s="32" t="s">
        <v>179</v>
      </c>
      <c r="AI1655" s="32"/>
      <c r="AL1655" s="32"/>
      <c r="AM1655" s="32"/>
      <c r="AN1655" s="32"/>
      <c r="AO1655" s="32"/>
      <c r="AP1655" s="32"/>
      <c r="AQ1655" s="32"/>
      <c r="AR1655" s="32"/>
      <c r="AS1655" s="32"/>
      <c r="AT1655" s="32"/>
      <c r="AU1655" s="32"/>
      <c r="XEY1655" s="27"/>
      <c r="XEZ1655" s="27"/>
      <c r="XFA1655" s="27"/>
      <c r="XFB1655" s="27"/>
      <c r="XFC1655" s="27"/>
      <c r="XFD1655" s="27"/>
    </row>
    <row r="1656" s="42" customFormat="true" ht="14.15" hidden="false" customHeight="true" outlineLevel="0" collapsed="false">
      <c r="A1656" s="28" t="s">
        <v>9310</v>
      </c>
      <c r="B1656" s="29" t="s">
        <v>4112</v>
      </c>
      <c r="C1656" s="29" t="s">
        <v>9311</v>
      </c>
      <c r="D1656" s="30" t="s">
        <v>172</v>
      </c>
      <c r="E1656" s="31"/>
      <c r="F1656" s="32" t="n">
        <v>75</v>
      </c>
      <c r="G1656" s="31"/>
      <c r="H1656" s="31" t="n">
        <v>1</v>
      </c>
      <c r="I1656" s="31" t="s">
        <v>99</v>
      </c>
      <c r="J1656" s="29"/>
      <c r="K1656" s="29" t="s">
        <v>9312</v>
      </c>
      <c r="L1656" s="32" t="n">
        <v>39</v>
      </c>
      <c r="M1656" s="33" t="s">
        <v>892</v>
      </c>
      <c r="N1656" s="34" t="n">
        <v>75015</v>
      </c>
      <c r="O1656" s="35" t="s">
        <v>55</v>
      </c>
      <c r="P1656" s="36" t="s">
        <v>9313</v>
      </c>
      <c r="Q1656" s="36" t="n">
        <v>2</v>
      </c>
      <c r="R1656" s="32" t="n">
        <v>53</v>
      </c>
      <c r="S1656" s="32" t="n">
        <v>1</v>
      </c>
      <c r="T1656" s="43" t="s">
        <v>1925</v>
      </c>
      <c r="U1656" s="32" t="n">
        <v>3</v>
      </c>
      <c r="V1656" s="37"/>
      <c r="W1656" s="32"/>
      <c r="X1656" s="34"/>
      <c r="Y1656" s="34"/>
      <c r="Z1656" s="36"/>
      <c r="AA1656" s="32" t="s">
        <v>9314</v>
      </c>
      <c r="AB1656" s="32"/>
      <c r="AC1656" s="38" t="str">
        <f aca="false">HYPERLINK("https://biocodex6--c.vf.force.com/0014L00000KG3XNQA1", "TOUIZER JOSEPH")</f>
        <v>TOUIZER JOSEPH</v>
      </c>
      <c r="AD1656" s="38"/>
      <c r="AE1656" s="39" t="n">
        <v>45372.4583333333</v>
      </c>
      <c r="AF1656" s="40"/>
      <c r="AG1656" s="41"/>
      <c r="AH1656" s="32" t="s">
        <v>179</v>
      </c>
      <c r="AI1656" s="32"/>
      <c r="AL1656" s="32"/>
      <c r="AM1656" s="32"/>
      <c r="AN1656" s="32"/>
      <c r="AO1656" s="32"/>
      <c r="AP1656" s="32"/>
      <c r="AQ1656" s="32"/>
      <c r="AR1656" s="32"/>
      <c r="AS1656" s="32"/>
      <c r="AT1656" s="32"/>
      <c r="AU1656" s="32"/>
      <c r="XEY1656" s="27"/>
      <c r="XEZ1656" s="27"/>
      <c r="XFA1656" s="27"/>
      <c r="XFB1656" s="27"/>
      <c r="XFC1656" s="27"/>
      <c r="XFD1656" s="27"/>
    </row>
    <row r="1657" s="42" customFormat="true" ht="14.15" hidden="false" customHeight="true" outlineLevel="0" collapsed="false">
      <c r="A1657" s="28" t="s">
        <v>9315</v>
      </c>
      <c r="B1657" s="29" t="s">
        <v>503</v>
      </c>
      <c r="C1657" s="29" t="s">
        <v>9316</v>
      </c>
      <c r="D1657" s="30" t="s">
        <v>112</v>
      </c>
      <c r="E1657" s="30" t="s">
        <v>7666</v>
      </c>
      <c r="F1657" s="32" t="n">
        <v>63</v>
      </c>
      <c r="G1657" s="31"/>
      <c r="H1657" s="31" t="n">
        <v>1</v>
      </c>
      <c r="I1657" s="31" t="s">
        <v>51</v>
      </c>
      <c r="J1657" s="29" t="s">
        <v>52</v>
      </c>
      <c r="K1657" s="29" t="s">
        <v>53</v>
      </c>
      <c r="L1657" s="32" t="n">
        <v>149</v>
      </c>
      <c r="M1657" s="33" t="s">
        <v>54</v>
      </c>
      <c r="N1657" s="34" t="n">
        <v>75015</v>
      </c>
      <c r="O1657" s="35" t="s">
        <v>55</v>
      </c>
      <c r="P1657" s="36" t="s">
        <v>2858</v>
      </c>
      <c r="Q1657" s="36" t="n">
        <v>236</v>
      </c>
      <c r="R1657" s="32" t="n">
        <v>53</v>
      </c>
      <c r="S1657" s="32" t="n">
        <v>1</v>
      </c>
      <c r="T1657" s="32"/>
      <c r="U1657" s="32"/>
      <c r="V1657" s="37"/>
      <c r="W1657" s="32"/>
      <c r="X1657" s="34"/>
      <c r="Y1657" s="34"/>
      <c r="Z1657" s="36"/>
      <c r="AA1657" s="32" t="s">
        <v>9317</v>
      </c>
      <c r="AB1657" s="32"/>
      <c r="AC1657" s="38" t="str">
        <f aca="false">HYPERLINK("https://biocodex6--c.vf.force.com/0014L00000KFzuYQAT", "RUBINSZTAJN ROBERT")</f>
        <v>RUBINSZTAJN ROBERT</v>
      </c>
      <c r="AD1657" s="38"/>
      <c r="AE1657" s="39"/>
      <c r="AF1657" s="40"/>
      <c r="AG1657" s="41"/>
      <c r="AH1657" s="32" t="s">
        <v>179</v>
      </c>
      <c r="AI1657" s="32"/>
      <c r="AL1657" s="32"/>
      <c r="AM1657" s="32"/>
      <c r="AN1657" s="32"/>
      <c r="AO1657" s="32"/>
      <c r="AP1657" s="32"/>
      <c r="AQ1657" s="32"/>
      <c r="AR1657" s="32"/>
      <c r="AS1657" s="32"/>
      <c r="AT1657" s="32"/>
      <c r="AU1657" s="32"/>
      <c r="XEY1657" s="27"/>
      <c r="XEZ1657" s="27"/>
      <c r="XFA1657" s="27"/>
      <c r="XFB1657" s="27"/>
      <c r="XFC1657" s="27"/>
      <c r="XFD1657" s="27"/>
    </row>
    <row r="1658" s="42" customFormat="true" ht="14.15" hidden="false" customHeight="true" outlineLevel="0" collapsed="false">
      <c r="A1658" s="28" t="s">
        <v>9318</v>
      </c>
      <c r="B1658" s="29" t="s">
        <v>9319</v>
      </c>
      <c r="C1658" s="29" t="s">
        <v>9320</v>
      </c>
      <c r="D1658" s="30" t="s">
        <v>112</v>
      </c>
      <c r="E1658" s="31"/>
      <c r="F1658" s="32" t="n">
        <v>45</v>
      </c>
      <c r="G1658" s="31" t="s">
        <v>215</v>
      </c>
      <c r="H1658" s="31" t="n">
        <v>3</v>
      </c>
      <c r="I1658" s="31" t="s">
        <v>51</v>
      </c>
      <c r="J1658" s="29" t="s">
        <v>52</v>
      </c>
      <c r="K1658" s="29" t="s">
        <v>53</v>
      </c>
      <c r="L1658" s="32" t="n">
        <v>149</v>
      </c>
      <c r="M1658" s="33" t="s">
        <v>54</v>
      </c>
      <c r="N1658" s="34" t="n">
        <v>75015</v>
      </c>
      <c r="O1658" s="35" t="s">
        <v>55</v>
      </c>
      <c r="P1658" s="36" t="s">
        <v>9321</v>
      </c>
      <c r="Q1658" s="36" t="n">
        <v>236</v>
      </c>
      <c r="R1658" s="32" t="n">
        <v>53</v>
      </c>
      <c r="S1658" s="32" t="n">
        <v>1</v>
      </c>
      <c r="T1658" s="32"/>
      <c r="U1658" s="32"/>
      <c r="V1658" s="37"/>
      <c r="W1658" s="32"/>
      <c r="X1658" s="34"/>
      <c r="Y1658" s="34"/>
      <c r="Z1658" s="32"/>
      <c r="AA1658" s="32" t="s">
        <v>9322</v>
      </c>
      <c r="AB1658" s="32" t="s">
        <v>9323</v>
      </c>
      <c r="AC1658" s="38" t="str">
        <f aca="false">HYPERLINK("https://biocodex6--c.vf.force.com/0014L00000KFcW1QAL", "GALLIOT SEVERINE")</f>
        <v>GALLIOT SEVERINE</v>
      </c>
      <c r="AD1658" s="38" t="str">
        <f aca="false">HYPERLINK("https://annuairesante.ameli.fr/professionnels-de-sante/recherche/fiche-detaillee-B7c1lTYyNzqw.html", "GALLIOT SEVERINE")</f>
        <v>GALLIOT SEVERINE</v>
      </c>
      <c r="AE1658" s="39"/>
      <c r="AF1658" s="40"/>
      <c r="AG1658" s="41"/>
      <c r="AH1658" s="32"/>
      <c r="AI1658" s="32"/>
      <c r="AL1658" s="32"/>
      <c r="AM1658" s="32"/>
      <c r="AN1658" s="32"/>
      <c r="AO1658" s="32"/>
      <c r="AP1658" s="32"/>
      <c r="AQ1658" s="32"/>
      <c r="AR1658" s="32"/>
      <c r="AS1658" s="32"/>
      <c r="AT1658" s="32"/>
      <c r="AU1658" s="32"/>
      <c r="XEY1658" s="27"/>
      <c r="XEZ1658" s="27"/>
      <c r="XFA1658" s="27"/>
      <c r="XFB1658" s="27"/>
      <c r="XFC1658" s="27"/>
      <c r="XFD1658" s="27"/>
    </row>
    <row r="1659" s="42" customFormat="true" ht="14.15" hidden="false" customHeight="true" outlineLevel="0" collapsed="false">
      <c r="A1659" s="28" t="s">
        <v>2848</v>
      </c>
      <c r="B1659" s="29" t="s">
        <v>3255</v>
      </c>
      <c r="C1659" s="29" t="s">
        <v>9324</v>
      </c>
      <c r="D1659" s="30" t="s">
        <v>172</v>
      </c>
      <c r="E1659" s="31"/>
      <c r="F1659" s="32" t="n">
        <v>59</v>
      </c>
      <c r="G1659" s="31"/>
      <c r="H1659" s="31" t="n">
        <v>3</v>
      </c>
      <c r="I1659" s="31" t="s">
        <v>51</v>
      </c>
      <c r="J1659" s="29" t="s">
        <v>850</v>
      </c>
      <c r="K1659" s="29" t="s">
        <v>851</v>
      </c>
      <c r="L1659" s="32" t="n">
        <v>178</v>
      </c>
      <c r="M1659" s="33" t="s">
        <v>852</v>
      </c>
      <c r="N1659" s="34" t="n">
        <v>75015</v>
      </c>
      <c r="O1659" s="35" t="s">
        <v>55</v>
      </c>
      <c r="P1659" s="36" t="s">
        <v>9325</v>
      </c>
      <c r="Q1659" s="36" t="n">
        <v>24</v>
      </c>
      <c r="R1659" s="32" t="n">
        <v>53</v>
      </c>
      <c r="S1659" s="32" t="n">
        <v>1</v>
      </c>
      <c r="T1659" s="43" t="s">
        <v>1107</v>
      </c>
      <c r="U1659" s="32" t="n">
        <v>3</v>
      </c>
      <c r="V1659" s="37"/>
      <c r="W1659" s="32"/>
      <c r="X1659" s="34"/>
      <c r="Y1659" s="34"/>
      <c r="Z1659" s="36"/>
      <c r="AA1659" s="32" t="s">
        <v>9326</v>
      </c>
      <c r="AB1659" s="32"/>
      <c r="AC1659" s="38" t="str">
        <f aca="false">HYPERLINK("https://biocodex6--c.vf.force.com/0014L00000KFrnjQAD", "MATHIEU DENIS")</f>
        <v>MATHIEU DENIS</v>
      </c>
      <c r="AD1659" s="38"/>
      <c r="AE1659" s="39"/>
      <c r="AF1659" s="40"/>
      <c r="AG1659" s="41"/>
      <c r="AH1659" s="32" t="s">
        <v>179</v>
      </c>
      <c r="AI1659" s="32"/>
      <c r="AL1659" s="32"/>
      <c r="AM1659" s="32"/>
      <c r="AN1659" s="32"/>
      <c r="AO1659" s="32"/>
      <c r="AP1659" s="32"/>
      <c r="AQ1659" s="32"/>
      <c r="AR1659" s="32"/>
      <c r="AS1659" s="32"/>
      <c r="AT1659" s="32"/>
      <c r="AU1659" s="32"/>
      <c r="XEY1659" s="27"/>
      <c r="XEZ1659" s="27"/>
      <c r="XFA1659" s="27"/>
      <c r="XFB1659" s="27"/>
      <c r="XFC1659" s="27"/>
      <c r="XFD1659" s="27"/>
    </row>
    <row r="1660" s="42" customFormat="true" ht="14.15" hidden="false" customHeight="true" outlineLevel="0" collapsed="false">
      <c r="A1660" s="28" t="s">
        <v>9327</v>
      </c>
      <c r="B1660" s="29" t="s">
        <v>9328</v>
      </c>
      <c r="C1660" s="29" t="s">
        <v>9329</v>
      </c>
      <c r="D1660" s="30" t="s">
        <v>172</v>
      </c>
      <c r="E1660" s="31"/>
      <c r="F1660" s="32" t="n">
        <v>43</v>
      </c>
      <c r="G1660" s="31"/>
      <c r="H1660" s="31" t="n">
        <v>1</v>
      </c>
      <c r="I1660" s="46" t="s">
        <v>435</v>
      </c>
      <c r="J1660" s="29"/>
      <c r="K1660" s="29" t="s">
        <v>1059</v>
      </c>
      <c r="L1660" s="32" t="n">
        <v>16</v>
      </c>
      <c r="M1660" s="33" t="s">
        <v>437</v>
      </c>
      <c r="N1660" s="34" t="n">
        <v>75016</v>
      </c>
      <c r="O1660" s="35" t="s">
        <v>55</v>
      </c>
      <c r="P1660" s="36" t="s">
        <v>9330</v>
      </c>
      <c r="Q1660" s="36" t="n">
        <v>2</v>
      </c>
      <c r="R1660" s="32" t="n">
        <v>53</v>
      </c>
      <c r="S1660" s="32" t="n">
        <v>1</v>
      </c>
      <c r="T1660" s="43" t="s">
        <v>1107</v>
      </c>
      <c r="U1660" s="32" t="n">
        <v>3</v>
      </c>
      <c r="V1660" s="37" t="n">
        <v>3</v>
      </c>
      <c r="W1660" s="32"/>
      <c r="X1660" s="34"/>
      <c r="Y1660" s="34"/>
      <c r="Z1660" s="36"/>
      <c r="AA1660" s="32" t="s">
        <v>9331</v>
      </c>
      <c r="AB1660" s="32"/>
      <c r="AC1660" s="38" t="str">
        <f aca="false">HYPERLINK("https://biocodex6--c.vf.force.com/0014L00000KFjZfQAL", "CLERY MELIN MARIE LAURE")</f>
        <v>CLERY MELIN MARIE LAURE</v>
      </c>
      <c r="AD1660" s="38"/>
      <c r="AE1660" s="39"/>
      <c r="AF1660" s="40"/>
      <c r="AG1660" s="41"/>
      <c r="AH1660" s="32" t="s">
        <v>179</v>
      </c>
      <c r="AI1660" s="32"/>
      <c r="AL1660" s="32"/>
      <c r="AM1660" s="32"/>
      <c r="AN1660" s="32"/>
      <c r="AO1660" s="32"/>
      <c r="AP1660" s="32"/>
      <c r="AQ1660" s="32"/>
      <c r="AR1660" s="32"/>
      <c r="AS1660" s="32"/>
      <c r="AT1660" s="32"/>
      <c r="AU1660" s="32"/>
      <c r="XEY1660" s="27"/>
      <c r="XEZ1660" s="27"/>
      <c r="XFA1660" s="27"/>
      <c r="XFB1660" s="27"/>
      <c r="XFC1660" s="27"/>
      <c r="XFD1660" s="27"/>
    </row>
    <row r="1661" s="42" customFormat="true" ht="14.15" hidden="false" customHeight="true" outlineLevel="0" collapsed="false">
      <c r="A1661" s="28" t="s">
        <v>221</v>
      </c>
      <c r="B1661" s="29" t="s">
        <v>353</v>
      </c>
      <c r="C1661" s="29" t="s">
        <v>9332</v>
      </c>
      <c r="D1661" s="30" t="s">
        <v>172</v>
      </c>
      <c r="E1661" s="31"/>
      <c r="F1661" s="32" t="n">
        <v>78</v>
      </c>
      <c r="G1661" s="31"/>
      <c r="H1661" s="31" t="n">
        <v>1</v>
      </c>
      <c r="I1661" s="31" t="s">
        <v>435</v>
      </c>
      <c r="J1661" s="29"/>
      <c r="K1661" s="29" t="s">
        <v>5650</v>
      </c>
      <c r="L1661" s="32" t="n">
        <v>4</v>
      </c>
      <c r="M1661" s="33" t="s">
        <v>5651</v>
      </c>
      <c r="N1661" s="34" t="n">
        <v>75016</v>
      </c>
      <c r="O1661" s="35" t="s">
        <v>55</v>
      </c>
      <c r="P1661" s="36" t="s">
        <v>9333</v>
      </c>
      <c r="Q1661" s="36" t="n">
        <v>3</v>
      </c>
      <c r="R1661" s="32" t="n">
        <v>53</v>
      </c>
      <c r="S1661" s="32" t="n">
        <v>1</v>
      </c>
      <c r="T1661" s="43" t="s">
        <v>316</v>
      </c>
      <c r="U1661" s="32"/>
      <c r="V1661" s="37"/>
      <c r="W1661" s="32"/>
      <c r="X1661" s="34"/>
      <c r="Y1661" s="34"/>
      <c r="Z1661" s="36"/>
      <c r="AA1661" s="32" t="s">
        <v>9334</v>
      </c>
      <c r="AB1661" s="32"/>
      <c r="AC1661" s="38" t="str">
        <f aca="false">HYPERLINK("https://biocodex6--c.vf.force.com/0014L00000KFSbNQAX", "BENOIT ALAIN")</f>
        <v>BENOIT ALAIN</v>
      </c>
      <c r="AD1661" s="38"/>
      <c r="AE1661" s="39"/>
      <c r="AF1661" s="40"/>
      <c r="AG1661" s="41"/>
      <c r="AH1661" s="32" t="s">
        <v>179</v>
      </c>
      <c r="AI1661" s="32"/>
      <c r="AL1661" s="32"/>
      <c r="AM1661" s="32"/>
      <c r="AN1661" s="32"/>
      <c r="AO1661" s="32"/>
      <c r="AP1661" s="32"/>
      <c r="AQ1661" s="32"/>
      <c r="AR1661" s="32"/>
      <c r="AS1661" s="32"/>
      <c r="AT1661" s="32"/>
      <c r="AU1661" s="32"/>
      <c r="XEY1661" s="27"/>
      <c r="XEZ1661" s="27"/>
      <c r="XFA1661" s="27"/>
      <c r="XFB1661" s="27"/>
      <c r="XFC1661" s="27"/>
      <c r="XFD1661" s="27"/>
    </row>
    <row r="1662" s="42" customFormat="true" ht="14.15" hidden="false" customHeight="true" outlineLevel="0" collapsed="false">
      <c r="A1662" s="28" t="s">
        <v>9335</v>
      </c>
      <c r="B1662" s="29" t="s">
        <v>9336</v>
      </c>
      <c r="C1662" s="29" t="s">
        <v>9337</v>
      </c>
      <c r="D1662" s="30" t="s">
        <v>172</v>
      </c>
      <c r="E1662" s="31"/>
      <c r="F1662" s="32" t="n">
        <v>56</v>
      </c>
      <c r="G1662" s="31"/>
      <c r="H1662" s="31" t="n">
        <v>3</v>
      </c>
      <c r="I1662" s="31" t="s">
        <v>435</v>
      </c>
      <c r="J1662" s="29"/>
      <c r="K1662" s="29" t="s">
        <v>6606</v>
      </c>
      <c r="L1662" s="32" t="n">
        <v>33</v>
      </c>
      <c r="M1662" s="33" t="s">
        <v>1450</v>
      </c>
      <c r="N1662" s="34" t="n">
        <v>75016</v>
      </c>
      <c r="O1662" s="35" t="s">
        <v>55</v>
      </c>
      <c r="P1662" s="36" t="s">
        <v>9338</v>
      </c>
      <c r="Q1662" s="36" t="n">
        <v>2</v>
      </c>
      <c r="R1662" s="32" t="n">
        <v>53</v>
      </c>
      <c r="S1662" s="32" t="n">
        <v>1</v>
      </c>
      <c r="T1662" s="43" t="s">
        <v>316</v>
      </c>
      <c r="U1662" s="32"/>
      <c r="V1662" s="37"/>
      <c r="W1662" s="32"/>
      <c r="X1662" s="34"/>
      <c r="Y1662" s="34"/>
      <c r="Z1662" s="36"/>
      <c r="AA1662" s="32" t="s">
        <v>9339</v>
      </c>
      <c r="AB1662" s="32"/>
      <c r="AC1662" s="38" t="str">
        <f aca="false">HYPERLINK("https://biocodex6--c.vf.force.com/0014L00000KG2vAQAT", "SIOBUD DOROCANT ERYC")</f>
        <v>SIOBUD DOROCANT ERYC</v>
      </c>
      <c r="AD1662" s="38"/>
      <c r="AE1662" s="39"/>
      <c r="AF1662" s="40"/>
      <c r="AG1662" s="41"/>
      <c r="AH1662" s="32" t="s">
        <v>179</v>
      </c>
      <c r="AI1662" s="32"/>
      <c r="AL1662" s="32"/>
      <c r="AM1662" s="32"/>
      <c r="AN1662" s="32"/>
      <c r="AO1662" s="32"/>
      <c r="AP1662" s="32"/>
      <c r="AQ1662" s="32"/>
      <c r="AR1662" s="32"/>
      <c r="AS1662" s="32"/>
      <c r="AT1662" s="32"/>
      <c r="AU1662" s="32"/>
      <c r="XEY1662" s="27"/>
      <c r="XEZ1662" s="27"/>
      <c r="XFA1662" s="27"/>
      <c r="XFB1662" s="27"/>
      <c r="XFC1662" s="27"/>
      <c r="XFD1662" s="27"/>
    </row>
    <row r="1663" s="42" customFormat="true" ht="14.15" hidden="false" customHeight="true" outlineLevel="0" collapsed="false">
      <c r="A1663" s="28" t="s">
        <v>9340</v>
      </c>
      <c r="B1663" s="29" t="s">
        <v>9341</v>
      </c>
      <c r="C1663" s="29" t="s">
        <v>9342</v>
      </c>
      <c r="D1663" s="30" t="s">
        <v>172</v>
      </c>
      <c r="E1663" s="30" t="s">
        <v>9343</v>
      </c>
      <c r="F1663" s="32" t="n">
        <v>49</v>
      </c>
      <c r="G1663" s="31"/>
      <c r="H1663" s="31" t="n">
        <v>2</v>
      </c>
      <c r="I1663" s="31" t="s">
        <v>435</v>
      </c>
      <c r="J1663" s="29"/>
      <c r="K1663" s="29" t="s">
        <v>9344</v>
      </c>
      <c r="L1663" s="32" t="n">
        <v>1</v>
      </c>
      <c r="M1663" s="33" t="s">
        <v>9345</v>
      </c>
      <c r="N1663" s="34" t="n">
        <v>75016</v>
      </c>
      <c r="O1663" s="35" t="s">
        <v>55</v>
      </c>
      <c r="P1663" s="36" t="s">
        <v>9346</v>
      </c>
      <c r="Q1663" s="36" t="n">
        <v>1</v>
      </c>
      <c r="R1663" s="32" t="n">
        <v>53</v>
      </c>
      <c r="S1663" s="32" t="n">
        <v>1</v>
      </c>
      <c r="T1663" s="43" t="s">
        <v>3663</v>
      </c>
      <c r="U1663" s="32"/>
      <c r="V1663" s="37"/>
      <c r="W1663" s="32"/>
      <c r="X1663" s="34"/>
      <c r="Y1663" s="34"/>
      <c r="Z1663" s="36"/>
      <c r="AA1663" s="32" t="s">
        <v>9347</v>
      </c>
      <c r="AB1663" s="32"/>
      <c r="AC1663" s="38" t="str">
        <f aca="false">HYPERLINK("https://biocodex6--c.vf.force.com/0014L00000KFqPbQAL", "MANDHOUJ OLFA")</f>
        <v>MANDHOUJ OLFA</v>
      </c>
      <c r="AD1663" s="38"/>
      <c r="AE1663" s="39"/>
      <c r="AF1663" s="40"/>
      <c r="AG1663" s="41"/>
      <c r="AH1663" s="32" t="s">
        <v>179</v>
      </c>
      <c r="AI1663" s="32"/>
      <c r="AL1663" s="32"/>
      <c r="AM1663" s="32"/>
      <c r="AN1663" s="32"/>
      <c r="AO1663" s="32"/>
      <c r="AP1663" s="32"/>
      <c r="AQ1663" s="32"/>
      <c r="AR1663" s="32"/>
      <c r="AS1663" s="32"/>
      <c r="AT1663" s="32"/>
      <c r="AU1663" s="32"/>
      <c r="XEY1663" s="27"/>
      <c r="XEZ1663" s="27"/>
      <c r="XFA1663" s="27"/>
      <c r="XFB1663" s="27"/>
      <c r="XFC1663" s="27"/>
      <c r="XFD1663" s="27"/>
    </row>
    <row r="1664" s="42" customFormat="true" ht="14.15" hidden="false" customHeight="true" outlineLevel="0" collapsed="false">
      <c r="A1664" s="28" t="s">
        <v>9348</v>
      </c>
      <c r="B1664" s="29" t="s">
        <v>3304</v>
      </c>
      <c r="C1664" s="29" t="s">
        <v>9349</v>
      </c>
      <c r="D1664" s="30" t="s">
        <v>172</v>
      </c>
      <c r="E1664" s="31"/>
      <c r="F1664" s="32" t="n">
        <v>66</v>
      </c>
      <c r="G1664" s="31"/>
      <c r="H1664" s="31" t="n">
        <v>1</v>
      </c>
      <c r="I1664" s="31" t="s">
        <v>62</v>
      </c>
      <c r="J1664" s="29"/>
      <c r="K1664" s="29" t="s">
        <v>9350</v>
      </c>
      <c r="L1664" s="32" t="n">
        <v>165</v>
      </c>
      <c r="M1664" s="33" t="s">
        <v>1138</v>
      </c>
      <c r="N1664" s="34" t="n">
        <v>75017</v>
      </c>
      <c r="O1664" s="35" t="s">
        <v>55</v>
      </c>
      <c r="P1664" s="36" t="s">
        <v>9351</v>
      </c>
      <c r="Q1664" s="36" t="n">
        <v>1</v>
      </c>
      <c r="R1664" s="32" t="n">
        <v>53</v>
      </c>
      <c r="S1664" s="32" t="n">
        <v>1</v>
      </c>
      <c r="T1664" s="43" t="s">
        <v>316</v>
      </c>
      <c r="U1664" s="32"/>
      <c r="V1664" s="37"/>
      <c r="W1664" s="32"/>
      <c r="X1664" s="34"/>
      <c r="Y1664" s="34"/>
      <c r="Z1664" s="36"/>
      <c r="AA1664" s="32" t="s">
        <v>9352</v>
      </c>
      <c r="AB1664" s="32"/>
      <c r="AC1664" s="38" t="str">
        <f aca="false">HYPERLINK("https://biocodex6--c.vf.force.com/0014L00000KFgObQAL", "GODET SYLVIE")</f>
        <v>GODET SYLVIE</v>
      </c>
      <c r="AD1664" s="38"/>
      <c r="AE1664" s="39"/>
      <c r="AF1664" s="40"/>
      <c r="AG1664" s="41"/>
      <c r="AH1664" s="32" t="s">
        <v>179</v>
      </c>
      <c r="AI1664" s="32"/>
      <c r="AL1664" s="32"/>
      <c r="AM1664" s="32"/>
      <c r="AN1664" s="32"/>
      <c r="AO1664" s="32"/>
      <c r="AP1664" s="32"/>
      <c r="AQ1664" s="32"/>
      <c r="AR1664" s="32"/>
      <c r="AS1664" s="32"/>
      <c r="AT1664" s="32"/>
      <c r="AU1664" s="32"/>
      <c r="XEY1664" s="27"/>
      <c r="XEZ1664" s="27"/>
      <c r="XFA1664" s="27"/>
      <c r="XFB1664" s="27"/>
      <c r="XFC1664" s="27"/>
      <c r="XFD1664" s="27"/>
    </row>
    <row r="1665" s="42" customFormat="true" ht="14.15" hidden="false" customHeight="true" outlineLevel="0" collapsed="false">
      <c r="A1665" s="28" t="s">
        <v>9353</v>
      </c>
      <c r="B1665" s="29" t="s">
        <v>9354</v>
      </c>
      <c r="C1665" s="29" t="s">
        <v>9355</v>
      </c>
      <c r="D1665" s="30" t="s">
        <v>172</v>
      </c>
      <c r="E1665" s="31"/>
      <c r="F1665" s="32" t="n">
        <v>47</v>
      </c>
      <c r="G1665" s="31"/>
      <c r="H1665" s="31" t="n">
        <v>1</v>
      </c>
      <c r="I1665" s="31" t="s">
        <v>197</v>
      </c>
      <c r="J1665" s="29"/>
      <c r="K1665" s="29" t="s">
        <v>9356</v>
      </c>
      <c r="L1665" s="32" t="n">
        <v>12</v>
      </c>
      <c r="M1665" s="33" t="s">
        <v>9357</v>
      </c>
      <c r="N1665" s="34" t="n">
        <v>75017</v>
      </c>
      <c r="O1665" s="35" t="s">
        <v>55</v>
      </c>
      <c r="P1665" s="36" t="s">
        <v>9358</v>
      </c>
      <c r="Q1665" s="36" t="n">
        <v>1</v>
      </c>
      <c r="R1665" s="32" t="n">
        <v>53</v>
      </c>
      <c r="S1665" s="32" t="n">
        <v>1</v>
      </c>
      <c r="T1665" s="43" t="s">
        <v>316</v>
      </c>
      <c r="U1665" s="32"/>
      <c r="V1665" s="37"/>
      <c r="W1665" s="32"/>
      <c r="X1665" s="34"/>
      <c r="Y1665" s="34"/>
      <c r="Z1665" s="36"/>
      <c r="AA1665" s="32" t="s">
        <v>9359</v>
      </c>
      <c r="AB1665" s="32"/>
      <c r="AC1665" s="38" t="str">
        <f aca="false">HYPERLINK("https://biocodex6--c.vf.force.com/0014L00000KFUNHQA5", "BILLE ARNAUD")</f>
        <v>BILLE ARNAUD</v>
      </c>
      <c r="AD1665" s="38"/>
      <c r="AE1665" s="39"/>
      <c r="AF1665" s="40"/>
      <c r="AG1665" s="41"/>
      <c r="AH1665" s="32" t="s">
        <v>179</v>
      </c>
      <c r="AI1665" s="32"/>
      <c r="AL1665" s="32"/>
      <c r="AM1665" s="32"/>
      <c r="AN1665" s="32"/>
      <c r="AO1665" s="32"/>
      <c r="AP1665" s="32"/>
      <c r="AQ1665" s="32"/>
      <c r="AR1665" s="32"/>
      <c r="AS1665" s="32"/>
      <c r="AT1665" s="32"/>
      <c r="AU1665" s="32"/>
      <c r="XEY1665" s="27"/>
      <c r="XEZ1665" s="27"/>
      <c r="XFA1665" s="27"/>
      <c r="XFB1665" s="27"/>
      <c r="XFC1665" s="27"/>
      <c r="XFD1665" s="27"/>
    </row>
    <row r="1666" s="42" customFormat="true" ht="14.15" hidden="false" customHeight="true" outlineLevel="0" collapsed="false">
      <c r="A1666" s="28" t="s">
        <v>9360</v>
      </c>
      <c r="B1666" s="29" t="s">
        <v>3304</v>
      </c>
      <c r="C1666" s="29" t="s">
        <v>9361</v>
      </c>
      <c r="D1666" s="30" t="s">
        <v>172</v>
      </c>
      <c r="E1666" s="30" t="s">
        <v>818</v>
      </c>
      <c r="F1666" s="32" t="n">
        <v>67</v>
      </c>
      <c r="G1666" s="31"/>
      <c r="H1666" s="31" t="n">
        <v>1</v>
      </c>
      <c r="I1666" s="31" t="s">
        <v>197</v>
      </c>
      <c r="J1666" s="29"/>
      <c r="K1666" s="29" t="s">
        <v>9362</v>
      </c>
      <c r="L1666" s="32" t="n">
        <v>62</v>
      </c>
      <c r="M1666" s="33" t="s">
        <v>2982</v>
      </c>
      <c r="N1666" s="34" t="n">
        <v>75017</v>
      </c>
      <c r="O1666" s="35" t="s">
        <v>55</v>
      </c>
      <c r="P1666" s="36" t="s">
        <v>9363</v>
      </c>
      <c r="Q1666" s="36" t="n">
        <v>1</v>
      </c>
      <c r="R1666" s="32" t="n">
        <v>53</v>
      </c>
      <c r="S1666" s="32" t="n">
        <v>1</v>
      </c>
      <c r="T1666" s="43" t="s">
        <v>1107</v>
      </c>
      <c r="U1666" s="32" t="n">
        <v>3</v>
      </c>
      <c r="V1666" s="37" t="n">
        <v>3</v>
      </c>
      <c r="W1666" s="32"/>
      <c r="X1666" s="34"/>
      <c r="Y1666" s="34"/>
      <c r="Z1666" s="36"/>
      <c r="AA1666" s="32" t="s">
        <v>9364</v>
      </c>
      <c r="AB1666" s="32"/>
      <c r="AC1666" s="38" t="str">
        <f aca="false">HYPERLINK("https://biocodex6--c.vf.force.com/0014L00000KFUfFQAX", "BRATTER SYLVIE")</f>
        <v>BRATTER SYLVIE</v>
      </c>
      <c r="AD1666" s="38"/>
      <c r="AE1666" s="39"/>
      <c r="AF1666" s="40"/>
      <c r="AG1666" s="41"/>
      <c r="AH1666" s="32" t="s">
        <v>179</v>
      </c>
      <c r="AI1666" s="32"/>
      <c r="AL1666" s="32"/>
      <c r="AM1666" s="32"/>
      <c r="AN1666" s="32"/>
      <c r="AO1666" s="32"/>
      <c r="AP1666" s="32"/>
      <c r="AQ1666" s="32"/>
      <c r="AR1666" s="32"/>
      <c r="AS1666" s="32"/>
      <c r="AT1666" s="32"/>
      <c r="AU1666" s="32"/>
      <c r="XEY1666" s="27"/>
      <c r="XEZ1666" s="27"/>
      <c r="XFA1666" s="27"/>
      <c r="XFB1666" s="27"/>
      <c r="XFC1666" s="27"/>
      <c r="XFD1666" s="27"/>
    </row>
    <row r="1667" s="42" customFormat="true" ht="14.15" hidden="false" customHeight="true" outlineLevel="0" collapsed="false">
      <c r="A1667" s="28" t="s">
        <v>9365</v>
      </c>
      <c r="B1667" s="29" t="s">
        <v>8314</v>
      </c>
      <c r="C1667" s="29" t="s">
        <v>9366</v>
      </c>
      <c r="D1667" s="30" t="s">
        <v>172</v>
      </c>
      <c r="E1667" s="30" t="s">
        <v>245</v>
      </c>
      <c r="F1667" s="32" t="n">
        <v>68</v>
      </c>
      <c r="G1667" s="31"/>
      <c r="H1667" s="31" t="n">
        <v>1</v>
      </c>
      <c r="I1667" s="31" t="s">
        <v>173</v>
      </c>
      <c r="J1667" s="29" t="s">
        <v>1986</v>
      </c>
      <c r="K1667" s="29" t="s">
        <v>1987</v>
      </c>
      <c r="L1667" s="32" t="n">
        <v>76</v>
      </c>
      <c r="M1667" s="33" t="s">
        <v>1988</v>
      </c>
      <c r="N1667" s="34" t="n">
        <v>75016</v>
      </c>
      <c r="O1667" s="35" t="s">
        <v>55</v>
      </c>
      <c r="P1667" s="36" t="s">
        <v>9367</v>
      </c>
      <c r="Q1667" s="36" t="n">
        <v>5</v>
      </c>
      <c r="R1667" s="32" t="n">
        <v>53</v>
      </c>
      <c r="S1667" s="32" t="n">
        <v>1</v>
      </c>
      <c r="T1667" s="43" t="s">
        <v>177</v>
      </c>
      <c r="U1667" s="32"/>
      <c r="V1667" s="37"/>
      <c r="W1667" s="32"/>
      <c r="X1667" s="34"/>
      <c r="Y1667" s="34"/>
      <c r="Z1667" s="36"/>
      <c r="AA1667" s="32" t="s">
        <v>9368</v>
      </c>
      <c r="AB1667" s="32"/>
      <c r="AC1667" s="38" t="str">
        <f aca="false">HYPERLINK("https://biocodex6--c.vf.force.com/0014L00000KFnNUQA1", "LE DORIOL ANNE LAURE")</f>
        <v>LE DORIOL ANNE LAURE</v>
      </c>
      <c r="AD1667" s="38"/>
      <c r="AE1667" s="39"/>
      <c r="AF1667" s="40"/>
      <c r="AG1667" s="41"/>
      <c r="AH1667" s="32" t="s">
        <v>179</v>
      </c>
      <c r="AI1667" s="32"/>
      <c r="AL1667" s="32"/>
      <c r="AM1667" s="32"/>
      <c r="AN1667" s="32"/>
      <c r="AO1667" s="32"/>
      <c r="AP1667" s="32"/>
      <c r="AQ1667" s="32"/>
      <c r="AR1667" s="32"/>
      <c r="AS1667" s="32"/>
      <c r="AT1667" s="32"/>
      <c r="AU1667" s="32"/>
      <c r="XEY1667" s="27"/>
      <c r="XEZ1667" s="27"/>
      <c r="XFA1667" s="27"/>
      <c r="XFB1667" s="27"/>
      <c r="XFC1667" s="27"/>
      <c r="XFD1667" s="27"/>
    </row>
    <row r="1668" s="42" customFormat="true" ht="14.15" hidden="false" customHeight="true" outlineLevel="0" collapsed="false">
      <c r="A1668" s="28" t="s">
        <v>9369</v>
      </c>
      <c r="B1668" s="29" t="s">
        <v>2254</v>
      </c>
      <c r="C1668" s="29" t="s">
        <v>9370</v>
      </c>
      <c r="D1668" s="30" t="s">
        <v>172</v>
      </c>
      <c r="E1668" s="31"/>
      <c r="F1668" s="32" t="n">
        <v>73</v>
      </c>
      <c r="G1668" s="31"/>
      <c r="H1668" s="31" t="n">
        <v>1</v>
      </c>
      <c r="I1668" s="31" t="s">
        <v>173</v>
      </c>
      <c r="J1668" s="29"/>
      <c r="K1668" s="29" t="s">
        <v>1922</v>
      </c>
      <c r="L1668" s="32" t="n">
        <v>29</v>
      </c>
      <c r="M1668" s="33" t="s">
        <v>1923</v>
      </c>
      <c r="N1668" s="34" t="n">
        <v>75016</v>
      </c>
      <c r="O1668" s="35" t="s">
        <v>55</v>
      </c>
      <c r="P1668" s="36" t="s">
        <v>9371</v>
      </c>
      <c r="Q1668" s="36" t="n">
        <v>3</v>
      </c>
      <c r="R1668" s="32" t="n">
        <v>53</v>
      </c>
      <c r="S1668" s="32" t="n">
        <v>1</v>
      </c>
      <c r="T1668" s="43" t="s">
        <v>316</v>
      </c>
      <c r="U1668" s="32"/>
      <c r="V1668" s="37"/>
      <c r="W1668" s="32"/>
      <c r="X1668" s="34"/>
      <c r="Y1668" s="34"/>
      <c r="Z1668" s="36"/>
      <c r="AA1668" s="32" t="s">
        <v>9372</v>
      </c>
      <c r="AB1668" s="32"/>
      <c r="AC1668" s="38" t="str">
        <f aca="false">HYPERLINK("https://biocodex6--c.vf.force.com/0014L00000KFf8LQAT", "GARNIER BERTRAND")</f>
        <v>GARNIER BERTRAND</v>
      </c>
      <c r="AD1668" s="38"/>
      <c r="AE1668" s="39"/>
      <c r="AF1668" s="40"/>
      <c r="AG1668" s="41"/>
      <c r="AH1668" s="32" t="s">
        <v>179</v>
      </c>
      <c r="AI1668" s="32"/>
      <c r="AL1668" s="32"/>
      <c r="AM1668" s="32"/>
      <c r="AN1668" s="32"/>
      <c r="AO1668" s="32"/>
      <c r="AP1668" s="32"/>
      <c r="AQ1668" s="32"/>
      <c r="AR1668" s="32"/>
      <c r="AS1668" s="32"/>
      <c r="AT1668" s="32"/>
      <c r="AU1668" s="32"/>
      <c r="XEY1668" s="27"/>
      <c r="XEZ1668" s="27"/>
      <c r="XFA1668" s="27"/>
      <c r="XFB1668" s="27"/>
      <c r="XFC1668" s="27"/>
      <c r="XFD1668" s="27"/>
    </row>
    <row r="1669" s="42" customFormat="true" ht="14.15" hidden="false" customHeight="true" outlineLevel="0" collapsed="false">
      <c r="A1669" s="28" t="s">
        <v>1084</v>
      </c>
      <c r="B1669" s="29" t="s">
        <v>9373</v>
      </c>
      <c r="C1669" s="29" t="s">
        <v>9374</v>
      </c>
      <c r="D1669" s="30" t="s">
        <v>75</v>
      </c>
      <c r="E1669" s="30" t="s">
        <v>76</v>
      </c>
      <c r="F1669" s="32" t="n">
        <v>51</v>
      </c>
      <c r="G1669" s="31" t="s">
        <v>215</v>
      </c>
      <c r="H1669" s="31" t="n">
        <v>1</v>
      </c>
      <c r="I1669" s="31" t="s">
        <v>233</v>
      </c>
      <c r="J1669" s="29"/>
      <c r="K1669" s="29" t="s">
        <v>8036</v>
      </c>
      <c r="L1669" s="32" t="n">
        <v>136</v>
      </c>
      <c r="M1669" s="33" t="s">
        <v>588</v>
      </c>
      <c r="N1669" s="34" t="n">
        <v>75015</v>
      </c>
      <c r="O1669" s="35" t="s">
        <v>55</v>
      </c>
      <c r="P1669" s="36" t="s">
        <v>9375</v>
      </c>
      <c r="Q1669" s="36" t="n">
        <v>3</v>
      </c>
      <c r="R1669" s="32" t="n">
        <v>53</v>
      </c>
      <c r="S1669" s="32" t="n">
        <v>1</v>
      </c>
      <c r="T1669" s="32"/>
      <c r="U1669" s="32"/>
      <c r="V1669" s="37"/>
      <c r="W1669" s="32"/>
      <c r="X1669" s="34"/>
      <c r="Y1669" s="34"/>
      <c r="Z1669" s="36"/>
      <c r="AA1669" s="32" t="s">
        <v>9376</v>
      </c>
      <c r="AB1669" s="32" t="s">
        <v>9377</v>
      </c>
      <c r="AC1669" s="38" t="str">
        <f aca="false">HYPERLINK("https://biocodex6--c.vf.force.com/0014L00000KFSAZQA5", "HASSAN RIM")</f>
        <v>HASSAN RIM</v>
      </c>
      <c r="AD1669" s="38" t="str">
        <f aca="false">HYPERLINK("https://annuairesante.ameli.fr/professionnels-de-sante/recherche/fiche-detaillee-B7c1mjA2MTO2.html", "HASSAN RIM")</f>
        <v>HASSAN RIM</v>
      </c>
      <c r="AE1669" s="39"/>
      <c r="AF1669" s="40"/>
      <c r="AG1669" s="41"/>
      <c r="AH1669" s="32" t="s">
        <v>179</v>
      </c>
      <c r="AI1669" s="32"/>
      <c r="AL1669" s="32"/>
      <c r="AM1669" s="32"/>
      <c r="AN1669" s="32"/>
      <c r="AO1669" s="32"/>
      <c r="AP1669" s="32"/>
      <c r="AQ1669" s="32"/>
      <c r="AR1669" s="32"/>
      <c r="AS1669" s="32"/>
      <c r="AT1669" s="32"/>
      <c r="AU1669" s="32"/>
      <c r="XEY1669" s="27"/>
      <c r="XEZ1669" s="27"/>
      <c r="XFA1669" s="27"/>
      <c r="XFB1669" s="27"/>
      <c r="XFC1669" s="27"/>
      <c r="XFD1669" s="27"/>
    </row>
    <row r="1670" s="42" customFormat="true" ht="14.15" hidden="false" customHeight="true" outlineLevel="0" collapsed="false">
      <c r="A1670" s="28" t="s">
        <v>9378</v>
      </c>
      <c r="B1670" s="29" t="s">
        <v>543</v>
      </c>
      <c r="C1670" s="29" t="s">
        <v>9379</v>
      </c>
      <c r="D1670" s="30" t="s">
        <v>1103</v>
      </c>
      <c r="E1670" s="30" t="s">
        <v>818</v>
      </c>
      <c r="F1670" s="32" t="n">
        <v>61</v>
      </c>
      <c r="G1670" s="31"/>
      <c r="H1670" s="31" t="n">
        <v>1</v>
      </c>
      <c r="I1670" s="31" t="s">
        <v>173</v>
      </c>
      <c r="J1670" s="29"/>
      <c r="K1670" s="29" t="s">
        <v>9380</v>
      </c>
      <c r="L1670" s="32" t="n">
        <v>54</v>
      </c>
      <c r="M1670" s="33" t="s">
        <v>1637</v>
      </c>
      <c r="N1670" s="34" t="n">
        <v>75016</v>
      </c>
      <c r="O1670" s="35" t="s">
        <v>55</v>
      </c>
      <c r="P1670" s="36" t="s">
        <v>9381</v>
      </c>
      <c r="Q1670" s="36" t="n">
        <v>1</v>
      </c>
      <c r="R1670" s="32" t="n">
        <v>52</v>
      </c>
      <c r="S1670" s="32" t="n">
        <v>1</v>
      </c>
      <c r="T1670" s="43" t="s">
        <v>2197</v>
      </c>
      <c r="U1670" s="32" t="n">
        <v>3</v>
      </c>
      <c r="V1670" s="37"/>
      <c r="W1670" s="32" t="n">
        <v>4</v>
      </c>
      <c r="X1670" s="34" t="n">
        <v>1</v>
      </c>
      <c r="Y1670" s="34" t="n">
        <v>2</v>
      </c>
      <c r="Z1670" s="36"/>
      <c r="AA1670" s="32" t="s">
        <v>9382</v>
      </c>
      <c r="AB1670" s="44"/>
      <c r="AC1670" s="38" t="str">
        <f aca="false">HYPERLINK("https://biocodex6--c.vf.force.com/0014L00000KFRlqQAH", "BAROIS CHRISTINE")</f>
        <v>BAROIS CHRISTINE</v>
      </c>
      <c r="AD1670" s="38"/>
      <c r="AE1670" s="39" t="n">
        <v>45345.6041666667</v>
      </c>
      <c r="AF1670" s="40" t="s">
        <v>9383</v>
      </c>
      <c r="AG1670" s="41"/>
      <c r="AH1670" s="32" t="s">
        <v>3469</v>
      </c>
      <c r="AI1670" s="32"/>
      <c r="AL1670" s="32"/>
      <c r="AM1670" s="32"/>
      <c r="AN1670" s="32"/>
      <c r="AO1670" s="32"/>
      <c r="AP1670" s="32"/>
      <c r="AQ1670" s="32"/>
      <c r="AR1670" s="32"/>
      <c r="AS1670" s="32"/>
      <c r="AT1670" s="32"/>
      <c r="AU1670" s="32"/>
      <c r="XEY1670" s="27"/>
      <c r="XEZ1670" s="27"/>
      <c r="XFA1670" s="27"/>
      <c r="XFB1670" s="27"/>
      <c r="XFC1670" s="27"/>
      <c r="XFD1670" s="27"/>
    </row>
    <row r="1671" s="42" customFormat="true" ht="14.15" hidden="false" customHeight="true" outlineLevel="0" collapsed="false">
      <c r="A1671" s="28" t="s">
        <v>9384</v>
      </c>
      <c r="B1671" s="29" t="s">
        <v>9385</v>
      </c>
      <c r="C1671" s="29" t="s">
        <v>9386</v>
      </c>
      <c r="D1671" s="30" t="s">
        <v>172</v>
      </c>
      <c r="E1671" s="30" t="s">
        <v>1103</v>
      </c>
      <c r="F1671" s="32" t="n">
        <v>71</v>
      </c>
      <c r="G1671" s="31"/>
      <c r="H1671" s="31" t="n">
        <v>1</v>
      </c>
      <c r="I1671" s="31" t="s">
        <v>173</v>
      </c>
      <c r="J1671" s="29"/>
      <c r="K1671" s="29" t="s">
        <v>8854</v>
      </c>
      <c r="L1671" s="32" t="n">
        <v>20</v>
      </c>
      <c r="M1671" s="33" t="s">
        <v>498</v>
      </c>
      <c r="N1671" s="34" t="n">
        <v>75016</v>
      </c>
      <c r="O1671" s="35" t="s">
        <v>55</v>
      </c>
      <c r="P1671" s="36"/>
      <c r="Q1671" s="36" t="n">
        <v>2</v>
      </c>
      <c r="R1671" s="32" t="n">
        <v>52</v>
      </c>
      <c r="S1671" s="32" t="n">
        <v>1</v>
      </c>
      <c r="T1671" s="43" t="s">
        <v>4813</v>
      </c>
      <c r="U1671" s="32"/>
      <c r="V1671" s="37"/>
      <c r="W1671" s="32"/>
      <c r="X1671" s="34"/>
      <c r="Y1671" s="34" t="n">
        <v>1</v>
      </c>
      <c r="Z1671" s="32"/>
      <c r="AA1671" s="32" t="s">
        <v>9387</v>
      </c>
      <c r="AB1671" s="44"/>
      <c r="AC1671" s="38" t="str">
        <f aca="false">HYPERLINK("https://biocodex6--c.vf.force.com/0014L00000KFpBEQA1", "MADELIN CLAUDE JEANNE")</f>
        <v>MADELIN CLAUDE JEANNE</v>
      </c>
      <c r="AD1671" s="38"/>
      <c r="AE1671" s="39" t="n">
        <v>45450.5</v>
      </c>
      <c r="AF1671" s="40" t="s">
        <v>9388</v>
      </c>
      <c r="AG1671" s="41" t="s">
        <v>69</v>
      </c>
      <c r="AH1671" s="32" t="s">
        <v>70</v>
      </c>
      <c r="AI1671" s="32" t="s">
        <v>71</v>
      </c>
      <c r="AJ1671" s="42" t="s">
        <v>9389</v>
      </c>
      <c r="AL1671" s="32"/>
      <c r="AM1671" s="32"/>
      <c r="AN1671" s="32"/>
      <c r="AO1671" s="32"/>
      <c r="AP1671" s="32"/>
      <c r="AQ1671" s="32"/>
      <c r="AR1671" s="32"/>
      <c r="AS1671" s="32"/>
      <c r="AT1671" s="32"/>
      <c r="AU1671" s="32"/>
      <c r="XEY1671" s="27"/>
      <c r="XEZ1671" s="27"/>
      <c r="XFA1671" s="27"/>
      <c r="XFB1671" s="27"/>
      <c r="XFC1671" s="27"/>
      <c r="XFD1671" s="27"/>
    </row>
    <row r="1672" s="42" customFormat="true" ht="14.15" hidden="false" customHeight="true" outlineLevel="0" collapsed="false">
      <c r="A1672" s="28" t="s">
        <v>9390</v>
      </c>
      <c r="B1672" s="29" t="s">
        <v>1236</v>
      </c>
      <c r="C1672" s="29" t="s">
        <v>9391</v>
      </c>
      <c r="D1672" s="30" t="s">
        <v>1103</v>
      </c>
      <c r="E1672" s="31"/>
      <c r="F1672" s="32" t="n">
        <v>63</v>
      </c>
      <c r="G1672" s="31"/>
      <c r="H1672" s="31" t="n">
        <v>2</v>
      </c>
      <c r="I1672" s="31" t="s">
        <v>387</v>
      </c>
      <c r="J1672" s="29"/>
      <c r="K1672" s="29" t="s">
        <v>9392</v>
      </c>
      <c r="L1672" s="32" t="n">
        <v>62</v>
      </c>
      <c r="M1672" s="33" t="s">
        <v>2778</v>
      </c>
      <c r="N1672" s="34" t="n">
        <v>75016</v>
      </c>
      <c r="O1672" s="35" t="s">
        <v>55</v>
      </c>
      <c r="P1672" s="36"/>
      <c r="Q1672" s="36" t="n">
        <v>1</v>
      </c>
      <c r="R1672" s="32" t="n">
        <v>52</v>
      </c>
      <c r="S1672" s="32" t="n">
        <v>1</v>
      </c>
      <c r="T1672" s="43" t="s">
        <v>177</v>
      </c>
      <c r="U1672" s="32"/>
      <c r="V1672" s="37"/>
      <c r="W1672" s="32"/>
      <c r="X1672" s="34"/>
      <c r="Y1672" s="34"/>
      <c r="Z1672" s="32" t="s">
        <v>9393</v>
      </c>
      <c r="AA1672" s="32" t="s">
        <v>9394</v>
      </c>
      <c r="AB1672" s="32"/>
      <c r="AC1672" s="38" t="str">
        <f aca="false">HYPERLINK("https://biocodex6--c.vf.force.com/0014L00000KFubaQAD", "PAPELIER JEAN MARC")</f>
        <v>PAPELIER JEAN MARC</v>
      </c>
      <c r="AD1672" s="38"/>
      <c r="AE1672" s="39"/>
      <c r="AF1672" s="40"/>
      <c r="AG1672" s="41"/>
      <c r="AH1672" s="32"/>
      <c r="AI1672" s="32"/>
      <c r="AL1672" s="32"/>
      <c r="AM1672" s="32"/>
      <c r="AN1672" s="32"/>
      <c r="AO1672" s="32"/>
      <c r="AP1672" s="32"/>
      <c r="AQ1672" s="32"/>
      <c r="AR1672" s="32"/>
      <c r="AS1672" s="32"/>
      <c r="AT1672" s="32"/>
      <c r="AU1672" s="32"/>
      <c r="XEY1672" s="27"/>
      <c r="XEZ1672" s="27"/>
      <c r="XFA1672" s="27"/>
      <c r="XFB1672" s="27"/>
      <c r="XFC1672" s="27"/>
      <c r="XFD1672" s="27"/>
    </row>
    <row r="1673" s="42" customFormat="true" ht="14.15" hidden="false" customHeight="true" outlineLevel="0" collapsed="false">
      <c r="A1673" s="28" t="s">
        <v>9395</v>
      </c>
      <c r="B1673" s="29" t="s">
        <v>2081</v>
      </c>
      <c r="C1673" s="29" t="s">
        <v>9396</v>
      </c>
      <c r="D1673" s="30" t="s">
        <v>172</v>
      </c>
      <c r="E1673" s="30" t="s">
        <v>818</v>
      </c>
      <c r="F1673" s="32" t="n">
        <v>70</v>
      </c>
      <c r="G1673" s="31"/>
      <c r="H1673" s="31" t="n">
        <v>1</v>
      </c>
      <c r="I1673" s="31" t="s">
        <v>119</v>
      </c>
      <c r="J1673" s="29"/>
      <c r="K1673" s="29" t="s">
        <v>8822</v>
      </c>
      <c r="L1673" s="32" t="n">
        <v>17</v>
      </c>
      <c r="M1673" s="33" t="s">
        <v>5621</v>
      </c>
      <c r="N1673" s="34" t="n">
        <v>75007</v>
      </c>
      <c r="O1673" s="35" t="s">
        <v>55</v>
      </c>
      <c r="P1673" s="36"/>
      <c r="Q1673" s="36" t="n">
        <v>2</v>
      </c>
      <c r="R1673" s="32" t="n">
        <v>52</v>
      </c>
      <c r="S1673" s="32" t="n">
        <v>1</v>
      </c>
      <c r="T1673" s="43" t="s">
        <v>316</v>
      </c>
      <c r="U1673" s="32"/>
      <c r="V1673" s="37"/>
      <c r="W1673" s="32"/>
      <c r="X1673" s="34"/>
      <c r="Y1673" s="34"/>
      <c r="Z1673" s="36"/>
      <c r="AA1673" s="32" t="s">
        <v>9397</v>
      </c>
      <c r="AB1673" s="32"/>
      <c r="AC1673" s="38" t="str">
        <f aca="false">HYPERLINK("https://biocodex6--c.vf.force.com/0014L00000KFT4QQAX", "BERRIAU PATRICIA")</f>
        <v>BERRIAU PATRICIA</v>
      </c>
      <c r="AD1673" s="38"/>
      <c r="AE1673" s="39"/>
      <c r="AF1673" s="40"/>
      <c r="AG1673" s="41"/>
      <c r="AH1673" s="32" t="s">
        <v>179</v>
      </c>
      <c r="AI1673" s="32"/>
      <c r="AL1673" s="32"/>
      <c r="AM1673" s="32"/>
      <c r="AN1673" s="32"/>
      <c r="AO1673" s="32"/>
      <c r="AP1673" s="32"/>
      <c r="AQ1673" s="32"/>
      <c r="AR1673" s="32"/>
      <c r="AS1673" s="32"/>
      <c r="AT1673" s="32"/>
      <c r="AU1673" s="32"/>
      <c r="XEY1673" s="27"/>
      <c r="XEZ1673" s="27"/>
      <c r="XFA1673" s="27"/>
      <c r="XFB1673" s="27"/>
      <c r="XFC1673" s="27"/>
      <c r="XFD1673" s="27"/>
    </row>
    <row r="1674" s="42" customFormat="true" ht="14.15" hidden="false" customHeight="true" outlineLevel="0" collapsed="false">
      <c r="A1674" s="28" t="s">
        <v>9398</v>
      </c>
      <c r="B1674" s="29" t="s">
        <v>1101</v>
      </c>
      <c r="C1674" s="29" t="s">
        <v>9399</v>
      </c>
      <c r="D1674" s="30" t="s">
        <v>172</v>
      </c>
      <c r="E1674" s="30" t="s">
        <v>818</v>
      </c>
      <c r="F1674" s="32" t="n">
        <v>0</v>
      </c>
      <c r="G1674" s="31"/>
      <c r="H1674" s="31" t="n">
        <v>1</v>
      </c>
      <c r="I1674" s="31" t="s">
        <v>119</v>
      </c>
      <c r="J1674" s="29" t="s">
        <v>9400</v>
      </c>
      <c r="K1674" s="29" t="s">
        <v>9401</v>
      </c>
      <c r="L1674" s="32" t="n">
        <v>39</v>
      </c>
      <c r="M1674" s="33" t="s">
        <v>6202</v>
      </c>
      <c r="N1674" s="34" t="n">
        <v>75007</v>
      </c>
      <c r="O1674" s="35" t="s">
        <v>55</v>
      </c>
      <c r="P1674" s="36" t="s">
        <v>9402</v>
      </c>
      <c r="Q1674" s="36" t="n">
        <v>5</v>
      </c>
      <c r="R1674" s="32" t="n">
        <v>52</v>
      </c>
      <c r="S1674" s="32" t="n">
        <v>1</v>
      </c>
      <c r="T1674" s="43" t="s">
        <v>316</v>
      </c>
      <c r="U1674" s="32"/>
      <c r="V1674" s="37"/>
      <c r="W1674" s="32"/>
      <c r="X1674" s="34"/>
      <c r="Y1674" s="34"/>
      <c r="Z1674" s="32"/>
      <c r="AA1674" s="32"/>
      <c r="AB1674" s="32"/>
      <c r="AC1674" s="38"/>
      <c r="AD1674" s="38"/>
      <c r="AE1674" s="39"/>
      <c r="AF1674" s="40"/>
      <c r="AG1674" s="45"/>
      <c r="AH1674" s="32"/>
      <c r="AI1674" s="32"/>
      <c r="AL1674" s="32"/>
      <c r="AM1674" s="32"/>
      <c r="AN1674" s="32"/>
      <c r="AO1674" s="32"/>
      <c r="AP1674" s="32"/>
      <c r="AQ1674" s="32"/>
      <c r="AR1674" s="32"/>
      <c r="AS1674" s="32"/>
      <c r="AT1674" s="32"/>
      <c r="AU1674" s="32"/>
      <c r="XEY1674" s="27"/>
      <c r="XEZ1674" s="27"/>
      <c r="XFA1674" s="27"/>
      <c r="XFB1674" s="27"/>
      <c r="XFC1674" s="27"/>
      <c r="XFD1674" s="27"/>
    </row>
    <row r="1675" s="42" customFormat="true" ht="14.15" hidden="false" customHeight="true" outlineLevel="0" collapsed="false">
      <c r="A1675" s="28" t="s">
        <v>9403</v>
      </c>
      <c r="B1675" s="29" t="s">
        <v>9404</v>
      </c>
      <c r="C1675" s="29" t="s">
        <v>9405</v>
      </c>
      <c r="D1675" s="30" t="s">
        <v>172</v>
      </c>
      <c r="E1675" s="31"/>
      <c r="F1675" s="32" t="n">
        <v>53</v>
      </c>
      <c r="G1675" s="31"/>
      <c r="H1675" s="31" t="n">
        <v>1</v>
      </c>
      <c r="I1675" s="31" t="s">
        <v>119</v>
      </c>
      <c r="J1675" s="29"/>
      <c r="K1675" s="29" t="s">
        <v>7026</v>
      </c>
      <c r="L1675" s="32" t="n">
        <v>9</v>
      </c>
      <c r="M1675" s="33" t="s">
        <v>7027</v>
      </c>
      <c r="N1675" s="34" t="n">
        <v>75007</v>
      </c>
      <c r="O1675" s="35" t="s">
        <v>55</v>
      </c>
      <c r="P1675" s="36" t="s">
        <v>9406</v>
      </c>
      <c r="Q1675" s="36" t="n">
        <v>2</v>
      </c>
      <c r="R1675" s="32" t="n">
        <v>52</v>
      </c>
      <c r="S1675" s="32" t="n">
        <v>1</v>
      </c>
      <c r="T1675" s="43" t="s">
        <v>1107</v>
      </c>
      <c r="U1675" s="32"/>
      <c r="V1675" s="37" t="n">
        <v>3</v>
      </c>
      <c r="W1675" s="32"/>
      <c r="X1675" s="34"/>
      <c r="Y1675" s="34"/>
      <c r="Z1675" s="36"/>
      <c r="AA1675" s="32" t="s">
        <v>9407</v>
      </c>
      <c r="AB1675" s="32"/>
      <c r="AC1675" s="38" t="str">
        <f aca="false">HYPERLINK("https://biocodex6--c.vf.force.com/0014L00000KFVnuQAH", "BOUCHE MARIE CELINE")</f>
        <v>BOUCHE MARIE CELINE</v>
      </c>
      <c r="AD1675" s="38"/>
      <c r="AE1675" s="39"/>
      <c r="AF1675" s="40"/>
      <c r="AG1675" s="41"/>
      <c r="AH1675" s="32" t="s">
        <v>179</v>
      </c>
      <c r="AI1675" s="32"/>
      <c r="AL1675" s="32"/>
      <c r="AM1675" s="32"/>
      <c r="AN1675" s="32"/>
      <c r="AO1675" s="32"/>
      <c r="AP1675" s="32"/>
      <c r="AQ1675" s="32"/>
      <c r="AR1675" s="32"/>
      <c r="AS1675" s="32"/>
      <c r="AT1675" s="32"/>
      <c r="AU1675" s="32"/>
      <c r="XEY1675" s="27"/>
      <c r="XEZ1675" s="27"/>
      <c r="XFA1675" s="27"/>
      <c r="XFB1675" s="27"/>
      <c r="XFC1675" s="27"/>
      <c r="XFD1675" s="27"/>
    </row>
    <row r="1676" s="42" customFormat="true" ht="14.15" hidden="false" customHeight="true" outlineLevel="0" collapsed="false">
      <c r="A1676" s="28" t="s">
        <v>9408</v>
      </c>
      <c r="B1676" s="29" t="s">
        <v>3727</v>
      </c>
      <c r="C1676" s="29" t="s">
        <v>9409</v>
      </c>
      <c r="D1676" s="30" t="s">
        <v>172</v>
      </c>
      <c r="E1676" s="30" t="s">
        <v>6186</v>
      </c>
      <c r="F1676" s="32" t="n">
        <v>45</v>
      </c>
      <c r="G1676" s="31"/>
      <c r="H1676" s="31" t="n">
        <v>1</v>
      </c>
      <c r="I1676" s="31" t="s">
        <v>435</v>
      </c>
      <c r="J1676" s="29"/>
      <c r="K1676" s="29" t="s">
        <v>9410</v>
      </c>
      <c r="L1676" s="32" t="n">
        <v>36</v>
      </c>
      <c r="M1676" s="33" t="s">
        <v>1239</v>
      </c>
      <c r="N1676" s="34" t="n">
        <v>75016</v>
      </c>
      <c r="O1676" s="35" t="s">
        <v>55</v>
      </c>
      <c r="P1676" s="36" t="s">
        <v>9411</v>
      </c>
      <c r="Q1676" s="36" t="n">
        <v>1</v>
      </c>
      <c r="R1676" s="32" t="n">
        <v>52</v>
      </c>
      <c r="S1676" s="32" t="n">
        <v>1</v>
      </c>
      <c r="T1676" s="43" t="s">
        <v>316</v>
      </c>
      <c r="U1676" s="32"/>
      <c r="V1676" s="37"/>
      <c r="W1676" s="32"/>
      <c r="X1676" s="34"/>
      <c r="Y1676" s="34"/>
      <c r="Z1676" s="36"/>
      <c r="AA1676" s="32" t="s">
        <v>9412</v>
      </c>
      <c r="AB1676" s="32"/>
      <c r="AC1676" s="38" t="str">
        <f aca="false">HYPERLINK("https://biocodex6--c.vf.force.com/0014L00000KFR6gQAH", "ADAM PERRINE")</f>
        <v>ADAM PERRINE</v>
      </c>
      <c r="AD1676" s="38"/>
      <c r="AE1676" s="39"/>
      <c r="AF1676" s="40"/>
      <c r="AG1676" s="41"/>
      <c r="AH1676" s="32" t="s">
        <v>179</v>
      </c>
      <c r="AI1676" s="32"/>
      <c r="AL1676" s="32"/>
      <c r="AM1676" s="32"/>
      <c r="AN1676" s="32"/>
      <c r="AO1676" s="32"/>
      <c r="AP1676" s="32"/>
      <c r="AQ1676" s="32"/>
      <c r="AR1676" s="32"/>
      <c r="AS1676" s="32"/>
      <c r="AT1676" s="32"/>
      <c r="AU1676" s="32"/>
      <c r="XEY1676" s="27"/>
      <c r="XEZ1676" s="27"/>
      <c r="XFA1676" s="27"/>
      <c r="XFB1676" s="27"/>
      <c r="XFC1676" s="27"/>
      <c r="XFD1676" s="27"/>
    </row>
    <row r="1677" s="42" customFormat="true" ht="14.15" hidden="false" customHeight="true" outlineLevel="0" collapsed="false">
      <c r="A1677" s="28" t="s">
        <v>9413</v>
      </c>
      <c r="B1677" s="29" t="s">
        <v>3447</v>
      </c>
      <c r="C1677" s="29" t="s">
        <v>9414</v>
      </c>
      <c r="D1677" s="30" t="s">
        <v>172</v>
      </c>
      <c r="E1677" s="30" t="s">
        <v>818</v>
      </c>
      <c r="F1677" s="32" t="n">
        <v>65</v>
      </c>
      <c r="G1677" s="31"/>
      <c r="H1677" s="31" t="n">
        <v>1</v>
      </c>
      <c r="I1677" s="31" t="s">
        <v>62</v>
      </c>
      <c r="J1677" s="29"/>
      <c r="K1677" s="29" t="s">
        <v>3937</v>
      </c>
      <c r="L1677" s="32" t="n">
        <v>32</v>
      </c>
      <c r="M1677" s="33" t="s">
        <v>2804</v>
      </c>
      <c r="N1677" s="34" t="n">
        <v>75017</v>
      </c>
      <c r="O1677" s="35" t="s">
        <v>55</v>
      </c>
      <c r="P1677" s="36" t="s">
        <v>3938</v>
      </c>
      <c r="Q1677" s="36" t="n">
        <v>2</v>
      </c>
      <c r="R1677" s="32" t="n">
        <v>52</v>
      </c>
      <c r="S1677" s="32" t="n">
        <v>1</v>
      </c>
      <c r="T1677" s="43" t="s">
        <v>1107</v>
      </c>
      <c r="U1677" s="32"/>
      <c r="V1677" s="37" t="n">
        <v>3</v>
      </c>
      <c r="W1677" s="32"/>
      <c r="X1677" s="34"/>
      <c r="Y1677" s="34"/>
      <c r="Z1677" s="36"/>
      <c r="AA1677" s="32" t="s">
        <v>9415</v>
      </c>
      <c r="AB1677" s="32"/>
      <c r="AC1677" s="38" t="str">
        <f aca="false">HYPERLINK("https://biocodex6--c.vf.force.com/0014L00000KFglHQAT", "GOZLAN GUY")</f>
        <v>GOZLAN GUY</v>
      </c>
      <c r="AD1677" s="38"/>
      <c r="AE1677" s="39"/>
      <c r="AF1677" s="40"/>
      <c r="AG1677" s="41"/>
      <c r="AH1677" s="32" t="s">
        <v>179</v>
      </c>
      <c r="AI1677" s="32"/>
      <c r="AL1677" s="32"/>
      <c r="AM1677" s="32"/>
      <c r="AN1677" s="32"/>
      <c r="AO1677" s="32"/>
      <c r="AP1677" s="32"/>
      <c r="AQ1677" s="32"/>
      <c r="AR1677" s="32"/>
      <c r="AS1677" s="32"/>
      <c r="AT1677" s="32"/>
      <c r="AU1677" s="32"/>
      <c r="XEY1677" s="27"/>
      <c r="XEZ1677" s="27"/>
      <c r="XFA1677" s="27"/>
      <c r="XFB1677" s="27"/>
      <c r="XFC1677" s="27"/>
      <c r="XFD1677" s="27"/>
    </row>
    <row r="1678" s="42" customFormat="true" ht="14.15" hidden="false" customHeight="true" outlineLevel="0" collapsed="false">
      <c r="A1678" s="28" t="s">
        <v>9416</v>
      </c>
      <c r="B1678" s="29" t="s">
        <v>9417</v>
      </c>
      <c r="C1678" s="29" t="s">
        <v>9418</v>
      </c>
      <c r="D1678" s="30" t="s">
        <v>172</v>
      </c>
      <c r="E1678" s="31"/>
      <c r="F1678" s="32" t="n">
        <v>48</v>
      </c>
      <c r="G1678" s="31"/>
      <c r="H1678" s="31" t="n">
        <v>1</v>
      </c>
      <c r="I1678" s="31" t="s">
        <v>197</v>
      </c>
      <c r="J1678" s="29"/>
      <c r="K1678" s="29" t="s">
        <v>9419</v>
      </c>
      <c r="L1678" s="32" t="n">
        <v>32</v>
      </c>
      <c r="M1678" s="33" t="s">
        <v>547</v>
      </c>
      <c r="N1678" s="34" t="n">
        <v>75017</v>
      </c>
      <c r="O1678" s="35" t="s">
        <v>55</v>
      </c>
      <c r="P1678" s="36" t="s">
        <v>9420</v>
      </c>
      <c r="Q1678" s="36" t="n">
        <v>1</v>
      </c>
      <c r="R1678" s="32" t="n">
        <v>52</v>
      </c>
      <c r="S1678" s="32" t="n">
        <v>1</v>
      </c>
      <c r="T1678" s="43" t="s">
        <v>316</v>
      </c>
      <c r="U1678" s="32"/>
      <c r="V1678" s="37"/>
      <c r="W1678" s="32"/>
      <c r="X1678" s="34"/>
      <c r="Y1678" s="34"/>
      <c r="Z1678" s="36"/>
      <c r="AA1678" s="32" t="s">
        <v>9421</v>
      </c>
      <c r="AB1678" s="32"/>
      <c r="AC1678" s="38" t="str">
        <f aca="false">HYPERLINK("https://biocodex6--c.vf.force.com/0014L00000KFmiCQAT", "LEMONNIER MORGAN")</f>
        <v>LEMONNIER MORGAN</v>
      </c>
      <c r="AD1678" s="38"/>
      <c r="AE1678" s="39"/>
      <c r="AF1678" s="40"/>
      <c r="AG1678" s="41"/>
      <c r="AH1678" s="32" t="s">
        <v>179</v>
      </c>
      <c r="AI1678" s="32"/>
      <c r="AL1678" s="32"/>
      <c r="AM1678" s="32"/>
      <c r="AN1678" s="32"/>
      <c r="AO1678" s="32"/>
      <c r="AP1678" s="32"/>
      <c r="AQ1678" s="32"/>
      <c r="AR1678" s="32"/>
      <c r="AS1678" s="32"/>
      <c r="AT1678" s="32"/>
      <c r="AU1678" s="32"/>
      <c r="XEY1678" s="27"/>
      <c r="XEZ1678" s="27"/>
      <c r="XFA1678" s="27"/>
      <c r="XFB1678" s="27"/>
      <c r="XFC1678" s="27"/>
      <c r="XFD1678" s="27"/>
    </row>
    <row r="1679" s="42" customFormat="true" ht="14.15" hidden="false" customHeight="true" outlineLevel="0" collapsed="false">
      <c r="A1679" s="28" t="s">
        <v>9422</v>
      </c>
      <c r="B1679" s="29" t="s">
        <v>1777</v>
      </c>
      <c r="C1679" s="29" t="s">
        <v>9423</v>
      </c>
      <c r="D1679" s="30" t="s">
        <v>172</v>
      </c>
      <c r="E1679" s="31"/>
      <c r="F1679" s="32" t="n">
        <v>54</v>
      </c>
      <c r="G1679" s="31"/>
      <c r="H1679" s="31" t="n">
        <v>1</v>
      </c>
      <c r="I1679" s="31" t="s">
        <v>173</v>
      </c>
      <c r="J1679" s="29"/>
      <c r="K1679" s="29" t="s">
        <v>4751</v>
      </c>
      <c r="L1679" s="32" t="n">
        <v>108</v>
      </c>
      <c r="M1679" s="33" t="s">
        <v>175</v>
      </c>
      <c r="N1679" s="34" t="n">
        <v>75016</v>
      </c>
      <c r="O1679" s="35" t="s">
        <v>55</v>
      </c>
      <c r="P1679" s="36"/>
      <c r="Q1679" s="36" t="n">
        <v>3</v>
      </c>
      <c r="R1679" s="36" t="n">
        <v>52</v>
      </c>
      <c r="S1679" s="32" t="n">
        <v>1</v>
      </c>
      <c r="T1679" s="43" t="s">
        <v>2189</v>
      </c>
      <c r="U1679" s="32"/>
      <c r="V1679" s="37"/>
      <c r="W1679" s="32"/>
      <c r="X1679" s="34"/>
      <c r="Y1679" s="34"/>
      <c r="Z1679" s="36"/>
      <c r="AA1679" s="32" t="s">
        <v>9424</v>
      </c>
      <c r="AB1679" s="32"/>
      <c r="AC1679" s="38" t="str">
        <f aca="false">HYPERLINK("https://biocodex6--c.vf.force.com/0014L00000KG2u8QAD", "SIARI MACQUERON VALERIE")</f>
        <v>SIARI MACQUERON VALERIE</v>
      </c>
      <c r="AD1679" s="38"/>
      <c r="AE1679" s="39"/>
      <c r="AF1679" s="40"/>
      <c r="AG1679" s="41"/>
      <c r="AH1679" s="32" t="s">
        <v>179</v>
      </c>
      <c r="AI1679" s="32"/>
      <c r="AL1679" s="32"/>
      <c r="AM1679" s="32"/>
      <c r="AN1679" s="32"/>
      <c r="AO1679" s="32"/>
      <c r="AP1679" s="32"/>
      <c r="AQ1679" s="32"/>
      <c r="AR1679" s="32"/>
      <c r="AS1679" s="32"/>
      <c r="AT1679" s="32"/>
      <c r="AU1679" s="32"/>
      <c r="XEY1679" s="27"/>
      <c r="XEZ1679" s="27"/>
      <c r="XFA1679" s="27"/>
      <c r="XFB1679" s="27"/>
      <c r="XFC1679" s="27"/>
      <c r="XFD1679" s="27"/>
    </row>
    <row r="1680" s="42" customFormat="true" ht="14.15" hidden="false" customHeight="true" outlineLevel="0" collapsed="false">
      <c r="A1680" s="28" t="s">
        <v>9425</v>
      </c>
      <c r="B1680" s="29" t="s">
        <v>9426</v>
      </c>
      <c r="C1680" s="29" t="s">
        <v>9427</v>
      </c>
      <c r="D1680" s="30" t="s">
        <v>172</v>
      </c>
      <c r="E1680" s="31"/>
      <c r="F1680" s="32" t="n">
        <v>46</v>
      </c>
      <c r="G1680" s="31"/>
      <c r="H1680" s="31" t="n">
        <v>1</v>
      </c>
      <c r="I1680" s="31" t="s">
        <v>173</v>
      </c>
      <c r="J1680" s="29"/>
      <c r="K1680" s="29" t="s">
        <v>9026</v>
      </c>
      <c r="L1680" s="32" t="n">
        <v>5</v>
      </c>
      <c r="M1680" s="33" t="s">
        <v>9027</v>
      </c>
      <c r="N1680" s="34" t="n">
        <v>75016</v>
      </c>
      <c r="O1680" s="35" t="s">
        <v>55</v>
      </c>
      <c r="P1680" s="36" t="s">
        <v>9028</v>
      </c>
      <c r="Q1680" s="36" t="n">
        <v>3</v>
      </c>
      <c r="R1680" s="32" t="n">
        <v>52</v>
      </c>
      <c r="S1680" s="32" t="n">
        <v>1</v>
      </c>
      <c r="T1680" s="43" t="s">
        <v>316</v>
      </c>
      <c r="U1680" s="32"/>
      <c r="V1680" s="37"/>
      <c r="W1680" s="32"/>
      <c r="X1680" s="34"/>
      <c r="Y1680" s="34"/>
      <c r="Z1680" s="36"/>
      <c r="AA1680" s="32" t="s">
        <v>9428</v>
      </c>
      <c r="AB1680" s="32"/>
      <c r="AC1680" s="38" t="str">
        <f aca="false">HYPERLINK("https://biocodex6--c.vf.force.com/0014L00000KFo47QAD", "LAGODKA AURELIE")</f>
        <v>LAGODKA AURELIE</v>
      </c>
      <c r="AD1680" s="38"/>
      <c r="AE1680" s="39"/>
      <c r="AF1680" s="40"/>
      <c r="AG1680" s="41"/>
      <c r="AH1680" s="32" t="s">
        <v>179</v>
      </c>
      <c r="AI1680" s="32"/>
      <c r="AL1680" s="32"/>
      <c r="AM1680" s="32"/>
      <c r="AN1680" s="32"/>
      <c r="AO1680" s="32"/>
      <c r="AP1680" s="32"/>
      <c r="AQ1680" s="32"/>
      <c r="AR1680" s="32"/>
      <c r="AS1680" s="32"/>
      <c r="AT1680" s="32"/>
      <c r="AU1680" s="32"/>
      <c r="XEY1680" s="27"/>
      <c r="XEZ1680" s="27"/>
      <c r="XFA1680" s="27"/>
      <c r="XFB1680" s="27"/>
      <c r="XFC1680" s="27"/>
      <c r="XFD1680" s="27"/>
    </row>
    <row r="1681" s="42" customFormat="true" ht="14.15" hidden="false" customHeight="true" outlineLevel="0" collapsed="false">
      <c r="A1681" s="28" t="s">
        <v>9429</v>
      </c>
      <c r="B1681" s="29" t="s">
        <v>1101</v>
      </c>
      <c r="C1681" s="29" t="s">
        <v>9430</v>
      </c>
      <c r="D1681" s="30" t="s">
        <v>172</v>
      </c>
      <c r="E1681" s="31"/>
      <c r="F1681" s="32" t="n">
        <v>74</v>
      </c>
      <c r="G1681" s="31"/>
      <c r="H1681" s="31" t="n">
        <v>1</v>
      </c>
      <c r="I1681" s="31" t="s">
        <v>233</v>
      </c>
      <c r="J1681" s="29"/>
      <c r="K1681" s="29" t="s">
        <v>9431</v>
      </c>
      <c r="L1681" s="32" t="n">
        <v>89</v>
      </c>
      <c r="M1681" s="33" t="s">
        <v>3026</v>
      </c>
      <c r="N1681" s="34" t="n">
        <v>75015</v>
      </c>
      <c r="O1681" s="35" t="s">
        <v>55</v>
      </c>
      <c r="P1681" s="36" t="s">
        <v>9432</v>
      </c>
      <c r="Q1681" s="36" t="n">
        <v>1</v>
      </c>
      <c r="R1681" s="32" t="n">
        <v>52</v>
      </c>
      <c r="S1681" s="32" t="n">
        <v>1</v>
      </c>
      <c r="T1681" s="43" t="s">
        <v>316</v>
      </c>
      <c r="U1681" s="32"/>
      <c r="V1681" s="37"/>
      <c r="W1681" s="32"/>
      <c r="X1681" s="34"/>
      <c r="Y1681" s="34"/>
      <c r="Z1681" s="36"/>
      <c r="AA1681" s="32" t="s">
        <v>9433</v>
      </c>
      <c r="AB1681" s="32"/>
      <c r="AC1681" s="38" t="str">
        <f aca="false">HYPERLINK("https://biocodex6--c.vf.force.com/0014L00000KFfP1QAL", "GAUTIER ISABELLE")</f>
        <v>GAUTIER ISABELLE</v>
      </c>
      <c r="AD1681" s="38"/>
      <c r="AE1681" s="39"/>
      <c r="AF1681" s="40"/>
      <c r="AG1681" s="41"/>
      <c r="AH1681" s="32" t="s">
        <v>179</v>
      </c>
      <c r="AI1681" s="32"/>
      <c r="AL1681" s="32"/>
      <c r="AM1681" s="32"/>
      <c r="AN1681" s="32"/>
      <c r="AO1681" s="32"/>
      <c r="AP1681" s="32"/>
      <c r="AQ1681" s="32"/>
      <c r="AR1681" s="32"/>
      <c r="AS1681" s="32"/>
      <c r="AT1681" s="32"/>
      <c r="AU1681" s="32"/>
      <c r="XEY1681" s="27"/>
      <c r="XEZ1681" s="27"/>
      <c r="XFA1681" s="27"/>
      <c r="XFB1681" s="27"/>
      <c r="XFC1681" s="27"/>
      <c r="XFD1681" s="27"/>
    </row>
    <row r="1682" s="42" customFormat="true" ht="14.15" hidden="false" customHeight="true" outlineLevel="0" collapsed="false">
      <c r="A1682" s="28" t="s">
        <v>9434</v>
      </c>
      <c r="B1682" s="29" t="s">
        <v>7492</v>
      </c>
      <c r="C1682" s="29" t="s">
        <v>9435</v>
      </c>
      <c r="D1682" s="30" t="s">
        <v>172</v>
      </c>
      <c r="E1682" s="31"/>
      <c r="F1682" s="32" t="n">
        <v>73</v>
      </c>
      <c r="G1682" s="31"/>
      <c r="H1682" s="31" t="n">
        <v>1</v>
      </c>
      <c r="I1682" s="31" t="s">
        <v>233</v>
      </c>
      <c r="J1682" s="29"/>
      <c r="K1682" s="29" t="s">
        <v>9436</v>
      </c>
      <c r="L1682" s="32" t="n">
        <v>12</v>
      </c>
      <c r="M1682" s="33" t="s">
        <v>9437</v>
      </c>
      <c r="N1682" s="34" t="n">
        <v>75015</v>
      </c>
      <c r="O1682" s="35" t="s">
        <v>55</v>
      </c>
      <c r="P1682" s="36" t="s">
        <v>9438</v>
      </c>
      <c r="Q1682" s="36" t="n">
        <v>2</v>
      </c>
      <c r="R1682" s="32" t="n">
        <v>52</v>
      </c>
      <c r="S1682" s="32" t="n">
        <v>1</v>
      </c>
      <c r="T1682" s="43" t="s">
        <v>316</v>
      </c>
      <c r="U1682" s="32"/>
      <c r="V1682" s="37"/>
      <c r="W1682" s="32"/>
      <c r="X1682" s="34"/>
      <c r="Y1682" s="34"/>
      <c r="Z1682" s="36"/>
      <c r="AA1682" s="32" t="s">
        <v>9439</v>
      </c>
      <c r="AB1682" s="32"/>
      <c r="AC1682" s="38" t="str">
        <f aca="false">HYPERLINK("https://biocodex6--c.vf.force.com/0014L00000KFSZDQA5", "BENKACI RACHID")</f>
        <v>BENKACI RACHID</v>
      </c>
      <c r="AD1682" s="38"/>
      <c r="AE1682" s="39"/>
      <c r="AF1682" s="40"/>
      <c r="AG1682" s="41"/>
      <c r="AH1682" s="32" t="s">
        <v>179</v>
      </c>
      <c r="AI1682" s="32"/>
      <c r="AL1682" s="32"/>
      <c r="AM1682" s="32"/>
      <c r="AN1682" s="32"/>
      <c r="AO1682" s="32"/>
      <c r="AP1682" s="32"/>
      <c r="AQ1682" s="32"/>
      <c r="AR1682" s="32"/>
      <c r="AS1682" s="32"/>
      <c r="AT1682" s="32"/>
      <c r="AU1682" s="32"/>
      <c r="XEY1682" s="27"/>
      <c r="XEZ1682" s="27"/>
      <c r="XFA1682" s="27"/>
      <c r="XFB1682" s="27"/>
      <c r="XFC1682" s="27"/>
      <c r="XFD1682" s="27"/>
    </row>
    <row r="1683" s="42" customFormat="true" ht="14.15" hidden="false" customHeight="true" outlineLevel="0" collapsed="false">
      <c r="A1683" s="28" t="s">
        <v>9440</v>
      </c>
      <c r="B1683" s="29" t="s">
        <v>9441</v>
      </c>
      <c r="C1683" s="29" t="s">
        <v>9442</v>
      </c>
      <c r="D1683" s="30" t="s">
        <v>172</v>
      </c>
      <c r="E1683" s="31"/>
      <c r="F1683" s="32" t="n">
        <v>67</v>
      </c>
      <c r="G1683" s="31"/>
      <c r="H1683" s="31" t="n">
        <v>1</v>
      </c>
      <c r="I1683" s="31" t="s">
        <v>233</v>
      </c>
      <c r="J1683" s="29"/>
      <c r="K1683" s="29" t="s">
        <v>9436</v>
      </c>
      <c r="L1683" s="32" t="n">
        <v>12</v>
      </c>
      <c r="M1683" s="33" t="s">
        <v>9437</v>
      </c>
      <c r="N1683" s="34" t="n">
        <v>75015</v>
      </c>
      <c r="O1683" s="35" t="s">
        <v>55</v>
      </c>
      <c r="P1683" s="36" t="s">
        <v>9443</v>
      </c>
      <c r="Q1683" s="36" t="n">
        <v>2</v>
      </c>
      <c r="R1683" s="32" t="n">
        <v>52</v>
      </c>
      <c r="S1683" s="32" t="n">
        <v>1</v>
      </c>
      <c r="T1683" s="43" t="s">
        <v>316</v>
      </c>
      <c r="U1683" s="32"/>
      <c r="V1683" s="37"/>
      <c r="W1683" s="32"/>
      <c r="X1683" s="34"/>
      <c r="Y1683" s="34"/>
      <c r="Z1683" s="36"/>
      <c r="AA1683" s="32" t="s">
        <v>9444</v>
      </c>
      <c r="AB1683" s="32"/>
      <c r="AC1683" s="38" t="str">
        <f aca="false">HYPERLINK("https://biocodex6--c.vf.force.com/0014L00000KFlxtQAD", "LANSIER CYRILE")</f>
        <v>LANSIER CYRILE</v>
      </c>
      <c r="AD1683" s="38"/>
      <c r="AE1683" s="39"/>
      <c r="AF1683" s="40"/>
      <c r="AG1683" s="41"/>
      <c r="AH1683" s="32" t="s">
        <v>179</v>
      </c>
      <c r="AI1683" s="32"/>
      <c r="AL1683" s="32"/>
      <c r="AM1683" s="32"/>
      <c r="AN1683" s="32"/>
      <c r="AO1683" s="32"/>
      <c r="AP1683" s="32"/>
      <c r="AQ1683" s="32"/>
      <c r="AR1683" s="32"/>
      <c r="AS1683" s="32"/>
      <c r="AT1683" s="32"/>
      <c r="AU1683" s="32"/>
      <c r="XEY1683" s="27"/>
      <c r="XEZ1683" s="27"/>
      <c r="XFA1683" s="27"/>
      <c r="XFB1683" s="27"/>
      <c r="XFC1683" s="27"/>
      <c r="XFD1683" s="27"/>
    </row>
    <row r="1684" s="42" customFormat="true" ht="14.15" hidden="false" customHeight="true" outlineLevel="0" collapsed="false">
      <c r="A1684" s="28" t="s">
        <v>9445</v>
      </c>
      <c r="B1684" s="29" t="s">
        <v>455</v>
      </c>
      <c r="C1684" s="29" t="s">
        <v>9446</v>
      </c>
      <c r="D1684" s="30" t="s">
        <v>172</v>
      </c>
      <c r="E1684" s="30" t="s">
        <v>818</v>
      </c>
      <c r="F1684" s="32" t="n">
        <v>77</v>
      </c>
      <c r="G1684" s="31"/>
      <c r="H1684" s="31" t="n">
        <v>1</v>
      </c>
      <c r="I1684" s="31" t="s">
        <v>77</v>
      </c>
      <c r="J1684" s="29"/>
      <c r="K1684" s="29" t="s">
        <v>9447</v>
      </c>
      <c r="L1684" s="32" t="n">
        <v>6</v>
      </c>
      <c r="M1684" s="33" t="s">
        <v>9448</v>
      </c>
      <c r="N1684" s="34" t="n">
        <v>92200</v>
      </c>
      <c r="O1684" s="35" t="s">
        <v>81</v>
      </c>
      <c r="P1684" s="36"/>
      <c r="Q1684" s="36" t="n">
        <v>1</v>
      </c>
      <c r="R1684" s="32" t="n">
        <v>52</v>
      </c>
      <c r="S1684" s="32" t="n">
        <v>1</v>
      </c>
      <c r="T1684" s="43" t="s">
        <v>316</v>
      </c>
      <c r="U1684" s="32"/>
      <c r="V1684" s="37"/>
      <c r="W1684" s="32"/>
      <c r="X1684" s="34"/>
      <c r="Y1684" s="34"/>
      <c r="Z1684" s="36"/>
      <c r="AA1684" s="32" t="s">
        <v>9449</v>
      </c>
      <c r="AB1684" s="32"/>
      <c r="AC1684" s="38" t="str">
        <f aca="false">HYPERLINK("https://biocodex6--c.vf.force.com/0014L00000KFYHCQA5", "CUSIN GENEVIEVE")</f>
        <v>CUSIN GENEVIEVE</v>
      </c>
      <c r="AD1684" s="38"/>
      <c r="AE1684" s="39"/>
      <c r="AF1684" s="40"/>
      <c r="AG1684" s="41"/>
      <c r="AH1684" s="32" t="s">
        <v>179</v>
      </c>
      <c r="AI1684" s="32"/>
      <c r="AL1684" s="32"/>
      <c r="AM1684" s="32"/>
      <c r="AN1684" s="32"/>
      <c r="AO1684" s="32"/>
      <c r="AP1684" s="32"/>
      <c r="AQ1684" s="32"/>
      <c r="AR1684" s="32"/>
      <c r="AS1684" s="32"/>
      <c r="AT1684" s="32"/>
      <c r="AU1684" s="32"/>
      <c r="XEY1684" s="27"/>
      <c r="XEZ1684" s="27"/>
      <c r="XFA1684" s="27"/>
      <c r="XFB1684" s="27"/>
      <c r="XFC1684" s="27"/>
      <c r="XFD1684" s="27"/>
    </row>
    <row r="1685" s="42" customFormat="true" ht="14.15" hidden="false" customHeight="true" outlineLevel="0" collapsed="false">
      <c r="A1685" s="28" t="s">
        <v>9450</v>
      </c>
      <c r="B1685" s="29" t="s">
        <v>455</v>
      </c>
      <c r="C1685" s="29" t="s">
        <v>9451</v>
      </c>
      <c r="D1685" s="30" t="s">
        <v>172</v>
      </c>
      <c r="E1685" s="31"/>
      <c r="F1685" s="32" t="n">
        <v>0</v>
      </c>
      <c r="G1685" s="31"/>
      <c r="H1685" s="31" t="n">
        <v>1</v>
      </c>
      <c r="I1685" s="31" t="s">
        <v>387</v>
      </c>
      <c r="J1685" s="29"/>
      <c r="K1685" s="29" t="s">
        <v>9452</v>
      </c>
      <c r="L1685" s="32" t="n">
        <v>119</v>
      </c>
      <c r="M1685" s="33" t="s">
        <v>1340</v>
      </c>
      <c r="N1685" s="34" t="n">
        <v>75016</v>
      </c>
      <c r="O1685" s="35" t="s">
        <v>55</v>
      </c>
      <c r="P1685" s="36" t="s">
        <v>9453</v>
      </c>
      <c r="Q1685" s="36" t="n">
        <v>1</v>
      </c>
      <c r="R1685" s="32" t="n">
        <v>51</v>
      </c>
      <c r="S1685" s="32" t="n">
        <v>1</v>
      </c>
      <c r="T1685" s="43" t="s">
        <v>316</v>
      </c>
      <c r="U1685" s="32"/>
      <c r="V1685" s="37"/>
      <c r="W1685" s="32"/>
      <c r="X1685" s="34"/>
      <c r="Y1685" s="34" t="n">
        <v>1</v>
      </c>
      <c r="Z1685" s="36"/>
      <c r="AA1685" s="32"/>
      <c r="AB1685" s="44"/>
      <c r="AC1685" s="38"/>
      <c r="AD1685" s="38"/>
      <c r="AE1685" s="39"/>
      <c r="AF1685" s="40"/>
      <c r="AG1685" s="45"/>
      <c r="AH1685" s="32" t="s">
        <v>3469</v>
      </c>
      <c r="AI1685" s="32"/>
      <c r="AL1685" s="32"/>
      <c r="AM1685" s="32"/>
      <c r="AN1685" s="32"/>
      <c r="AO1685" s="32"/>
      <c r="AP1685" s="32"/>
      <c r="AQ1685" s="32"/>
      <c r="AR1685" s="32"/>
      <c r="AS1685" s="32"/>
      <c r="AT1685" s="32"/>
      <c r="AU1685" s="32"/>
      <c r="XEY1685" s="27"/>
      <c r="XEZ1685" s="27"/>
      <c r="XFA1685" s="27"/>
      <c r="XFB1685" s="27"/>
      <c r="XFC1685" s="27"/>
      <c r="XFD1685" s="27"/>
    </row>
    <row r="1686" s="42" customFormat="true" ht="14.15" hidden="false" customHeight="true" outlineLevel="0" collapsed="false">
      <c r="A1686" s="28" t="s">
        <v>9454</v>
      </c>
      <c r="B1686" s="29" t="s">
        <v>1928</v>
      </c>
      <c r="C1686" s="29" t="s">
        <v>9455</v>
      </c>
      <c r="D1686" s="30" t="s">
        <v>172</v>
      </c>
      <c r="E1686" s="31"/>
      <c r="F1686" s="32" t="n">
        <v>51</v>
      </c>
      <c r="G1686" s="31"/>
      <c r="H1686" s="31" t="n">
        <v>1</v>
      </c>
      <c r="I1686" s="31" t="s">
        <v>387</v>
      </c>
      <c r="J1686" s="29"/>
      <c r="K1686" s="29" t="s">
        <v>3591</v>
      </c>
      <c r="L1686" s="32" t="n">
        <v>49</v>
      </c>
      <c r="M1686" s="33" t="s">
        <v>2499</v>
      </c>
      <c r="N1686" s="34" t="n">
        <v>75016</v>
      </c>
      <c r="O1686" s="35" t="s">
        <v>55</v>
      </c>
      <c r="P1686" s="36" t="s">
        <v>3592</v>
      </c>
      <c r="Q1686" s="36" t="n">
        <v>2</v>
      </c>
      <c r="R1686" s="32" t="n">
        <v>51</v>
      </c>
      <c r="S1686" s="32" t="n">
        <v>1</v>
      </c>
      <c r="T1686" s="43" t="s">
        <v>316</v>
      </c>
      <c r="U1686" s="32"/>
      <c r="V1686" s="37"/>
      <c r="W1686" s="32"/>
      <c r="X1686" s="34"/>
      <c r="Y1686" s="34"/>
      <c r="Z1686" s="36"/>
      <c r="AA1686" s="32" t="s">
        <v>9456</v>
      </c>
      <c r="AB1686" s="32"/>
      <c r="AC1686" s="38" t="str">
        <f aca="false">HYPERLINK("https://biocodex6--c.vf.force.com/0014L00000KFUQzQAP", "BLANCARD MATHILDE")</f>
        <v>BLANCARD MATHILDE</v>
      </c>
      <c r="AD1686" s="38"/>
      <c r="AE1686" s="39"/>
      <c r="AF1686" s="40"/>
      <c r="AG1686" s="41"/>
      <c r="AH1686" s="32" t="s">
        <v>179</v>
      </c>
      <c r="AI1686" s="32"/>
      <c r="AL1686" s="32"/>
      <c r="AM1686" s="32"/>
      <c r="AN1686" s="32"/>
      <c r="AO1686" s="32"/>
      <c r="AP1686" s="32"/>
      <c r="AQ1686" s="32"/>
      <c r="AR1686" s="32"/>
      <c r="AS1686" s="32"/>
      <c r="AT1686" s="32"/>
      <c r="AU1686" s="32"/>
      <c r="XEY1686" s="27"/>
      <c r="XEZ1686" s="27"/>
      <c r="XFA1686" s="27"/>
      <c r="XFB1686" s="27"/>
      <c r="XFC1686" s="27"/>
      <c r="XFD1686" s="27"/>
    </row>
    <row r="1687" s="42" customFormat="true" ht="14.15" hidden="false" customHeight="true" outlineLevel="0" collapsed="false">
      <c r="A1687" s="28" t="s">
        <v>6354</v>
      </c>
      <c r="B1687" s="29" t="s">
        <v>204</v>
      </c>
      <c r="C1687" s="29" t="s">
        <v>9457</v>
      </c>
      <c r="D1687" s="30" t="s">
        <v>1103</v>
      </c>
      <c r="E1687" s="31"/>
      <c r="F1687" s="32" t="n">
        <v>48</v>
      </c>
      <c r="G1687" s="31"/>
      <c r="H1687" s="31" t="n">
        <v>1</v>
      </c>
      <c r="I1687" s="31" t="s">
        <v>387</v>
      </c>
      <c r="J1687" s="29" t="s">
        <v>9227</v>
      </c>
      <c r="K1687" s="29" t="s">
        <v>9458</v>
      </c>
      <c r="L1687" s="32" t="n">
        <v>21</v>
      </c>
      <c r="M1687" s="33" t="s">
        <v>9229</v>
      </c>
      <c r="N1687" s="34" t="n">
        <v>75016</v>
      </c>
      <c r="O1687" s="35" t="s">
        <v>55</v>
      </c>
      <c r="P1687" s="36" t="s">
        <v>9459</v>
      </c>
      <c r="Q1687" s="36" t="n">
        <v>4</v>
      </c>
      <c r="R1687" s="32" t="n">
        <v>51</v>
      </c>
      <c r="S1687" s="32" t="n">
        <v>1</v>
      </c>
      <c r="T1687" s="43" t="s">
        <v>1610</v>
      </c>
      <c r="U1687" s="32"/>
      <c r="V1687" s="37"/>
      <c r="W1687" s="32"/>
      <c r="X1687" s="34"/>
      <c r="Y1687" s="34"/>
      <c r="Z1687" s="36" t="s">
        <v>9460</v>
      </c>
      <c r="AA1687" s="32" t="s">
        <v>9461</v>
      </c>
      <c r="AB1687" s="32"/>
      <c r="AC1687" s="38" t="str">
        <f aca="false">HYPERLINK("https://biocodex6--c.vf.force.com/0014L00000KG3CBQA1", "SOUSSAN NATHALIE")</f>
        <v>SOUSSAN NATHALIE</v>
      </c>
      <c r="AD1687" s="38"/>
      <c r="AE1687" s="39"/>
      <c r="AF1687" s="40"/>
      <c r="AG1687" s="41"/>
      <c r="AH1687" s="32" t="s">
        <v>179</v>
      </c>
      <c r="AI1687" s="32"/>
      <c r="AL1687" s="32"/>
      <c r="AM1687" s="32"/>
      <c r="AN1687" s="32"/>
      <c r="AO1687" s="32"/>
      <c r="AP1687" s="32"/>
      <c r="AQ1687" s="32"/>
      <c r="AR1687" s="32"/>
      <c r="AS1687" s="32"/>
      <c r="AT1687" s="32"/>
      <c r="AU1687" s="32"/>
      <c r="XEY1687" s="27"/>
      <c r="XEZ1687" s="27"/>
      <c r="XFA1687" s="27"/>
      <c r="XFB1687" s="27"/>
      <c r="XFC1687" s="27"/>
      <c r="XFD1687" s="27"/>
    </row>
    <row r="1688" s="42" customFormat="true" ht="14.15" hidden="false" customHeight="true" outlineLevel="0" collapsed="false">
      <c r="A1688" s="28" t="s">
        <v>9462</v>
      </c>
      <c r="B1688" s="29" t="s">
        <v>9463</v>
      </c>
      <c r="C1688" s="29" t="s">
        <v>9464</v>
      </c>
      <c r="D1688" s="30" t="s">
        <v>172</v>
      </c>
      <c r="E1688" s="31"/>
      <c r="F1688" s="32" t="n">
        <v>46</v>
      </c>
      <c r="G1688" s="31"/>
      <c r="H1688" s="31" t="n">
        <v>1</v>
      </c>
      <c r="I1688" s="31" t="s">
        <v>387</v>
      </c>
      <c r="J1688" s="29" t="s">
        <v>9227</v>
      </c>
      <c r="K1688" s="29" t="s">
        <v>9458</v>
      </c>
      <c r="L1688" s="32" t="n">
        <v>21</v>
      </c>
      <c r="M1688" s="33" t="s">
        <v>9229</v>
      </c>
      <c r="N1688" s="34" t="n">
        <v>75016</v>
      </c>
      <c r="O1688" s="35" t="s">
        <v>55</v>
      </c>
      <c r="P1688" s="36" t="s">
        <v>9459</v>
      </c>
      <c r="Q1688" s="36" t="n">
        <v>4</v>
      </c>
      <c r="R1688" s="32" t="n">
        <v>51</v>
      </c>
      <c r="S1688" s="32" t="n">
        <v>1</v>
      </c>
      <c r="T1688" s="43" t="s">
        <v>1107</v>
      </c>
      <c r="U1688" s="32"/>
      <c r="V1688" s="37" t="n">
        <v>3</v>
      </c>
      <c r="W1688" s="32"/>
      <c r="X1688" s="34"/>
      <c r="Y1688" s="34"/>
      <c r="Z1688" s="36" t="s">
        <v>9465</v>
      </c>
      <c r="AA1688" s="32" t="s">
        <v>9466</v>
      </c>
      <c r="AB1688" s="32"/>
      <c r="AC1688" s="38" t="str">
        <f aca="false">HYPERLINK("https://biocodex6--c.vf.force.com/0014L00000KFgTOQA1", "GERVAT OCEANE")</f>
        <v>GERVAT OCEANE</v>
      </c>
      <c r="AD1688" s="38"/>
      <c r="AE1688" s="39"/>
      <c r="AF1688" s="40"/>
      <c r="AG1688" s="41"/>
      <c r="AH1688" s="32" t="s">
        <v>179</v>
      </c>
      <c r="AI1688" s="32"/>
      <c r="AL1688" s="32"/>
      <c r="AM1688" s="32"/>
      <c r="AN1688" s="32"/>
      <c r="AO1688" s="32"/>
      <c r="AP1688" s="32"/>
      <c r="AQ1688" s="32"/>
      <c r="AR1688" s="32"/>
      <c r="AS1688" s="32"/>
      <c r="AT1688" s="32"/>
      <c r="AU1688" s="32"/>
      <c r="XEY1688" s="27"/>
      <c r="XEZ1688" s="27"/>
      <c r="XFA1688" s="27"/>
      <c r="XFB1688" s="27"/>
      <c r="XFC1688" s="27"/>
      <c r="XFD1688" s="27"/>
    </row>
    <row r="1689" s="42" customFormat="true" ht="14.15" hidden="false" customHeight="true" outlineLevel="0" collapsed="false">
      <c r="A1689" s="28" t="s">
        <v>9467</v>
      </c>
      <c r="B1689" s="29" t="s">
        <v>652</v>
      </c>
      <c r="C1689" s="29" t="s">
        <v>9468</v>
      </c>
      <c r="D1689" s="30" t="s">
        <v>172</v>
      </c>
      <c r="E1689" s="30" t="s">
        <v>1103</v>
      </c>
      <c r="F1689" s="32" t="n">
        <v>59</v>
      </c>
      <c r="G1689" s="31"/>
      <c r="H1689" s="31" t="n">
        <v>1</v>
      </c>
      <c r="I1689" s="31" t="s">
        <v>387</v>
      </c>
      <c r="J1689" s="29" t="s">
        <v>9227</v>
      </c>
      <c r="K1689" s="29" t="s">
        <v>9458</v>
      </c>
      <c r="L1689" s="32" t="n">
        <v>21</v>
      </c>
      <c r="M1689" s="33" t="s">
        <v>9229</v>
      </c>
      <c r="N1689" s="34" t="n">
        <v>75016</v>
      </c>
      <c r="O1689" s="35" t="s">
        <v>55</v>
      </c>
      <c r="P1689" s="36" t="s">
        <v>9459</v>
      </c>
      <c r="Q1689" s="36" t="n">
        <v>4</v>
      </c>
      <c r="R1689" s="32" t="n">
        <v>51</v>
      </c>
      <c r="S1689" s="32" t="n">
        <v>1</v>
      </c>
      <c r="T1689" s="43" t="s">
        <v>1925</v>
      </c>
      <c r="U1689" s="32"/>
      <c r="V1689" s="37"/>
      <c r="W1689" s="32"/>
      <c r="X1689" s="34"/>
      <c r="Y1689" s="34"/>
      <c r="Z1689" s="36" t="s">
        <v>9469</v>
      </c>
      <c r="AA1689" s="32" t="s">
        <v>9470</v>
      </c>
      <c r="AB1689" s="32"/>
      <c r="AC1689" s="38" t="str">
        <f aca="false">HYPERLINK("https://biocodex6--c.vf.force.com/0014L00000KFr2BQAT", "MARONIAN SOPHIE")</f>
        <v>MARONIAN SOPHIE</v>
      </c>
      <c r="AD1689" s="38"/>
      <c r="AE1689" s="39"/>
      <c r="AF1689" s="40"/>
      <c r="AG1689" s="41"/>
      <c r="AH1689" s="32" t="s">
        <v>179</v>
      </c>
      <c r="AI1689" s="32"/>
      <c r="AL1689" s="32"/>
      <c r="AM1689" s="43" t="s">
        <v>866</v>
      </c>
      <c r="AN1689" s="32"/>
      <c r="AO1689" s="32"/>
      <c r="AP1689" s="32"/>
      <c r="AQ1689" s="32"/>
      <c r="AR1689" s="32"/>
      <c r="AS1689" s="32"/>
      <c r="AT1689" s="32"/>
      <c r="AU1689" s="32"/>
      <c r="XEY1689" s="27"/>
      <c r="XEZ1689" s="27"/>
      <c r="XFA1689" s="27"/>
      <c r="XFB1689" s="27"/>
      <c r="XFC1689" s="27"/>
      <c r="XFD1689" s="27"/>
    </row>
    <row r="1690" s="42" customFormat="true" ht="14.15" hidden="false" customHeight="true" outlineLevel="0" collapsed="false">
      <c r="A1690" s="28" t="s">
        <v>9471</v>
      </c>
      <c r="B1690" s="29" t="s">
        <v>6347</v>
      </c>
      <c r="C1690" s="29" t="s">
        <v>9472</v>
      </c>
      <c r="D1690" s="30" t="s">
        <v>1103</v>
      </c>
      <c r="E1690" s="31"/>
      <c r="F1690" s="32" t="n">
        <v>65</v>
      </c>
      <c r="G1690" s="31"/>
      <c r="H1690" s="31" t="n">
        <v>1</v>
      </c>
      <c r="I1690" s="31" t="s">
        <v>387</v>
      </c>
      <c r="J1690" s="29"/>
      <c r="K1690" s="29" t="s">
        <v>9473</v>
      </c>
      <c r="L1690" s="32" t="n">
        <v>50</v>
      </c>
      <c r="M1690" s="33" t="s">
        <v>9474</v>
      </c>
      <c r="N1690" s="34" t="n">
        <v>75016</v>
      </c>
      <c r="O1690" s="35" t="s">
        <v>55</v>
      </c>
      <c r="P1690" s="36" t="s">
        <v>9475</v>
      </c>
      <c r="Q1690" s="36" t="n">
        <v>1</v>
      </c>
      <c r="R1690" s="32" t="n">
        <v>51</v>
      </c>
      <c r="S1690" s="32" t="n">
        <v>1</v>
      </c>
      <c r="T1690" s="43" t="s">
        <v>1107</v>
      </c>
      <c r="U1690" s="32"/>
      <c r="V1690" s="37"/>
      <c r="W1690" s="32"/>
      <c r="X1690" s="34"/>
      <c r="Y1690" s="34"/>
      <c r="Z1690" s="32"/>
      <c r="AA1690" s="32" t="s">
        <v>9476</v>
      </c>
      <c r="AB1690" s="32"/>
      <c r="AC1690" s="38" t="str">
        <f aca="false">HYPERLINK("https://biocodex6--c.vf.force.com/0014L00000KFf16QAD", "TARDY MARIE NOELLE")</f>
        <v>TARDY MARIE NOELLE</v>
      </c>
      <c r="AD1690" s="38"/>
      <c r="AE1690" s="39"/>
      <c r="AF1690" s="40"/>
      <c r="AG1690" s="41"/>
      <c r="AH1690" s="32"/>
      <c r="AI1690" s="32"/>
      <c r="AL1690" s="32"/>
      <c r="AM1690" s="32"/>
      <c r="AN1690" s="32"/>
      <c r="AO1690" s="32"/>
      <c r="AP1690" s="32"/>
      <c r="AQ1690" s="32"/>
      <c r="AR1690" s="32"/>
      <c r="AS1690" s="32"/>
      <c r="AT1690" s="32"/>
      <c r="AU1690" s="32"/>
      <c r="XEY1690" s="27"/>
      <c r="XEZ1690" s="27"/>
      <c r="XFA1690" s="27"/>
      <c r="XFB1690" s="27"/>
      <c r="XFC1690" s="27"/>
      <c r="XFD1690" s="27"/>
    </row>
    <row r="1691" s="42" customFormat="true" ht="14.15" hidden="false" customHeight="true" outlineLevel="0" collapsed="false">
      <c r="A1691" s="28" t="s">
        <v>9477</v>
      </c>
      <c r="B1691" s="29" t="s">
        <v>1270</v>
      </c>
      <c r="C1691" s="29" t="s">
        <v>9478</v>
      </c>
      <c r="D1691" s="30" t="s">
        <v>172</v>
      </c>
      <c r="E1691" s="30" t="s">
        <v>978</v>
      </c>
      <c r="F1691" s="32" t="n">
        <v>61</v>
      </c>
      <c r="G1691" s="31"/>
      <c r="H1691" s="31" t="n">
        <v>1</v>
      </c>
      <c r="I1691" s="31" t="s">
        <v>572</v>
      </c>
      <c r="J1691" s="29"/>
      <c r="K1691" s="29" t="s">
        <v>9479</v>
      </c>
      <c r="L1691" s="32" t="n">
        <v>8</v>
      </c>
      <c r="M1691" s="33" t="s">
        <v>9480</v>
      </c>
      <c r="N1691" s="34" t="n">
        <v>75008</v>
      </c>
      <c r="O1691" s="35" t="s">
        <v>55</v>
      </c>
      <c r="P1691" s="36"/>
      <c r="Q1691" s="36" t="n">
        <v>2</v>
      </c>
      <c r="R1691" s="32" t="n">
        <v>51</v>
      </c>
      <c r="S1691" s="32" t="n">
        <v>1</v>
      </c>
      <c r="T1691" s="43" t="s">
        <v>1925</v>
      </c>
      <c r="U1691" s="32" t="n">
        <v>3</v>
      </c>
      <c r="V1691" s="37"/>
      <c r="W1691" s="32"/>
      <c r="X1691" s="34"/>
      <c r="Y1691" s="34"/>
      <c r="Z1691" s="36"/>
      <c r="AA1691" s="32" t="s">
        <v>9481</v>
      </c>
      <c r="AB1691" s="32"/>
      <c r="AC1691" s="38" t="str">
        <f aca="false">HYPERLINK("https://biocodex6--c.vf.force.com/0014L00000KFvpMQAT", "PEZOUS ANNE MARIE")</f>
        <v>PEZOUS ANNE MARIE</v>
      </c>
      <c r="AD1691" s="38"/>
      <c r="AE1691" s="39" t="n">
        <v>45370.4583333333</v>
      </c>
      <c r="AF1691" s="40"/>
      <c r="AG1691" s="41"/>
      <c r="AH1691" s="32" t="s">
        <v>179</v>
      </c>
      <c r="AI1691" s="32"/>
      <c r="AL1691" s="32"/>
      <c r="AM1691" s="32"/>
      <c r="AN1691" s="32"/>
      <c r="AO1691" s="32"/>
      <c r="AP1691" s="32"/>
      <c r="AQ1691" s="32"/>
      <c r="AR1691" s="32"/>
      <c r="AS1691" s="32"/>
      <c r="AT1691" s="32"/>
      <c r="AU1691" s="32"/>
      <c r="XEY1691" s="27"/>
      <c r="XEZ1691" s="27"/>
      <c r="XFA1691" s="27"/>
      <c r="XFB1691" s="27"/>
      <c r="XFC1691" s="27"/>
      <c r="XFD1691" s="27"/>
    </row>
    <row r="1692" s="42" customFormat="true" ht="14.15" hidden="false" customHeight="true" outlineLevel="0" collapsed="false">
      <c r="A1692" s="28" t="s">
        <v>9232</v>
      </c>
      <c r="B1692" s="29" t="s">
        <v>1403</v>
      </c>
      <c r="C1692" s="29" t="s">
        <v>9482</v>
      </c>
      <c r="D1692" s="30" t="s">
        <v>172</v>
      </c>
      <c r="E1692" s="31"/>
      <c r="F1692" s="32" t="n">
        <v>61</v>
      </c>
      <c r="G1692" s="31"/>
      <c r="H1692" s="31" t="n">
        <v>1</v>
      </c>
      <c r="I1692" s="31" t="s">
        <v>572</v>
      </c>
      <c r="J1692" s="29"/>
      <c r="K1692" s="29" t="s">
        <v>9117</v>
      </c>
      <c r="L1692" s="32" t="n">
        <v>170</v>
      </c>
      <c r="M1692" s="33" t="s">
        <v>3334</v>
      </c>
      <c r="N1692" s="34" t="n">
        <v>75008</v>
      </c>
      <c r="O1692" s="35" t="s">
        <v>55</v>
      </c>
      <c r="P1692" s="36"/>
      <c r="Q1692" s="36" t="n">
        <v>3</v>
      </c>
      <c r="R1692" s="32" t="n">
        <v>51</v>
      </c>
      <c r="S1692" s="32" t="n">
        <v>1</v>
      </c>
      <c r="T1692" s="43" t="s">
        <v>3663</v>
      </c>
      <c r="U1692" s="32"/>
      <c r="V1692" s="37" t="n">
        <v>3</v>
      </c>
      <c r="W1692" s="32"/>
      <c r="X1692" s="34"/>
      <c r="Y1692" s="34"/>
      <c r="Z1692" s="36"/>
      <c r="AA1692" s="32" t="s">
        <v>9483</v>
      </c>
      <c r="AB1692" s="32"/>
      <c r="AC1692" s="38" t="str">
        <f aca="false">HYPERLINK("https://biocodex6--c.vf.force.com/0014L00000KFTXoQAP", "BENCHETRIT BRIGITTE")</f>
        <v>BENCHETRIT BRIGITTE</v>
      </c>
      <c r="AD1692" s="38"/>
      <c r="AE1692" s="39"/>
      <c r="AF1692" s="40"/>
      <c r="AG1692" s="41"/>
      <c r="AH1692" s="32" t="s">
        <v>179</v>
      </c>
      <c r="AI1692" s="32"/>
      <c r="AL1692" s="32"/>
      <c r="AM1692" s="32"/>
      <c r="AN1692" s="32"/>
      <c r="AO1692" s="32"/>
      <c r="AP1692" s="32"/>
      <c r="AQ1692" s="32"/>
      <c r="AR1692" s="32"/>
      <c r="AS1692" s="32"/>
      <c r="AT1692" s="32"/>
      <c r="AU1692" s="32"/>
      <c r="XEY1692" s="27"/>
      <c r="XEZ1692" s="27"/>
      <c r="XFA1692" s="27"/>
      <c r="XFB1692" s="27"/>
      <c r="XFC1692" s="27"/>
      <c r="XFD1692" s="27"/>
    </row>
    <row r="1693" s="42" customFormat="true" ht="14.15" hidden="false" customHeight="true" outlineLevel="0" collapsed="false">
      <c r="A1693" s="28" t="s">
        <v>9484</v>
      </c>
      <c r="B1693" s="29" t="s">
        <v>204</v>
      </c>
      <c r="C1693" s="29" t="s">
        <v>9485</v>
      </c>
      <c r="D1693" s="30" t="s">
        <v>172</v>
      </c>
      <c r="E1693" s="30" t="s">
        <v>255</v>
      </c>
      <c r="F1693" s="32" t="n">
        <v>59</v>
      </c>
      <c r="G1693" s="31"/>
      <c r="H1693" s="31" t="n">
        <v>2</v>
      </c>
      <c r="I1693" s="31" t="s">
        <v>572</v>
      </c>
      <c r="J1693" s="29"/>
      <c r="K1693" s="29" t="s">
        <v>9486</v>
      </c>
      <c r="L1693" s="32" t="n">
        <v>47</v>
      </c>
      <c r="M1693" s="33" t="s">
        <v>1138</v>
      </c>
      <c r="N1693" s="34" t="n">
        <v>75008</v>
      </c>
      <c r="O1693" s="35" t="s">
        <v>55</v>
      </c>
      <c r="P1693" s="36" t="s">
        <v>9487</v>
      </c>
      <c r="Q1693" s="36" t="n">
        <v>1</v>
      </c>
      <c r="R1693" s="32" t="n">
        <v>51</v>
      </c>
      <c r="S1693" s="32" t="n">
        <v>1</v>
      </c>
      <c r="T1693" s="43" t="s">
        <v>1107</v>
      </c>
      <c r="U1693" s="32"/>
      <c r="V1693" s="37"/>
      <c r="W1693" s="32"/>
      <c r="X1693" s="34"/>
      <c r="Y1693" s="34"/>
      <c r="Z1693" s="32"/>
      <c r="AA1693" s="32" t="s">
        <v>9488</v>
      </c>
      <c r="AB1693" s="32"/>
      <c r="AC1693" s="38" t="str">
        <f aca="false">HYPERLINK("https://biocodex6--c.vf.force.com/0014L00000KFjx0QAD", "REGNAUT NATHALIE")</f>
        <v>REGNAUT NATHALIE</v>
      </c>
      <c r="AD1693" s="38"/>
      <c r="AE1693" s="39"/>
      <c r="AF1693" s="40"/>
      <c r="AG1693" s="41"/>
      <c r="AH1693" s="32"/>
      <c r="AI1693" s="32"/>
      <c r="AL1693" s="32"/>
      <c r="AM1693" s="32"/>
      <c r="AN1693" s="32"/>
      <c r="AO1693" s="32"/>
      <c r="AP1693" s="32"/>
      <c r="AQ1693" s="32"/>
      <c r="AR1693" s="32"/>
      <c r="AS1693" s="32"/>
      <c r="AT1693" s="32"/>
      <c r="AU1693" s="32"/>
      <c r="XEY1693" s="27"/>
      <c r="XEZ1693" s="27"/>
      <c r="XFA1693" s="27"/>
      <c r="XFB1693" s="27"/>
      <c r="XFC1693" s="27"/>
      <c r="XFD1693" s="27"/>
    </row>
    <row r="1694" s="42" customFormat="true" ht="14.15" hidden="false" customHeight="true" outlineLevel="0" collapsed="false">
      <c r="A1694" s="28" t="s">
        <v>9489</v>
      </c>
      <c r="B1694" s="29" t="s">
        <v>9490</v>
      </c>
      <c r="C1694" s="29" t="s">
        <v>9491</v>
      </c>
      <c r="D1694" s="30" t="s">
        <v>1103</v>
      </c>
      <c r="E1694" s="31"/>
      <c r="F1694" s="32" t="n">
        <v>45</v>
      </c>
      <c r="G1694" s="31"/>
      <c r="H1694" s="31" t="n">
        <v>1</v>
      </c>
      <c r="I1694" s="31" t="s">
        <v>572</v>
      </c>
      <c r="J1694" s="29"/>
      <c r="K1694" s="29" t="s">
        <v>9492</v>
      </c>
      <c r="L1694" s="32" t="n">
        <v>7</v>
      </c>
      <c r="M1694" s="33" t="s">
        <v>7391</v>
      </c>
      <c r="N1694" s="34" t="n">
        <v>75008</v>
      </c>
      <c r="O1694" s="35" t="s">
        <v>55</v>
      </c>
      <c r="P1694" s="36" t="s">
        <v>9493</v>
      </c>
      <c r="Q1694" s="36" t="n">
        <v>1</v>
      </c>
      <c r="R1694" s="32" t="n">
        <v>51</v>
      </c>
      <c r="S1694" s="32" t="n">
        <v>1</v>
      </c>
      <c r="T1694" s="43" t="s">
        <v>2197</v>
      </c>
      <c r="U1694" s="32" t="n">
        <v>3</v>
      </c>
      <c r="V1694" s="37"/>
      <c r="W1694" s="32"/>
      <c r="X1694" s="34"/>
      <c r="Y1694" s="34"/>
      <c r="Z1694" s="36" t="s">
        <v>9494</v>
      </c>
      <c r="AA1694" s="32" t="s">
        <v>9495</v>
      </c>
      <c r="AB1694" s="32"/>
      <c r="AC1694" s="38" t="str">
        <f aca="false">HYPERLINK("https://biocodex6--c.vf.force.com/0014L00000KFuQFQA1", "NOBLINSKI JOANNA")</f>
        <v>NOBLINSKI JOANNA</v>
      </c>
      <c r="AD1694" s="38"/>
      <c r="AE1694" s="39" t="n">
        <v>45371.6458333333</v>
      </c>
      <c r="AF1694" s="40"/>
      <c r="AG1694" s="41"/>
      <c r="AH1694" s="32" t="s">
        <v>179</v>
      </c>
      <c r="AI1694" s="32"/>
      <c r="AL1694" s="32"/>
      <c r="AM1694" s="32"/>
      <c r="AN1694" s="32"/>
      <c r="AO1694" s="32"/>
      <c r="AP1694" s="32"/>
      <c r="AQ1694" s="32"/>
      <c r="AR1694" s="32"/>
      <c r="AS1694" s="32"/>
      <c r="AT1694" s="32"/>
      <c r="AU1694" s="32"/>
      <c r="XEY1694" s="27"/>
      <c r="XEZ1694" s="27"/>
      <c r="XFA1694" s="27"/>
      <c r="XFB1694" s="27"/>
      <c r="XFC1694" s="27"/>
      <c r="XFD1694" s="27"/>
    </row>
    <row r="1695" s="42" customFormat="true" ht="14.15" hidden="false" customHeight="true" outlineLevel="0" collapsed="false">
      <c r="A1695" s="28" t="s">
        <v>9496</v>
      </c>
      <c r="B1695" s="29" t="s">
        <v>4073</v>
      </c>
      <c r="C1695" s="29" t="s">
        <v>9497</v>
      </c>
      <c r="D1695" s="30" t="s">
        <v>172</v>
      </c>
      <c r="E1695" s="30" t="s">
        <v>978</v>
      </c>
      <c r="F1695" s="32" t="n">
        <v>65</v>
      </c>
      <c r="G1695" s="31"/>
      <c r="H1695" s="31" t="n">
        <v>1</v>
      </c>
      <c r="I1695" s="31" t="s">
        <v>572</v>
      </c>
      <c r="J1695" s="29"/>
      <c r="K1695" s="29" t="s">
        <v>9498</v>
      </c>
      <c r="L1695" s="32" t="n">
        <v>21</v>
      </c>
      <c r="M1695" s="33" t="s">
        <v>3647</v>
      </c>
      <c r="N1695" s="34" t="n">
        <v>75008</v>
      </c>
      <c r="O1695" s="35" t="s">
        <v>55</v>
      </c>
      <c r="P1695" s="36"/>
      <c r="Q1695" s="36" t="n">
        <v>1</v>
      </c>
      <c r="R1695" s="32" t="n">
        <v>51</v>
      </c>
      <c r="S1695" s="32" t="n">
        <v>1</v>
      </c>
      <c r="T1695" s="43" t="s">
        <v>316</v>
      </c>
      <c r="U1695" s="32"/>
      <c r="V1695" s="37"/>
      <c r="W1695" s="32"/>
      <c r="X1695" s="34"/>
      <c r="Y1695" s="34" t="n">
        <v>1</v>
      </c>
      <c r="Z1695" s="36"/>
      <c r="AA1695" s="32" t="s">
        <v>9499</v>
      </c>
      <c r="AB1695" s="44"/>
      <c r="AC1695" s="38" t="str">
        <f aca="false">HYPERLINK("https://biocodex6--c.vf.force.com/0014L00000KFhZcQAL", "GUILLARD ODILE")</f>
        <v>GUILLARD ODILE</v>
      </c>
      <c r="AD1695" s="38"/>
      <c r="AE1695" s="39"/>
      <c r="AF1695" s="40"/>
      <c r="AG1695" s="41"/>
      <c r="AH1695" s="32" t="s">
        <v>179</v>
      </c>
      <c r="AI1695" s="32"/>
      <c r="AL1695" s="32"/>
      <c r="AM1695" s="32"/>
      <c r="AN1695" s="32"/>
      <c r="AO1695" s="32"/>
      <c r="AP1695" s="32"/>
      <c r="AQ1695" s="32"/>
      <c r="AR1695" s="32"/>
      <c r="AS1695" s="32"/>
      <c r="AT1695" s="32"/>
      <c r="AU1695" s="32"/>
      <c r="XEY1695" s="27"/>
      <c r="XEZ1695" s="27"/>
      <c r="XFA1695" s="27"/>
      <c r="XFB1695" s="27"/>
      <c r="XFC1695" s="27"/>
      <c r="XFD1695" s="27"/>
    </row>
    <row r="1696" s="42" customFormat="true" ht="14.15" hidden="false" customHeight="true" outlineLevel="0" collapsed="false">
      <c r="A1696" s="28" t="s">
        <v>9500</v>
      </c>
      <c r="B1696" s="29" t="s">
        <v>455</v>
      </c>
      <c r="C1696" s="29" t="s">
        <v>9501</v>
      </c>
      <c r="D1696" s="30" t="s">
        <v>172</v>
      </c>
      <c r="E1696" s="31"/>
      <c r="F1696" s="32" t="n">
        <v>73</v>
      </c>
      <c r="G1696" s="31"/>
      <c r="H1696" s="31" t="n">
        <v>1</v>
      </c>
      <c r="I1696" s="31" t="s">
        <v>99</v>
      </c>
      <c r="J1696" s="29"/>
      <c r="K1696" s="29" t="s">
        <v>9502</v>
      </c>
      <c r="L1696" s="32" t="n">
        <v>91</v>
      </c>
      <c r="M1696" s="33" t="s">
        <v>101</v>
      </c>
      <c r="N1696" s="34" t="n">
        <v>75015</v>
      </c>
      <c r="O1696" s="35" t="s">
        <v>55</v>
      </c>
      <c r="P1696" s="36" t="s">
        <v>9503</v>
      </c>
      <c r="Q1696" s="36" t="n">
        <v>1</v>
      </c>
      <c r="R1696" s="32" t="n">
        <v>51</v>
      </c>
      <c r="S1696" s="32" t="n">
        <v>1</v>
      </c>
      <c r="T1696" s="43" t="s">
        <v>316</v>
      </c>
      <c r="U1696" s="32"/>
      <c r="V1696" s="37"/>
      <c r="W1696" s="32"/>
      <c r="X1696" s="34"/>
      <c r="Y1696" s="34"/>
      <c r="Z1696" s="36"/>
      <c r="AA1696" s="32" t="s">
        <v>9504</v>
      </c>
      <c r="AB1696" s="32"/>
      <c r="AC1696" s="38" t="str">
        <f aca="false">HYPERLINK("https://biocodex6--c.vf.force.com/0014L00000KG5zKQAT", "WOLMARK TORGEMEN GENEVIEVE")</f>
        <v>WOLMARK TORGEMEN GENEVIEVE</v>
      </c>
      <c r="AD1696" s="38"/>
      <c r="AE1696" s="39"/>
      <c r="AF1696" s="40"/>
      <c r="AG1696" s="41"/>
      <c r="AH1696" s="32" t="s">
        <v>179</v>
      </c>
      <c r="AI1696" s="32"/>
      <c r="AL1696" s="32"/>
      <c r="AM1696" s="32"/>
      <c r="AN1696" s="32"/>
      <c r="AO1696" s="32"/>
      <c r="AP1696" s="32"/>
      <c r="AQ1696" s="32"/>
      <c r="AR1696" s="32"/>
      <c r="AS1696" s="32"/>
      <c r="AT1696" s="32"/>
      <c r="AU1696" s="32"/>
      <c r="XEY1696" s="27"/>
      <c r="XEZ1696" s="27"/>
      <c r="XFA1696" s="27"/>
      <c r="XFB1696" s="27"/>
      <c r="XFC1696" s="27"/>
      <c r="XFD1696" s="27"/>
    </row>
    <row r="1697" s="42" customFormat="true" ht="14.15" hidden="false" customHeight="true" outlineLevel="0" collapsed="false">
      <c r="A1697" s="28" t="s">
        <v>9505</v>
      </c>
      <c r="B1697" s="29" t="s">
        <v>6964</v>
      </c>
      <c r="C1697" s="29" t="s">
        <v>9506</v>
      </c>
      <c r="D1697" s="30" t="s">
        <v>1103</v>
      </c>
      <c r="E1697" s="31"/>
      <c r="F1697" s="32" t="n">
        <v>0</v>
      </c>
      <c r="G1697" s="31"/>
      <c r="H1697" s="31" t="n">
        <v>1</v>
      </c>
      <c r="I1697" s="31" t="s">
        <v>99</v>
      </c>
      <c r="J1697" s="29"/>
      <c r="K1697" s="29" t="s">
        <v>9507</v>
      </c>
      <c r="L1697" s="32" t="n">
        <v>6</v>
      </c>
      <c r="M1697" s="33" t="s">
        <v>9508</v>
      </c>
      <c r="N1697" s="34" t="n">
        <v>75015</v>
      </c>
      <c r="O1697" s="35" t="s">
        <v>55</v>
      </c>
      <c r="P1697" s="36" t="s">
        <v>9509</v>
      </c>
      <c r="Q1697" s="36" t="n">
        <v>1</v>
      </c>
      <c r="R1697" s="32" t="n">
        <v>51</v>
      </c>
      <c r="S1697" s="32" t="n">
        <v>1</v>
      </c>
      <c r="T1697" s="43" t="s">
        <v>177</v>
      </c>
      <c r="U1697" s="32"/>
      <c r="V1697" s="37"/>
      <c r="W1697" s="32"/>
      <c r="X1697" s="34"/>
      <c r="Y1697" s="34"/>
      <c r="Z1697" s="32"/>
      <c r="AA1697" s="32" t="s">
        <v>9510</v>
      </c>
      <c r="AB1697" s="32"/>
      <c r="AC1697" s="38" t="str">
        <f aca="false">HYPERLINK("https://biocodex6--c.vf.force.com/0014L00000KGCOdQAP", "LEHALLE BEATRICE")</f>
        <v>LEHALLE BEATRICE</v>
      </c>
      <c r="AD1697" s="38"/>
      <c r="AE1697" s="39"/>
      <c r="AF1697" s="40"/>
      <c r="AG1697" s="41"/>
      <c r="AH1697" s="32"/>
      <c r="AI1697" s="32"/>
      <c r="AL1697" s="32"/>
      <c r="AM1697" s="32"/>
      <c r="AN1697" s="32"/>
      <c r="AO1697" s="32"/>
      <c r="AP1697" s="32"/>
      <c r="AQ1697" s="32"/>
      <c r="AR1697" s="32"/>
      <c r="AS1697" s="32"/>
      <c r="AT1697" s="32"/>
      <c r="AU1697" s="32"/>
      <c r="XEY1697" s="27"/>
      <c r="XEZ1697" s="27"/>
      <c r="XFA1697" s="27"/>
      <c r="XFB1697" s="27"/>
      <c r="XFC1697" s="27"/>
      <c r="XFD1697" s="27"/>
    </row>
    <row r="1698" s="42" customFormat="true" ht="14.15" hidden="false" customHeight="true" outlineLevel="0" collapsed="false">
      <c r="A1698" s="28" t="s">
        <v>9511</v>
      </c>
      <c r="B1698" s="29" t="s">
        <v>3570</v>
      </c>
      <c r="C1698" s="29" t="s">
        <v>9512</v>
      </c>
      <c r="D1698" s="30" t="s">
        <v>172</v>
      </c>
      <c r="E1698" s="30" t="s">
        <v>818</v>
      </c>
      <c r="F1698" s="32" t="n">
        <v>71</v>
      </c>
      <c r="G1698" s="31"/>
      <c r="H1698" s="31" t="n">
        <v>1</v>
      </c>
      <c r="I1698" s="31" t="s">
        <v>99</v>
      </c>
      <c r="J1698" s="29"/>
      <c r="K1698" s="29" t="s">
        <v>9513</v>
      </c>
      <c r="L1698" s="32" t="n">
        <v>40</v>
      </c>
      <c r="M1698" s="33" t="s">
        <v>9514</v>
      </c>
      <c r="N1698" s="34" t="n">
        <v>75015</v>
      </c>
      <c r="O1698" s="35" t="s">
        <v>55</v>
      </c>
      <c r="P1698" s="36" t="s">
        <v>9515</v>
      </c>
      <c r="Q1698" s="36" t="n">
        <v>1</v>
      </c>
      <c r="R1698" s="32" t="n">
        <v>51</v>
      </c>
      <c r="S1698" s="32" t="n">
        <v>1</v>
      </c>
      <c r="T1698" s="43" t="s">
        <v>3663</v>
      </c>
      <c r="U1698" s="32" t="n">
        <v>3</v>
      </c>
      <c r="V1698" s="37" t="n">
        <v>3</v>
      </c>
      <c r="W1698" s="32"/>
      <c r="X1698" s="34"/>
      <c r="Y1698" s="34"/>
      <c r="Z1698" s="36"/>
      <c r="AA1698" s="32" t="s">
        <v>9516</v>
      </c>
      <c r="AB1698" s="44"/>
      <c r="AC1698" s="38" t="str">
        <f aca="false">HYPERLINK("https://biocodex6--c.vf.force.com/0014L00000KFfPeQAL", "GAVARD MARIE CLAUDE")</f>
        <v>GAVARD MARIE CLAUDE</v>
      </c>
      <c r="AD1698" s="38"/>
      <c r="AE1698" s="39"/>
      <c r="AF1698" s="40"/>
      <c r="AG1698" s="41"/>
      <c r="AH1698" s="32" t="s">
        <v>179</v>
      </c>
      <c r="AI1698" s="32"/>
      <c r="AJ1698" s="42" t="s">
        <v>9517</v>
      </c>
      <c r="AL1698" s="32"/>
      <c r="AM1698" s="32"/>
      <c r="AN1698" s="32"/>
      <c r="AO1698" s="32"/>
      <c r="AP1698" s="32"/>
      <c r="AQ1698" s="32"/>
      <c r="AR1698" s="32"/>
      <c r="AS1698" s="32"/>
      <c r="AT1698" s="32"/>
      <c r="AU1698" s="32"/>
      <c r="XEY1698" s="27"/>
      <c r="XEZ1698" s="27"/>
      <c r="XFA1698" s="27"/>
      <c r="XFB1698" s="27"/>
      <c r="XFC1698" s="27"/>
      <c r="XFD1698" s="27"/>
    </row>
    <row r="1699" s="42" customFormat="true" ht="14.15" hidden="false" customHeight="true" outlineLevel="0" collapsed="false">
      <c r="A1699" s="28" t="s">
        <v>2047</v>
      </c>
      <c r="B1699" s="29" t="s">
        <v>9518</v>
      </c>
      <c r="C1699" s="29" t="s">
        <v>9519</v>
      </c>
      <c r="D1699" s="30" t="s">
        <v>172</v>
      </c>
      <c r="E1699" s="30" t="s">
        <v>1228</v>
      </c>
      <c r="F1699" s="32" t="n">
        <v>80</v>
      </c>
      <c r="G1699" s="31"/>
      <c r="H1699" s="31" t="n">
        <v>1</v>
      </c>
      <c r="I1699" s="31" t="s">
        <v>119</v>
      </c>
      <c r="J1699" s="29"/>
      <c r="K1699" s="29" t="s">
        <v>9520</v>
      </c>
      <c r="L1699" s="32" t="n">
        <v>38</v>
      </c>
      <c r="M1699" s="33" t="s">
        <v>1769</v>
      </c>
      <c r="N1699" s="34" t="n">
        <v>75007</v>
      </c>
      <c r="O1699" s="35" t="s">
        <v>55</v>
      </c>
      <c r="P1699" s="36" t="s">
        <v>9521</v>
      </c>
      <c r="Q1699" s="36" t="n">
        <v>1</v>
      </c>
      <c r="R1699" s="32" t="n">
        <v>51</v>
      </c>
      <c r="S1699" s="32" t="n">
        <v>1</v>
      </c>
      <c r="T1699" s="43" t="s">
        <v>316</v>
      </c>
      <c r="U1699" s="32"/>
      <c r="V1699" s="37"/>
      <c r="W1699" s="32"/>
      <c r="X1699" s="34"/>
      <c r="Y1699" s="34"/>
      <c r="Z1699" s="32"/>
      <c r="AA1699" s="32" t="s">
        <v>9522</v>
      </c>
      <c r="AB1699" s="32"/>
      <c r="AC1699" s="38" t="str">
        <f aca="false">HYPERLINK("https://biocodex6--c.vf.force.com/0014L00000KG0iBQAT", "SCEMAMA MARIE LOUISE")</f>
        <v>SCEMAMA MARIE LOUISE</v>
      </c>
      <c r="AD1699" s="38"/>
      <c r="AE1699" s="39"/>
      <c r="AF1699" s="40"/>
      <c r="AG1699" s="41"/>
      <c r="AH1699" s="32"/>
      <c r="AI1699" s="32"/>
      <c r="AL1699" s="32"/>
      <c r="AM1699" s="32"/>
      <c r="AN1699" s="32"/>
      <c r="AO1699" s="32"/>
      <c r="AP1699" s="32"/>
      <c r="AQ1699" s="32"/>
      <c r="AR1699" s="32"/>
      <c r="AS1699" s="32"/>
      <c r="AT1699" s="32"/>
      <c r="AU1699" s="32"/>
      <c r="XEY1699" s="27"/>
      <c r="XEZ1699" s="27"/>
      <c r="XFA1699" s="27"/>
      <c r="XFB1699" s="27"/>
      <c r="XFC1699" s="27"/>
      <c r="XFD1699" s="27"/>
    </row>
    <row r="1700" s="42" customFormat="true" ht="14.15" hidden="false" customHeight="true" outlineLevel="0" collapsed="false">
      <c r="A1700" s="28" t="s">
        <v>9523</v>
      </c>
      <c r="B1700" s="29" t="s">
        <v>811</v>
      </c>
      <c r="C1700" s="29" t="s">
        <v>9524</v>
      </c>
      <c r="D1700" s="30" t="s">
        <v>172</v>
      </c>
      <c r="E1700" s="31"/>
      <c r="F1700" s="32" t="n">
        <v>68</v>
      </c>
      <c r="G1700" s="31"/>
      <c r="H1700" s="31" t="n">
        <v>1</v>
      </c>
      <c r="I1700" s="31" t="s">
        <v>119</v>
      </c>
      <c r="J1700" s="29"/>
      <c r="K1700" s="29" t="s">
        <v>9525</v>
      </c>
      <c r="L1700" s="32" t="n">
        <v>49</v>
      </c>
      <c r="M1700" s="33" t="s">
        <v>1213</v>
      </c>
      <c r="N1700" s="34" t="n">
        <v>75007</v>
      </c>
      <c r="O1700" s="35" t="s">
        <v>55</v>
      </c>
      <c r="P1700" s="36" t="s">
        <v>9526</v>
      </c>
      <c r="Q1700" s="36" t="n">
        <v>1</v>
      </c>
      <c r="R1700" s="32" t="n">
        <v>51</v>
      </c>
      <c r="S1700" s="32" t="n">
        <v>1</v>
      </c>
      <c r="T1700" s="43" t="s">
        <v>316</v>
      </c>
      <c r="U1700" s="32"/>
      <c r="V1700" s="37"/>
      <c r="W1700" s="32"/>
      <c r="X1700" s="34"/>
      <c r="Y1700" s="34"/>
      <c r="Z1700" s="36"/>
      <c r="AA1700" s="32" t="s">
        <v>9527</v>
      </c>
      <c r="AB1700" s="32"/>
      <c r="AC1700" s="38" t="str">
        <f aca="false">HYPERLINK("https://biocodex6--c.vf.force.com/0014L00000KFSRFQA5", "BENADON VERONIQUE")</f>
        <v>BENADON VERONIQUE</v>
      </c>
      <c r="AD1700" s="38"/>
      <c r="AE1700" s="39"/>
      <c r="AF1700" s="40"/>
      <c r="AG1700" s="41"/>
      <c r="AH1700" s="32" t="s">
        <v>179</v>
      </c>
      <c r="AI1700" s="32"/>
      <c r="AL1700" s="32"/>
      <c r="AM1700" s="32"/>
      <c r="AN1700" s="32"/>
      <c r="AO1700" s="32"/>
      <c r="AP1700" s="32"/>
      <c r="AQ1700" s="32"/>
      <c r="AR1700" s="32"/>
      <c r="AS1700" s="32"/>
      <c r="AT1700" s="32"/>
      <c r="AU1700" s="32"/>
      <c r="XEY1700" s="27"/>
      <c r="XEZ1700" s="27"/>
      <c r="XFA1700" s="27"/>
      <c r="XFB1700" s="27"/>
      <c r="XFC1700" s="27"/>
      <c r="XFD1700" s="27"/>
    </row>
    <row r="1701" s="42" customFormat="true" ht="14.15" hidden="false" customHeight="true" outlineLevel="0" collapsed="false">
      <c r="A1701" s="28" t="s">
        <v>9528</v>
      </c>
      <c r="B1701" s="29" t="s">
        <v>811</v>
      </c>
      <c r="C1701" s="29" t="s">
        <v>9529</v>
      </c>
      <c r="D1701" s="30" t="s">
        <v>172</v>
      </c>
      <c r="E1701" s="31"/>
      <c r="F1701" s="32" t="n">
        <v>58</v>
      </c>
      <c r="G1701" s="31"/>
      <c r="H1701" s="31" t="n">
        <v>2</v>
      </c>
      <c r="I1701" s="31" t="s">
        <v>119</v>
      </c>
      <c r="J1701" s="29" t="s">
        <v>4143</v>
      </c>
      <c r="K1701" s="29" t="s">
        <v>4144</v>
      </c>
      <c r="L1701" s="32" t="n">
        <v>6</v>
      </c>
      <c r="M1701" s="33" t="s">
        <v>3713</v>
      </c>
      <c r="N1701" s="34" t="n">
        <v>75007</v>
      </c>
      <c r="O1701" s="35" t="s">
        <v>55</v>
      </c>
      <c r="P1701" s="36" t="s">
        <v>6072</v>
      </c>
      <c r="Q1701" s="36" t="n">
        <v>6</v>
      </c>
      <c r="R1701" s="32" t="n">
        <v>51</v>
      </c>
      <c r="S1701" s="32" t="n">
        <v>1</v>
      </c>
      <c r="T1701" s="43" t="s">
        <v>1925</v>
      </c>
      <c r="U1701" s="32"/>
      <c r="V1701" s="37"/>
      <c r="W1701" s="32"/>
      <c r="X1701" s="34"/>
      <c r="Y1701" s="34"/>
      <c r="Z1701" s="36"/>
      <c r="AA1701" s="32" t="s">
        <v>9530</v>
      </c>
      <c r="AB1701" s="32"/>
      <c r="AC1701" s="38" t="str">
        <f aca="false">HYPERLINK("https://biocodex6--c.vf.force.com/0014L00000KFv94QAD", "OLIVIER PERZO VERONIQUE")</f>
        <v>OLIVIER PERZO VERONIQUE</v>
      </c>
      <c r="AD1701" s="38"/>
      <c r="AE1701" s="39"/>
      <c r="AF1701" s="40"/>
      <c r="AG1701" s="41"/>
      <c r="AH1701" s="32" t="s">
        <v>179</v>
      </c>
      <c r="AI1701" s="32"/>
      <c r="AL1701" s="32"/>
      <c r="AM1701" s="32"/>
      <c r="AN1701" s="32"/>
      <c r="AO1701" s="32"/>
      <c r="AP1701" s="32"/>
      <c r="AQ1701" s="32"/>
      <c r="AR1701" s="32"/>
      <c r="AS1701" s="32"/>
      <c r="AT1701" s="32"/>
      <c r="AU1701" s="32"/>
      <c r="XEY1701" s="27"/>
      <c r="XEZ1701" s="27"/>
      <c r="XFA1701" s="27"/>
      <c r="XFB1701" s="27"/>
      <c r="XFC1701" s="27"/>
      <c r="XFD1701" s="27"/>
    </row>
    <row r="1702" s="42" customFormat="true" ht="14.15" hidden="false" customHeight="true" outlineLevel="0" collapsed="false">
      <c r="A1702" s="28" t="s">
        <v>9531</v>
      </c>
      <c r="B1702" s="29" t="s">
        <v>2794</v>
      </c>
      <c r="C1702" s="29" t="s">
        <v>9532</v>
      </c>
      <c r="D1702" s="30" t="s">
        <v>172</v>
      </c>
      <c r="E1702" s="31"/>
      <c r="F1702" s="32" t="n">
        <v>0</v>
      </c>
      <c r="G1702" s="31"/>
      <c r="H1702" s="31" t="n">
        <v>1</v>
      </c>
      <c r="I1702" s="31" t="s">
        <v>119</v>
      </c>
      <c r="J1702" s="29"/>
      <c r="K1702" s="29" t="s">
        <v>3712</v>
      </c>
      <c r="L1702" s="32" t="n">
        <v>65</v>
      </c>
      <c r="M1702" s="33" t="s">
        <v>3713</v>
      </c>
      <c r="N1702" s="34" t="n">
        <v>75007</v>
      </c>
      <c r="O1702" s="35" t="s">
        <v>55</v>
      </c>
      <c r="P1702" s="36" t="s">
        <v>8177</v>
      </c>
      <c r="Q1702" s="36" t="n">
        <v>4</v>
      </c>
      <c r="R1702" s="32" t="n">
        <v>51</v>
      </c>
      <c r="S1702" s="32" t="n">
        <v>1</v>
      </c>
      <c r="T1702" s="43" t="s">
        <v>316</v>
      </c>
      <c r="U1702" s="32"/>
      <c r="V1702" s="37"/>
      <c r="W1702" s="32"/>
      <c r="X1702" s="34"/>
      <c r="Y1702" s="34"/>
      <c r="Z1702" s="32"/>
      <c r="AA1702" s="32"/>
      <c r="AB1702" s="32"/>
      <c r="AC1702" s="38"/>
      <c r="AD1702" s="38"/>
      <c r="AE1702" s="39"/>
      <c r="AF1702" s="40"/>
      <c r="AG1702" s="45"/>
      <c r="AH1702" s="32" t="s">
        <v>156</v>
      </c>
      <c r="AI1702" s="32"/>
      <c r="AK1702" s="42" t="s">
        <v>180</v>
      </c>
      <c r="AL1702" s="32"/>
      <c r="AM1702" s="32"/>
      <c r="AN1702" s="32"/>
      <c r="AO1702" s="32"/>
      <c r="AP1702" s="32"/>
      <c r="AQ1702" s="32"/>
      <c r="AR1702" s="32"/>
      <c r="AS1702" s="32"/>
      <c r="AT1702" s="32"/>
      <c r="AU1702" s="32"/>
      <c r="XEY1702" s="27"/>
      <c r="XEZ1702" s="27"/>
      <c r="XFA1702" s="27"/>
      <c r="XFB1702" s="27"/>
      <c r="XFC1702" s="27"/>
      <c r="XFD1702" s="27"/>
    </row>
    <row r="1703" s="42" customFormat="true" ht="14.15" hidden="false" customHeight="true" outlineLevel="0" collapsed="false">
      <c r="A1703" s="28" t="s">
        <v>9533</v>
      </c>
      <c r="B1703" s="29" t="s">
        <v>128</v>
      </c>
      <c r="C1703" s="29" t="s">
        <v>9534</v>
      </c>
      <c r="D1703" s="30" t="s">
        <v>172</v>
      </c>
      <c r="E1703" s="31"/>
      <c r="F1703" s="32" t="n">
        <v>79</v>
      </c>
      <c r="G1703" s="31"/>
      <c r="H1703" s="31" t="n">
        <v>1</v>
      </c>
      <c r="I1703" s="31" t="s">
        <v>119</v>
      </c>
      <c r="J1703" s="29"/>
      <c r="K1703" s="29" t="s">
        <v>8968</v>
      </c>
      <c r="L1703" s="32" t="n">
        <v>22</v>
      </c>
      <c r="M1703" s="33" t="s">
        <v>8969</v>
      </c>
      <c r="N1703" s="34" t="n">
        <v>75007</v>
      </c>
      <c r="O1703" s="35" t="s">
        <v>55</v>
      </c>
      <c r="P1703" s="36" t="s">
        <v>8970</v>
      </c>
      <c r="Q1703" s="36" t="n">
        <v>3</v>
      </c>
      <c r="R1703" s="32" t="n">
        <v>51</v>
      </c>
      <c r="S1703" s="32" t="n">
        <v>1</v>
      </c>
      <c r="T1703" s="43" t="s">
        <v>316</v>
      </c>
      <c r="U1703" s="32"/>
      <c r="V1703" s="37"/>
      <c r="W1703" s="32"/>
      <c r="X1703" s="34"/>
      <c r="Y1703" s="34"/>
      <c r="Z1703" s="36"/>
      <c r="AA1703" s="32" t="s">
        <v>9535</v>
      </c>
      <c r="AB1703" s="32"/>
      <c r="AC1703" s="38" t="str">
        <f aca="false">HYPERLINK("https://biocodex6--c.vf.force.com/0014L00000KFYRMQA5", "DALBET FRANCOISE")</f>
        <v>DALBET FRANCOISE</v>
      </c>
      <c r="AD1703" s="38"/>
      <c r="AE1703" s="39"/>
      <c r="AF1703" s="40"/>
      <c r="AG1703" s="41"/>
      <c r="AH1703" s="32" t="s">
        <v>179</v>
      </c>
      <c r="AI1703" s="32"/>
      <c r="AL1703" s="32"/>
      <c r="AM1703" s="32"/>
      <c r="AN1703" s="32"/>
      <c r="AO1703" s="32"/>
      <c r="AP1703" s="32"/>
      <c r="AQ1703" s="32"/>
      <c r="AR1703" s="32"/>
      <c r="AS1703" s="32"/>
      <c r="AT1703" s="32"/>
      <c r="AU1703" s="32"/>
      <c r="XEY1703" s="27"/>
      <c r="XEZ1703" s="27"/>
      <c r="XFA1703" s="27"/>
      <c r="XFB1703" s="27"/>
      <c r="XFC1703" s="27"/>
      <c r="XFD1703" s="27"/>
    </row>
    <row r="1704" s="42" customFormat="true" ht="14.15" hidden="false" customHeight="true" outlineLevel="0" collapsed="false">
      <c r="A1704" s="28" t="s">
        <v>9536</v>
      </c>
      <c r="B1704" s="29" t="s">
        <v>3570</v>
      </c>
      <c r="C1704" s="29" t="s">
        <v>9537</v>
      </c>
      <c r="D1704" s="30" t="s">
        <v>1103</v>
      </c>
      <c r="E1704" s="31"/>
      <c r="F1704" s="32" t="n">
        <v>69</v>
      </c>
      <c r="G1704" s="31"/>
      <c r="H1704" s="31" t="n">
        <v>2</v>
      </c>
      <c r="I1704" s="31" t="s">
        <v>119</v>
      </c>
      <c r="J1704" s="29"/>
      <c r="K1704" s="29" t="s">
        <v>9538</v>
      </c>
      <c r="L1704" s="32" t="n">
        <v>4</v>
      </c>
      <c r="M1704" s="33" t="s">
        <v>7027</v>
      </c>
      <c r="N1704" s="34" t="n">
        <v>75007</v>
      </c>
      <c r="O1704" s="35" t="s">
        <v>55</v>
      </c>
      <c r="P1704" s="36" t="s">
        <v>9539</v>
      </c>
      <c r="Q1704" s="36" t="n">
        <v>2</v>
      </c>
      <c r="R1704" s="32" t="n">
        <v>51</v>
      </c>
      <c r="S1704" s="32" t="n">
        <v>1</v>
      </c>
      <c r="T1704" s="43" t="s">
        <v>1107</v>
      </c>
      <c r="U1704" s="32" t="n">
        <v>3</v>
      </c>
      <c r="V1704" s="37"/>
      <c r="W1704" s="32"/>
      <c r="X1704" s="34"/>
      <c r="Y1704" s="34"/>
      <c r="Z1704" s="36" t="s">
        <v>9540</v>
      </c>
      <c r="AA1704" s="32" t="s">
        <v>9541</v>
      </c>
      <c r="AB1704" s="32"/>
      <c r="AC1704" s="38" t="str">
        <f aca="false">HYPERLINK("https://biocodex6--c.vf.force.com/0014L00000KG07zQAD", "SAIAG MARIE CLAUDE")</f>
        <v>SAIAG MARIE CLAUDE</v>
      </c>
      <c r="AD1704" s="38"/>
      <c r="AE1704" s="39"/>
      <c r="AF1704" s="40"/>
      <c r="AG1704" s="41"/>
      <c r="AH1704" s="32" t="s">
        <v>179</v>
      </c>
      <c r="AI1704" s="32"/>
      <c r="AL1704" s="32"/>
      <c r="AM1704" s="32"/>
      <c r="AN1704" s="32"/>
      <c r="AO1704" s="32"/>
      <c r="AP1704" s="32"/>
      <c r="AQ1704" s="32"/>
      <c r="AR1704" s="32"/>
      <c r="AS1704" s="32"/>
      <c r="AT1704" s="32"/>
      <c r="AU1704" s="32"/>
      <c r="XEY1704" s="27"/>
      <c r="XEZ1704" s="27"/>
      <c r="XFA1704" s="27"/>
      <c r="XFB1704" s="27"/>
      <c r="XFC1704" s="27"/>
      <c r="XFD1704" s="27"/>
    </row>
    <row r="1705" s="42" customFormat="true" ht="14.15" hidden="false" customHeight="true" outlineLevel="0" collapsed="false">
      <c r="A1705" s="28" t="s">
        <v>9542</v>
      </c>
      <c r="B1705" s="29" t="s">
        <v>183</v>
      </c>
      <c r="C1705" s="29" t="s">
        <v>9543</v>
      </c>
      <c r="D1705" s="30" t="s">
        <v>172</v>
      </c>
      <c r="E1705" s="30" t="s">
        <v>818</v>
      </c>
      <c r="F1705" s="32" t="n">
        <v>68</v>
      </c>
      <c r="G1705" s="31"/>
      <c r="H1705" s="31" t="n">
        <v>1</v>
      </c>
      <c r="I1705" s="31" t="s">
        <v>119</v>
      </c>
      <c r="J1705" s="29"/>
      <c r="K1705" s="29" t="s">
        <v>9544</v>
      </c>
      <c r="L1705" s="32" t="n">
        <v>4</v>
      </c>
      <c r="M1705" s="33" t="s">
        <v>4003</v>
      </c>
      <c r="N1705" s="34" t="n">
        <v>75007</v>
      </c>
      <c r="O1705" s="35" t="s">
        <v>55</v>
      </c>
      <c r="P1705" s="36"/>
      <c r="Q1705" s="36" t="n">
        <v>1</v>
      </c>
      <c r="R1705" s="32" t="n">
        <v>51</v>
      </c>
      <c r="S1705" s="32" t="n">
        <v>1</v>
      </c>
      <c r="T1705" s="43" t="s">
        <v>1107</v>
      </c>
      <c r="U1705" s="32"/>
      <c r="V1705" s="37" t="n">
        <v>3</v>
      </c>
      <c r="W1705" s="32"/>
      <c r="X1705" s="34"/>
      <c r="Y1705" s="34"/>
      <c r="Z1705" s="36"/>
      <c r="AA1705" s="32" t="s">
        <v>9545</v>
      </c>
      <c r="AB1705" s="32"/>
      <c r="AC1705" s="38" t="str">
        <f aca="false">HYPERLINK("https://biocodex6--c.vf.force.com/0014L00000KFTiWQAX", "BLUMENTHAL CHRISTIAN")</f>
        <v>BLUMENTHAL CHRISTIAN</v>
      </c>
      <c r="AD1705" s="38"/>
      <c r="AE1705" s="39"/>
      <c r="AF1705" s="40"/>
      <c r="AG1705" s="41"/>
      <c r="AH1705" s="32" t="s">
        <v>179</v>
      </c>
      <c r="AI1705" s="32"/>
      <c r="AL1705" s="32"/>
      <c r="AM1705" s="32"/>
      <c r="AN1705" s="32"/>
      <c r="AO1705" s="32"/>
      <c r="AP1705" s="32"/>
      <c r="AQ1705" s="32"/>
      <c r="AR1705" s="32"/>
      <c r="AS1705" s="32"/>
      <c r="AT1705" s="32"/>
      <c r="AU1705" s="32"/>
      <c r="XEY1705" s="27"/>
      <c r="XEZ1705" s="27"/>
      <c r="XFA1705" s="27"/>
      <c r="XFB1705" s="27"/>
      <c r="XFC1705" s="27"/>
      <c r="XFD1705" s="27"/>
    </row>
    <row r="1706" s="42" customFormat="true" ht="14.15" hidden="false" customHeight="true" outlineLevel="0" collapsed="false">
      <c r="A1706" s="28" t="s">
        <v>9546</v>
      </c>
      <c r="B1706" s="29" t="s">
        <v>7917</v>
      </c>
      <c r="C1706" s="29" t="s">
        <v>9547</v>
      </c>
      <c r="D1706" s="30" t="s">
        <v>172</v>
      </c>
      <c r="E1706" s="30" t="s">
        <v>245</v>
      </c>
      <c r="F1706" s="32" t="n">
        <v>46</v>
      </c>
      <c r="G1706" s="31"/>
      <c r="H1706" s="31" t="n">
        <v>1</v>
      </c>
      <c r="I1706" s="31" t="s">
        <v>119</v>
      </c>
      <c r="J1706" s="29"/>
      <c r="K1706" s="29" t="s">
        <v>8830</v>
      </c>
      <c r="L1706" s="32" t="n">
        <v>21</v>
      </c>
      <c r="M1706" s="33" t="s">
        <v>904</v>
      </c>
      <c r="N1706" s="34" t="n">
        <v>75007</v>
      </c>
      <c r="O1706" s="35" t="s">
        <v>55</v>
      </c>
      <c r="P1706" s="36"/>
      <c r="Q1706" s="36" t="n">
        <v>3</v>
      </c>
      <c r="R1706" s="32" t="n">
        <v>51</v>
      </c>
      <c r="S1706" s="32" t="n">
        <v>1</v>
      </c>
      <c r="T1706" s="43" t="s">
        <v>316</v>
      </c>
      <c r="U1706" s="32"/>
      <c r="V1706" s="37"/>
      <c r="W1706" s="32"/>
      <c r="X1706" s="34"/>
      <c r="Y1706" s="34"/>
      <c r="Z1706" s="36"/>
      <c r="AA1706" s="32" t="s">
        <v>9548</v>
      </c>
      <c r="AB1706" s="32"/>
      <c r="AC1706" s="38" t="str">
        <f aca="false">HYPERLINK("https://biocodex6--c.vf.force.com/0014L00000KFgjKQAT", "JACQ VIGNE FANNY")</f>
        <v>JACQ VIGNE FANNY</v>
      </c>
      <c r="AD1706" s="38"/>
      <c r="AE1706" s="39"/>
      <c r="AF1706" s="40"/>
      <c r="AG1706" s="41"/>
      <c r="AH1706" s="32" t="s">
        <v>179</v>
      </c>
      <c r="AI1706" s="32"/>
      <c r="AL1706" s="32"/>
      <c r="AM1706" s="32"/>
      <c r="AN1706" s="32"/>
      <c r="AO1706" s="32"/>
      <c r="AP1706" s="32"/>
      <c r="AQ1706" s="32"/>
      <c r="AR1706" s="32"/>
      <c r="AS1706" s="32"/>
      <c r="AT1706" s="32"/>
      <c r="AU1706" s="32"/>
      <c r="XEY1706" s="27"/>
      <c r="XEZ1706" s="27"/>
      <c r="XFA1706" s="27"/>
      <c r="XFB1706" s="27"/>
      <c r="XFC1706" s="27"/>
      <c r="XFD1706" s="27"/>
    </row>
    <row r="1707" s="42" customFormat="true" ht="14.15" hidden="false" customHeight="true" outlineLevel="0" collapsed="false">
      <c r="A1707" s="28" t="s">
        <v>9549</v>
      </c>
      <c r="B1707" s="29" t="s">
        <v>1270</v>
      </c>
      <c r="C1707" s="29" t="s">
        <v>9550</v>
      </c>
      <c r="D1707" s="30" t="s">
        <v>172</v>
      </c>
      <c r="E1707" s="30" t="s">
        <v>1103</v>
      </c>
      <c r="F1707" s="32" t="n">
        <v>73</v>
      </c>
      <c r="G1707" s="31"/>
      <c r="H1707" s="31" t="n">
        <v>1</v>
      </c>
      <c r="I1707" s="31" t="s">
        <v>51</v>
      </c>
      <c r="J1707" s="29"/>
      <c r="K1707" s="29" t="s">
        <v>9551</v>
      </c>
      <c r="L1707" s="32" t="n">
        <v>84</v>
      </c>
      <c r="M1707" s="33" t="s">
        <v>9092</v>
      </c>
      <c r="N1707" s="34" t="n">
        <v>75015</v>
      </c>
      <c r="O1707" s="35" t="s">
        <v>55</v>
      </c>
      <c r="P1707" s="36" t="s">
        <v>9552</v>
      </c>
      <c r="Q1707" s="36" t="n">
        <v>1</v>
      </c>
      <c r="R1707" s="32" t="n">
        <v>51</v>
      </c>
      <c r="S1707" s="32" t="n">
        <v>1</v>
      </c>
      <c r="T1707" s="43" t="s">
        <v>316</v>
      </c>
      <c r="U1707" s="32"/>
      <c r="V1707" s="37"/>
      <c r="W1707" s="32"/>
      <c r="X1707" s="34"/>
      <c r="Y1707" s="34"/>
      <c r="Z1707" s="36"/>
      <c r="AA1707" s="32" t="s">
        <v>9553</v>
      </c>
      <c r="AB1707" s="32"/>
      <c r="AC1707" s="38" t="str">
        <f aca="false">HYPERLINK("https://biocodex6--c.vf.force.com/0014L00000KFcWtQAL", "HAMMACHE EL KHATIB ANNE MARIE")</f>
        <v>HAMMACHE EL KHATIB ANNE MARIE</v>
      </c>
      <c r="AD1707" s="38"/>
      <c r="AE1707" s="39"/>
      <c r="AF1707" s="40"/>
      <c r="AG1707" s="41"/>
      <c r="AH1707" s="32" t="s">
        <v>179</v>
      </c>
      <c r="AI1707" s="32"/>
      <c r="AL1707" s="32"/>
      <c r="AM1707" s="32"/>
      <c r="AN1707" s="32"/>
      <c r="AO1707" s="32"/>
      <c r="AP1707" s="32"/>
      <c r="AQ1707" s="32"/>
      <c r="AR1707" s="32"/>
      <c r="AS1707" s="32"/>
      <c r="AT1707" s="32"/>
      <c r="AU1707" s="32"/>
      <c r="XEY1707" s="27"/>
      <c r="XEZ1707" s="27"/>
      <c r="XFA1707" s="27"/>
      <c r="XFB1707" s="27"/>
      <c r="XFC1707" s="27"/>
      <c r="XFD1707" s="27"/>
    </row>
    <row r="1708" s="42" customFormat="true" ht="14.15" hidden="false" customHeight="true" outlineLevel="0" collapsed="false">
      <c r="A1708" s="28" t="s">
        <v>9554</v>
      </c>
      <c r="B1708" s="29" t="s">
        <v>332</v>
      </c>
      <c r="C1708" s="29" t="s">
        <v>9555</v>
      </c>
      <c r="D1708" s="30" t="s">
        <v>172</v>
      </c>
      <c r="E1708" s="31"/>
      <c r="F1708" s="32" t="n">
        <v>62</v>
      </c>
      <c r="G1708" s="31"/>
      <c r="H1708" s="31" t="n">
        <v>1</v>
      </c>
      <c r="I1708" s="31" t="s">
        <v>51</v>
      </c>
      <c r="J1708" s="29"/>
      <c r="K1708" s="29" t="s">
        <v>2023</v>
      </c>
      <c r="L1708" s="32" t="n">
        <v>27</v>
      </c>
      <c r="M1708" s="33" t="s">
        <v>588</v>
      </c>
      <c r="N1708" s="34" t="n">
        <v>75015</v>
      </c>
      <c r="O1708" s="35" t="s">
        <v>55</v>
      </c>
      <c r="P1708" s="36"/>
      <c r="Q1708" s="36" t="n">
        <v>3</v>
      </c>
      <c r="R1708" s="36" t="n">
        <v>51</v>
      </c>
      <c r="S1708" s="32" t="n">
        <v>1</v>
      </c>
      <c r="T1708" s="43" t="s">
        <v>2189</v>
      </c>
      <c r="U1708" s="32" t="n">
        <v>3</v>
      </c>
      <c r="V1708" s="37"/>
      <c r="W1708" s="32"/>
      <c r="X1708" s="34"/>
      <c r="Y1708" s="34"/>
      <c r="Z1708" s="36"/>
      <c r="AA1708" s="32" t="s">
        <v>9556</v>
      </c>
      <c r="AB1708" s="32"/>
      <c r="AC1708" s="38" t="str">
        <f aca="false">HYPERLINK("https://biocodex6--c.vf.force.com/0014L00000KG6dxQAD", "WONG CATHERINE")</f>
        <v>WONG CATHERINE</v>
      </c>
      <c r="AD1708" s="38"/>
      <c r="AE1708" s="39"/>
      <c r="AF1708" s="40"/>
      <c r="AG1708" s="41"/>
      <c r="AH1708" s="32" t="s">
        <v>179</v>
      </c>
      <c r="AI1708" s="32"/>
      <c r="AL1708" s="32"/>
      <c r="AM1708" s="32"/>
      <c r="AN1708" s="32"/>
      <c r="AO1708" s="32"/>
      <c r="AP1708" s="32"/>
      <c r="AQ1708" s="32"/>
      <c r="AR1708" s="32"/>
      <c r="AS1708" s="32"/>
      <c r="AT1708" s="32"/>
      <c r="AU1708" s="32"/>
      <c r="XEY1708" s="27"/>
      <c r="XEZ1708" s="27"/>
      <c r="XFA1708" s="27"/>
      <c r="XFB1708" s="27"/>
      <c r="XFC1708" s="27"/>
      <c r="XFD1708" s="27"/>
    </row>
    <row r="1709" s="42" customFormat="true" ht="14.15" hidden="false" customHeight="true" outlineLevel="0" collapsed="false">
      <c r="A1709" s="28" t="s">
        <v>9557</v>
      </c>
      <c r="B1709" s="29" t="s">
        <v>9558</v>
      </c>
      <c r="C1709" s="29" t="s">
        <v>9559</v>
      </c>
      <c r="D1709" s="30" t="s">
        <v>172</v>
      </c>
      <c r="E1709" s="31"/>
      <c r="F1709" s="32" t="n">
        <v>48</v>
      </c>
      <c r="G1709" s="31"/>
      <c r="H1709" s="31" t="n">
        <v>1</v>
      </c>
      <c r="I1709" s="31" t="s">
        <v>435</v>
      </c>
      <c r="J1709" s="29" t="s">
        <v>9560</v>
      </c>
      <c r="K1709" s="29" t="s">
        <v>9055</v>
      </c>
      <c r="L1709" s="32" t="n">
        <v>12</v>
      </c>
      <c r="M1709" s="33" t="s">
        <v>9056</v>
      </c>
      <c r="N1709" s="34" t="n">
        <v>75016</v>
      </c>
      <c r="O1709" s="35" t="s">
        <v>55</v>
      </c>
      <c r="P1709" s="36" t="s">
        <v>9057</v>
      </c>
      <c r="Q1709" s="36" t="n">
        <v>2</v>
      </c>
      <c r="R1709" s="32" t="n">
        <v>51</v>
      </c>
      <c r="S1709" s="32" t="n">
        <v>1</v>
      </c>
      <c r="T1709" s="43" t="s">
        <v>4813</v>
      </c>
      <c r="U1709" s="32"/>
      <c r="V1709" s="37" t="n">
        <v>3</v>
      </c>
      <c r="W1709" s="32"/>
      <c r="X1709" s="34"/>
      <c r="Y1709" s="34"/>
      <c r="Z1709" s="32"/>
      <c r="AA1709" s="32" t="s">
        <v>9561</v>
      </c>
      <c r="AB1709" s="44"/>
      <c r="AC1709" s="38" t="str">
        <f aca="false">HYPERLINK("https://biocodex6--c.vf.force.com/0014L00000KG6qLQAT", "IONITA ADELA")</f>
        <v>IONITA ADELA</v>
      </c>
      <c r="AD1709" s="38"/>
      <c r="AE1709" s="39"/>
      <c r="AF1709" s="40"/>
      <c r="AG1709" s="41"/>
      <c r="AH1709" s="32" t="s">
        <v>2191</v>
      </c>
      <c r="AI1709" s="32" t="s">
        <v>2191</v>
      </c>
      <c r="AJ1709" s="42" t="s">
        <v>9562</v>
      </c>
      <c r="AL1709" s="32"/>
      <c r="AM1709" s="32"/>
      <c r="AN1709" s="32"/>
      <c r="AO1709" s="32"/>
      <c r="AP1709" s="32"/>
      <c r="AQ1709" s="32"/>
      <c r="AR1709" s="32"/>
      <c r="AS1709" s="32"/>
      <c r="AT1709" s="32"/>
      <c r="AU1709" s="32"/>
      <c r="XEY1709" s="27"/>
      <c r="XEZ1709" s="27"/>
      <c r="XFA1709" s="27"/>
      <c r="XFB1709" s="27"/>
      <c r="XFC1709" s="27"/>
      <c r="XFD1709" s="27"/>
    </row>
    <row r="1710" s="42" customFormat="true" ht="14.15" hidden="false" customHeight="true" outlineLevel="0" collapsed="false">
      <c r="A1710" s="28" t="s">
        <v>9563</v>
      </c>
      <c r="B1710" s="29" t="s">
        <v>2585</v>
      </c>
      <c r="C1710" s="29" t="s">
        <v>9564</v>
      </c>
      <c r="D1710" s="30" t="s">
        <v>172</v>
      </c>
      <c r="E1710" s="30" t="s">
        <v>1103</v>
      </c>
      <c r="F1710" s="32" t="n">
        <v>69</v>
      </c>
      <c r="G1710" s="31"/>
      <c r="H1710" s="31" t="n">
        <v>1</v>
      </c>
      <c r="I1710" s="31" t="s">
        <v>435</v>
      </c>
      <c r="J1710" s="29"/>
      <c r="K1710" s="29" t="s">
        <v>9565</v>
      </c>
      <c r="L1710" s="32" t="n">
        <v>60</v>
      </c>
      <c r="M1710" s="33" t="s">
        <v>2883</v>
      </c>
      <c r="N1710" s="34" t="n">
        <v>75016</v>
      </c>
      <c r="O1710" s="35" t="s">
        <v>55</v>
      </c>
      <c r="P1710" s="36" t="s">
        <v>9566</v>
      </c>
      <c r="Q1710" s="36" t="n">
        <v>1</v>
      </c>
      <c r="R1710" s="32" t="n">
        <v>51</v>
      </c>
      <c r="S1710" s="32" t="n">
        <v>1</v>
      </c>
      <c r="T1710" s="43" t="s">
        <v>316</v>
      </c>
      <c r="U1710" s="32"/>
      <c r="V1710" s="37"/>
      <c r="W1710" s="32"/>
      <c r="X1710" s="34"/>
      <c r="Y1710" s="34"/>
      <c r="Z1710" s="36"/>
      <c r="AA1710" s="32" t="s">
        <v>9567</v>
      </c>
      <c r="AB1710" s="32"/>
      <c r="AC1710" s="38" t="str">
        <f aca="false">HYPERLINK("https://biocodex6--c.vf.force.com/0014L00000KG1luQAD", "SLAMA ALICE")</f>
        <v>SLAMA ALICE</v>
      </c>
      <c r="AD1710" s="38"/>
      <c r="AE1710" s="39"/>
      <c r="AF1710" s="40"/>
      <c r="AG1710" s="41"/>
      <c r="AH1710" s="32" t="s">
        <v>179</v>
      </c>
      <c r="AI1710" s="32"/>
      <c r="AL1710" s="32"/>
      <c r="AM1710" s="32"/>
      <c r="AN1710" s="32"/>
      <c r="AO1710" s="32"/>
      <c r="AP1710" s="32"/>
      <c r="AQ1710" s="32"/>
      <c r="AR1710" s="32"/>
      <c r="AS1710" s="32"/>
      <c r="AT1710" s="32"/>
      <c r="AU1710" s="32"/>
      <c r="XEY1710" s="27"/>
      <c r="XEZ1710" s="27"/>
      <c r="XFA1710" s="27"/>
      <c r="XFB1710" s="27"/>
      <c r="XFC1710" s="27"/>
      <c r="XFD1710" s="27"/>
    </row>
    <row r="1711" s="42" customFormat="true" ht="14.15" hidden="false" customHeight="true" outlineLevel="0" collapsed="false">
      <c r="A1711" s="28" t="s">
        <v>9568</v>
      </c>
      <c r="B1711" s="29" t="s">
        <v>2827</v>
      </c>
      <c r="C1711" s="29" t="s">
        <v>9569</v>
      </c>
      <c r="D1711" s="30" t="s">
        <v>172</v>
      </c>
      <c r="E1711" s="30" t="s">
        <v>818</v>
      </c>
      <c r="F1711" s="32" t="n">
        <v>70</v>
      </c>
      <c r="G1711" s="31"/>
      <c r="H1711" s="31" t="n">
        <v>1</v>
      </c>
      <c r="I1711" s="31" t="s">
        <v>435</v>
      </c>
      <c r="J1711" s="29"/>
      <c r="K1711" s="29" t="s">
        <v>9570</v>
      </c>
      <c r="L1711" s="32" t="n">
        <v>127</v>
      </c>
      <c r="M1711" s="33" t="s">
        <v>2883</v>
      </c>
      <c r="N1711" s="34" t="n">
        <v>75016</v>
      </c>
      <c r="O1711" s="35" t="s">
        <v>55</v>
      </c>
      <c r="P1711" s="36" t="s">
        <v>9571</v>
      </c>
      <c r="Q1711" s="36" t="n">
        <v>1</v>
      </c>
      <c r="R1711" s="32" t="n">
        <v>51</v>
      </c>
      <c r="S1711" s="32" t="n">
        <v>1</v>
      </c>
      <c r="T1711" s="43" t="s">
        <v>316</v>
      </c>
      <c r="U1711" s="32"/>
      <c r="V1711" s="37"/>
      <c r="W1711" s="32"/>
      <c r="X1711" s="34"/>
      <c r="Y1711" s="34"/>
      <c r="Z1711" s="36"/>
      <c r="AA1711" s="32" t="s">
        <v>9572</v>
      </c>
      <c r="AB1711" s="32"/>
      <c r="AC1711" s="38" t="str">
        <f aca="false">HYPERLINK("https://biocodex6--c.vf.force.com/0014L00000KFd3uQAD", "FALLAS ELENA")</f>
        <v>FALLAS ELENA</v>
      </c>
      <c r="AD1711" s="38"/>
      <c r="AE1711" s="39"/>
      <c r="AF1711" s="40"/>
      <c r="AG1711" s="41"/>
      <c r="AH1711" s="32" t="s">
        <v>179</v>
      </c>
      <c r="AI1711" s="32"/>
      <c r="AL1711" s="32"/>
      <c r="AM1711" s="32"/>
      <c r="AN1711" s="32"/>
      <c r="AO1711" s="32"/>
      <c r="AP1711" s="32"/>
      <c r="AQ1711" s="32"/>
      <c r="AR1711" s="32"/>
      <c r="AS1711" s="32"/>
      <c r="AT1711" s="32"/>
      <c r="AU1711" s="32"/>
      <c r="XEY1711" s="27"/>
      <c r="XEZ1711" s="27"/>
      <c r="XFA1711" s="27"/>
      <c r="XFB1711" s="27"/>
      <c r="XFC1711" s="27"/>
      <c r="XFD1711" s="27"/>
    </row>
    <row r="1712" s="42" customFormat="true" ht="14.15" hidden="false" customHeight="true" outlineLevel="0" collapsed="false">
      <c r="A1712" s="28" t="s">
        <v>9573</v>
      </c>
      <c r="B1712" s="29" t="s">
        <v>1777</v>
      </c>
      <c r="C1712" s="29" t="s">
        <v>9574</v>
      </c>
      <c r="D1712" s="30" t="s">
        <v>172</v>
      </c>
      <c r="E1712" s="31"/>
      <c r="F1712" s="32" t="n">
        <v>50</v>
      </c>
      <c r="G1712" s="31"/>
      <c r="H1712" s="31" t="n">
        <v>1</v>
      </c>
      <c r="I1712" s="31" t="s">
        <v>435</v>
      </c>
      <c r="J1712" s="29"/>
      <c r="K1712" s="29" t="s">
        <v>9575</v>
      </c>
      <c r="L1712" s="32" t="n">
        <v>15</v>
      </c>
      <c r="M1712" s="33" t="s">
        <v>3757</v>
      </c>
      <c r="N1712" s="34" t="n">
        <v>75016</v>
      </c>
      <c r="O1712" s="35" t="s">
        <v>55</v>
      </c>
      <c r="P1712" s="36" t="s">
        <v>9576</v>
      </c>
      <c r="Q1712" s="36" t="n">
        <v>1</v>
      </c>
      <c r="R1712" s="36" t="n">
        <v>51</v>
      </c>
      <c r="S1712" s="32" t="n">
        <v>1</v>
      </c>
      <c r="T1712" s="43" t="s">
        <v>2189</v>
      </c>
      <c r="U1712" s="32"/>
      <c r="V1712" s="37"/>
      <c r="W1712" s="32"/>
      <c r="X1712" s="34"/>
      <c r="Y1712" s="34"/>
      <c r="Z1712" s="36"/>
      <c r="AA1712" s="32" t="s">
        <v>9577</v>
      </c>
      <c r="AB1712" s="32"/>
      <c r="AC1712" s="38" t="str">
        <f aca="false">HYPERLINK("https://biocodex6--c.vf.force.com/0014L00000KG5iQQAT", "WAJNTRAUB VALERIE")</f>
        <v>WAJNTRAUB VALERIE</v>
      </c>
      <c r="AD1712" s="38"/>
      <c r="AE1712" s="39"/>
      <c r="AF1712" s="40"/>
      <c r="AG1712" s="41"/>
      <c r="AH1712" s="32" t="s">
        <v>179</v>
      </c>
      <c r="AI1712" s="32"/>
      <c r="AL1712" s="32"/>
      <c r="AM1712" s="32"/>
      <c r="AN1712" s="32"/>
      <c r="AO1712" s="32"/>
      <c r="AP1712" s="32"/>
      <c r="AQ1712" s="32"/>
      <c r="AR1712" s="32"/>
      <c r="AS1712" s="32"/>
      <c r="AT1712" s="32"/>
      <c r="AU1712" s="32"/>
      <c r="XEY1712" s="27"/>
      <c r="XEZ1712" s="27"/>
      <c r="XFA1712" s="27"/>
      <c r="XFB1712" s="27"/>
      <c r="XFC1712" s="27"/>
      <c r="XFD1712" s="27"/>
    </row>
    <row r="1713" s="42" customFormat="true" ht="14.15" hidden="false" customHeight="true" outlineLevel="0" collapsed="false">
      <c r="A1713" s="28" t="s">
        <v>4981</v>
      </c>
      <c r="B1713" s="29" t="s">
        <v>1928</v>
      </c>
      <c r="C1713" s="29" t="s">
        <v>9578</v>
      </c>
      <c r="D1713" s="30" t="s">
        <v>172</v>
      </c>
      <c r="E1713" s="31"/>
      <c r="F1713" s="32" t="n">
        <v>63</v>
      </c>
      <c r="G1713" s="31"/>
      <c r="H1713" s="31" t="n">
        <v>2</v>
      </c>
      <c r="I1713" s="31" t="s">
        <v>435</v>
      </c>
      <c r="J1713" s="29"/>
      <c r="K1713" s="29" t="s">
        <v>3617</v>
      </c>
      <c r="L1713" s="32" t="n">
        <v>8</v>
      </c>
      <c r="M1713" s="33" t="s">
        <v>3465</v>
      </c>
      <c r="N1713" s="34" t="n">
        <v>75016</v>
      </c>
      <c r="O1713" s="35" t="s">
        <v>55</v>
      </c>
      <c r="P1713" s="36" t="s">
        <v>9579</v>
      </c>
      <c r="Q1713" s="36" t="n">
        <v>3</v>
      </c>
      <c r="R1713" s="32" t="n">
        <v>51</v>
      </c>
      <c r="S1713" s="32" t="n">
        <v>1</v>
      </c>
      <c r="T1713" s="43" t="s">
        <v>316</v>
      </c>
      <c r="U1713" s="32"/>
      <c r="V1713" s="37"/>
      <c r="W1713" s="32"/>
      <c r="X1713" s="34"/>
      <c r="Y1713" s="34"/>
      <c r="Z1713" s="36"/>
      <c r="AA1713" s="32" t="s">
        <v>9580</v>
      </c>
      <c r="AB1713" s="32"/>
      <c r="AC1713" s="38" t="str">
        <f aca="false">HYPERLINK("https://biocodex6--c.vf.force.com/0014L00000KFeGbQAL", "FOURNIER MATHILDE")</f>
        <v>FOURNIER MATHILDE</v>
      </c>
      <c r="AD1713" s="38"/>
      <c r="AE1713" s="39"/>
      <c r="AF1713" s="40"/>
      <c r="AG1713" s="41"/>
      <c r="AH1713" s="32" t="s">
        <v>179</v>
      </c>
      <c r="AI1713" s="32"/>
      <c r="AL1713" s="32"/>
      <c r="AM1713" s="32"/>
      <c r="AN1713" s="32"/>
      <c r="AO1713" s="32"/>
      <c r="AP1713" s="32"/>
      <c r="AQ1713" s="32"/>
      <c r="AR1713" s="32"/>
      <c r="AS1713" s="32"/>
      <c r="AT1713" s="32"/>
      <c r="AU1713" s="32"/>
      <c r="XEY1713" s="27"/>
      <c r="XEZ1713" s="27"/>
      <c r="XFA1713" s="27"/>
      <c r="XFB1713" s="27"/>
      <c r="XFC1713" s="27"/>
      <c r="XFD1713" s="27"/>
    </row>
    <row r="1714" s="42" customFormat="true" ht="14.15" hidden="false" customHeight="true" outlineLevel="0" collapsed="false">
      <c r="A1714" s="28" t="s">
        <v>9581</v>
      </c>
      <c r="B1714" s="29" t="s">
        <v>9582</v>
      </c>
      <c r="C1714" s="29" t="s">
        <v>9583</v>
      </c>
      <c r="D1714" s="30" t="s">
        <v>172</v>
      </c>
      <c r="E1714" s="30" t="s">
        <v>1103</v>
      </c>
      <c r="F1714" s="32" t="n">
        <v>67</v>
      </c>
      <c r="G1714" s="31"/>
      <c r="H1714" s="31" t="n">
        <v>1</v>
      </c>
      <c r="I1714" s="31" t="s">
        <v>62</v>
      </c>
      <c r="J1714" s="29"/>
      <c r="K1714" s="29" t="s">
        <v>9584</v>
      </c>
      <c r="L1714" s="32" t="n">
        <v>7</v>
      </c>
      <c r="M1714" s="33" t="s">
        <v>64</v>
      </c>
      <c r="N1714" s="34" t="n">
        <v>75017</v>
      </c>
      <c r="O1714" s="35" t="s">
        <v>55</v>
      </c>
      <c r="P1714" s="36" t="s">
        <v>9585</v>
      </c>
      <c r="Q1714" s="36" t="n">
        <v>1</v>
      </c>
      <c r="R1714" s="32" t="n">
        <v>51</v>
      </c>
      <c r="S1714" s="32" t="n">
        <v>1</v>
      </c>
      <c r="T1714" s="43" t="s">
        <v>1107</v>
      </c>
      <c r="U1714" s="32"/>
      <c r="V1714" s="37"/>
      <c r="W1714" s="32"/>
      <c r="X1714" s="34"/>
      <c r="Y1714" s="34"/>
      <c r="Z1714" s="36"/>
      <c r="AA1714" s="32" t="s">
        <v>9586</v>
      </c>
      <c r="AB1714" s="32"/>
      <c r="AC1714" s="38" t="str">
        <f aca="false">HYPERLINK("https://biocodex6--c.vf.force.com/0014L00000KFlUEQA1", "LAGACHE CORINE")</f>
        <v>LAGACHE CORINE</v>
      </c>
      <c r="AD1714" s="38"/>
      <c r="AE1714" s="39"/>
      <c r="AF1714" s="40"/>
      <c r="AG1714" s="41"/>
      <c r="AH1714" s="32" t="s">
        <v>179</v>
      </c>
      <c r="AI1714" s="32"/>
      <c r="AL1714" s="32"/>
      <c r="AM1714" s="32"/>
      <c r="AN1714" s="32"/>
      <c r="AO1714" s="32"/>
      <c r="AP1714" s="32"/>
      <c r="AQ1714" s="32"/>
      <c r="AR1714" s="32"/>
      <c r="AS1714" s="32"/>
      <c r="AT1714" s="32"/>
      <c r="AU1714" s="32"/>
      <c r="XEY1714" s="27"/>
      <c r="XEZ1714" s="27"/>
      <c r="XFA1714" s="27"/>
      <c r="XFB1714" s="27"/>
      <c r="XFC1714" s="27"/>
      <c r="XFD1714" s="27"/>
    </row>
    <row r="1715" s="42" customFormat="true" ht="14.15" hidden="false" customHeight="true" outlineLevel="0" collapsed="false">
      <c r="A1715" s="28" t="s">
        <v>9587</v>
      </c>
      <c r="B1715" s="29" t="s">
        <v>560</v>
      </c>
      <c r="C1715" s="29" t="s">
        <v>9588</v>
      </c>
      <c r="D1715" s="30" t="s">
        <v>172</v>
      </c>
      <c r="E1715" s="31"/>
      <c r="F1715" s="32" t="n">
        <v>74</v>
      </c>
      <c r="G1715" s="31"/>
      <c r="H1715" s="31" t="n">
        <v>1</v>
      </c>
      <c r="I1715" s="31" t="s">
        <v>62</v>
      </c>
      <c r="J1715" s="29"/>
      <c r="K1715" s="29" t="s">
        <v>9589</v>
      </c>
      <c r="L1715" s="32" t="n">
        <v>110</v>
      </c>
      <c r="M1715" s="33" t="s">
        <v>64</v>
      </c>
      <c r="N1715" s="34" t="n">
        <v>75017</v>
      </c>
      <c r="O1715" s="35" t="s">
        <v>55</v>
      </c>
      <c r="P1715" s="36" t="s">
        <v>9590</v>
      </c>
      <c r="Q1715" s="36" t="n">
        <v>1</v>
      </c>
      <c r="R1715" s="32" t="n">
        <v>51</v>
      </c>
      <c r="S1715" s="32" t="n">
        <v>1</v>
      </c>
      <c r="T1715" s="43" t="s">
        <v>316</v>
      </c>
      <c r="U1715" s="32"/>
      <c r="V1715" s="37"/>
      <c r="W1715" s="32"/>
      <c r="X1715" s="34"/>
      <c r="Y1715" s="34"/>
      <c r="Z1715" s="36"/>
      <c r="AA1715" s="32" t="s">
        <v>9591</v>
      </c>
      <c r="AB1715" s="32"/>
      <c r="AC1715" s="38" t="str">
        <f aca="false">HYPERLINK("https://biocodex6--c.vf.force.com/0014L00000KFZURQA5", "DECOURT ELISABETH")</f>
        <v>DECOURT ELISABETH</v>
      </c>
      <c r="AD1715" s="38"/>
      <c r="AE1715" s="39"/>
      <c r="AF1715" s="40"/>
      <c r="AG1715" s="41"/>
      <c r="AH1715" s="32" t="s">
        <v>179</v>
      </c>
      <c r="AI1715" s="32"/>
      <c r="AL1715" s="32"/>
      <c r="AM1715" s="32"/>
      <c r="AN1715" s="32"/>
      <c r="AO1715" s="32"/>
      <c r="AP1715" s="32"/>
      <c r="AQ1715" s="32"/>
      <c r="AR1715" s="32"/>
      <c r="AS1715" s="32"/>
      <c r="AT1715" s="32"/>
      <c r="AU1715" s="32"/>
      <c r="XEY1715" s="27"/>
      <c r="XEZ1715" s="27"/>
      <c r="XFA1715" s="27"/>
      <c r="XFB1715" s="27"/>
      <c r="XFC1715" s="27"/>
      <c r="XFD1715" s="27"/>
    </row>
    <row r="1716" s="42" customFormat="true" ht="14.15" hidden="false" customHeight="true" outlineLevel="0" collapsed="false">
      <c r="A1716" s="28" t="s">
        <v>9592</v>
      </c>
      <c r="B1716" s="29" t="s">
        <v>231</v>
      </c>
      <c r="C1716" s="29" t="s">
        <v>9593</v>
      </c>
      <c r="D1716" s="30" t="s">
        <v>172</v>
      </c>
      <c r="E1716" s="31"/>
      <c r="F1716" s="32" t="n">
        <v>63</v>
      </c>
      <c r="G1716" s="31"/>
      <c r="H1716" s="31" t="n">
        <v>1</v>
      </c>
      <c r="I1716" s="31" t="s">
        <v>62</v>
      </c>
      <c r="J1716" s="29"/>
      <c r="K1716" s="29" t="s">
        <v>9594</v>
      </c>
      <c r="L1716" s="32" t="n">
        <v>172</v>
      </c>
      <c r="M1716" s="33" t="s">
        <v>9595</v>
      </c>
      <c r="N1716" s="34" t="n">
        <v>75017</v>
      </c>
      <c r="O1716" s="35" t="s">
        <v>55</v>
      </c>
      <c r="P1716" s="36" t="s">
        <v>9596</v>
      </c>
      <c r="Q1716" s="36" t="n">
        <v>1</v>
      </c>
      <c r="R1716" s="32" t="n">
        <v>51</v>
      </c>
      <c r="S1716" s="32" t="n">
        <v>1</v>
      </c>
      <c r="T1716" s="43" t="s">
        <v>177</v>
      </c>
      <c r="U1716" s="32" t="n">
        <v>3</v>
      </c>
      <c r="V1716" s="37" t="n">
        <v>3</v>
      </c>
      <c r="W1716" s="32"/>
      <c r="X1716" s="34"/>
      <c r="Y1716" s="34"/>
      <c r="Z1716" s="32"/>
      <c r="AA1716" s="32" t="s">
        <v>9597</v>
      </c>
      <c r="AB1716" s="32"/>
      <c r="AC1716" s="38" t="str">
        <f aca="false">HYPERLINK("https://biocodex6--c.vf.force.com/0014L00000KFZUmQAP", "DECUP ANNE")</f>
        <v>DECUP ANNE</v>
      </c>
      <c r="AD1716" s="38"/>
      <c r="AE1716" s="39"/>
      <c r="AF1716" s="40"/>
      <c r="AG1716" s="41"/>
      <c r="AH1716" s="32"/>
      <c r="AI1716" s="32"/>
      <c r="AL1716" s="32"/>
      <c r="AM1716" s="32"/>
      <c r="AN1716" s="32"/>
      <c r="AO1716" s="32"/>
      <c r="AP1716" s="32"/>
      <c r="AQ1716" s="32"/>
      <c r="AR1716" s="32"/>
      <c r="AS1716" s="32"/>
      <c r="AT1716" s="32"/>
      <c r="AU1716" s="32"/>
      <c r="XEY1716" s="27"/>
      <c r="XEZ1716" s="27"/>
      <c r="XFA1716" s="27"/>
      <c r="XFB1716" s="27"/>
      <c r="XFC1716" s="27"/>
      <c r="XFD1716" s="27"/>
    </row>
    <row r="1717" s="42" customFormat="true" ht="14.15" hidden="false" customHeight="true" outlineLevel="0" collapsed="false">
      <c r="A1717" s="28" t="s">
        <v>9598</v>
      </c>
      <c r="B1717" s="29" t="s">
        <v>9599</v>
      </c>
      <c r="C1717" s="29" t="s">
        <v>9600</v>
      </c>
      <c r="D1717" s="30" t="s">
        <v>1103</v>
      </c>
      <c r="E1717" s="31"/>
      <c r="F1717" s="32" t="n">
        <v>51</v>
      </c>
      <c r="G1717" s="31"/>
      <c r="H1717" s="31" t="n">
        <v>1</v>
      </c>
      <c r="I1717" s="31" t="s">
        <v>62</v>
      </c>
      <c r="J1717" s="29"/>
      <c r="K1717" s="29" t="s">
        <v>9601</v>
      </c>
      <c r="L1717" s="32" t="n">
        <v>72</v>
      </c>
      <c r="M1717" s="33" t="s">
        <v>2804</v>
      </c>
      <c r="N1717" s="34" t="n">
        <v>75017</v>
      </c>
      <c r="O1717" s="35" t="s">
        <v>55</v>
      </c>
      <c r="P1717" s="36" t="s">
        <v>9602</v>
      </c>
      <c r="Q1717" s="36" t="n">
        <v>1</v>
      </c>
      <c r="R1717" s="32" t="n">
        <v>51</v>
      </c>
      <c r="S1717" s="32" t="n">
        <v>1</v>
      </c>
      <c r="T1717" s="43" t="s">
        <v>2197</v>
      </c>
      <c r="U1717" s="32" t="n">
        <v>3</v>
      </c>
      <c r="V1717" s="37"/>
      <c r="W1717" s="32"/>
      <c r="X1717" s="34"/>
      <c r="Y1717" s="34"/>
      <c r="Z1717" s="36"/>
      <c r="AA1717" s="32" t="s">
        <v>9603</v>
      </c>
      <c r="AB1717" s="32"/>
      <c r="AC1717" s="38" t="str">
        <f aca="false">HYPERLINK("https://biocodex6--c.vf.force.com/0014L00000KFWOgQAP", "DE CHOULY DE LENCLAVE MARIE BERANGERE")</f>
        <v>DE CHOULY DE LENCLAVE MARIE BERANGERE</v>
      </c>
      <c r="AD1717" s="38"/>
      <c r="AE1717" s="39"/>
      <c r="AF1717" s="40"/>
      <c r="AG1717" s="41"/>
      <c r="AH1717" s="32" t="s">
        <v>179</v>
      </c>
      <c r="AI1717" s="32"/>
      <c r="AL1717" s="32"/>
      <c r="AM1717" s="32"/>
      <c r="AN1717" s="32"/>
      <c r="AO1717" s="32"/>
      <c r="AP1717" s="32"/>
      <c r="AQ1717" s="32"/>
      <c r="AR1717" s="32"/>
      <c r="AS1717" s="32"/>
      <c r="AT1717" s="32"/>
      <c r="AU1717" s="32"/>
      <c r="XEY1717" s="27"/>
      <c r="XEZ1717" s="27"/>
      <c r="XFA1717" s="27"/>
      <c r="XFB1717" s="27"/>
      <c r="XFC1717" s="27"/>
      <c r="XFD1717" s="27"/>
    </row>
    <row r="1718" s="42" customFormat="true" ht="14.15" hidden="false" customHeight="true" outlineLevel="0" collapsed="false">
      <c r="A1718" s="28" t="s">
        <v>3079</v>
      </c>
      <c r="B1718" s="29" t="s">
        <v>117</v>
      </c>
      <c r="C1718" s="29" t="s">
        <v>9604</v>
      </c>
      <c r="D1718" s="30" t="s">
        <v>172</v>
      </c>
      <c r="E1718" s="31"/>
      <c r="F1718" s="32" t="n">
        <v>62</v>
      </c>
      <c r="G1718" s="31"/>
      <c r="H1718" s="31" t="n">
        <v>1</v>
      </c>
      <c r="I1718" s="31" t="s">
        <v>62</v>
      </c>
      <c r="J1718" s="29"/>
      <c r="K1718" s="29" t="s">
        <v>6158</v>
      </c>
      <c r="L1718" s="32" t="n">
        <v>105</v>
      </c>
      <c r="M1718" s="33" t="s">
        <v>1138</v>
      </c>
      <c r="N1718" s="34" t="n">
        <v>75017</v>
      </c>
      <c r="O1718" s="35" t="s">
        <v>55</v>
      </c>
      <c r="P1718" s="36" t="s">
        <v>9605</v>
      </c>
      <c r="Q1718" s="36" t="n">
        <v>2</v>
      </c>
      <c r="R1718" s="32" t="n">
        <v>51</v>
      </c>
      <c r="S1718" s="32" t="n">
        <v>1</v>
      </c>
      <c r="T1718" s="43" t="s">
        <v>316</v>
      </c>
      <c r="U1718" s="32"/>
      <c r="V1718" s="37"/>
      <c r="W1718" s="32"/>
      <c r="X1718" s="34"/>
      <c r="Y1718" s="34"/>
      <c r="Z1718" s="36"/>
      <c r="AA1718" s="32" t="s">
        <v>9606</v>
      </c>
      <c r="AB1718" s="32"/>
      <c r="AC1718" s="38" t="str">
        <f aca="false">HYPERLINK("https://biocodex6--c.vf.force.com/0014L00000KFQ7fQAH", "ALBERT DOMINIQUE")</f>
        <v>ALBERT DOMINIQUE</v>
      </c>
      <c r="AD1718" s="38"/>
      <c r="AE1718" s="39"/>
      <c r="AF1718" s="40"/>
      <c r="AG1718" s="41"/>
      <c r="AH1718" s="32" t="s">
        <v>179</v>
      </c>
      <c r="AI1718" s="32"/>
      <c r="AL1718" s="32"/>
      <c r="AM1718" s="32"/>
      <c r="AN1718" s="32"/>
      <c r="AO1718" s="32"/>
      <c r="AP1718" s="32"/>
      <c r="AQ1718" s="32"/>
      <c r="AR1718" s="32"/>
      <c r="AS1718" s="32"/>
      <c r="AT1718" s="32"/>
      <c r="AU1718" s="32"/>
      <c r="XEY1718" s="27"/>
      <c r="XEZ1718" s="27"/>
      <c r="XFA1718" s="27"/>
      <c r="XFB1718" s="27"/>
      <c r="XFC1718" s="27"/>
      <c r="XFD1718" s="27"/>
    </row>
    <row r="1719" s="42" customFormat="true" ht="14.15" hidden="false" customHeight="true" outlineLevel="0" collapsed="false">
      <c r="A1719" s="28" t="s">
        <v>9607</v>
      </c>
      <c r="B1719" s="29" t="s">
        <v>1859</v>
      </c>
      <c r="C1719" s="29" t="s">
        <v>9608</v>
      </c>
      <c r="D1719" s="30" t="s">
        <v>172</v>
      </c>
      <c r="E1719" s="31"/>
      <c r="F1719" s="32" t="n">
        <v>71</v>
      </c>
      <c r="G1719" s="31"/>
      <c r="H1719" s="31" t="n">
        <v>1</v>
      </c>
      <c r="I1719" s="31" t="s">
        <v>62</v>
      </c>
      <c r="J1719" s="29"/>
      <c r="K1719" s="29" t="s">
        <v>9609</v>
      </c>
      <c r="L1719" s="32" t="n">
        <v>27</v>
      </c>
      <c r="M1719" s="33" t="s">
        <v>5980</v>
      </c>
      <c r="N1719" s="34" t="n">
        <v>75017</v>
      </c>
      <c r="O1719" s="35" t="s">
        <v>55</v>
      </c>
      <c r="P1719" s="36" t="s">
        <v>9610</v>
      </c>
      <c r="Q1719" s="36" t="n">
        <v>3</v>
      </c>
      <c r="R1719" s="32" t="n">
        <v>51</v>
      </c>
      <c r="S1719" s="32" t="n">
        <v>1</v>
      </c>
      <c r="T1719" s="43" t="s">
        <v>4813</v>
      </c>
      <c r="U1719" s="32" t="n">
        <v>3</v>
      </c>
      <c r="V1719" s="37"/>
      <c r="W1719" s="32"/>
      <c r="X1719" s="34"/>
      <c r="Y1719" s="56"/>
      <c r="Z1719" s="32"/>
      <c r="AA1719" s="32" t="s">
        <v>9611</v>
      </c>
      <c r="AB1719" s="28"/>
      <c r="AC1719" s="38" t="str">
        <f aca="false">HYPERLINK("https://biocodex6--c.vf.force.com/0014L00000KFywoQAD", "RACKOW CHLOE")</f>
        <v>RACKOW CHLOE</v>
      </c>
      <c r="AD1719" s="38"/>
      <c r="AE1719" s="39"/>
      <c r="AF1719" s="40"/>
      <c r="AG1719" s="41"/>
      <c r="AH1719" s="32" t="s">
        <v>156</v>
      </c>
      <c r="AI1719" s="32" t="s">
        <v>180</v>
      </c>
      <c r="AJ1719" s="42" t="s">
        <v>8616</v>
      </c>
      <c r="AK1719" s="42" t="s">
        <v>4940</v>
      </c>
      <c r="AL1719" s="32"/>
      <c r="AM1719" s="32"/>
      <c r="AN1719" s="32"/>
      <c r="AO1719" s="32"/>
      <c r="AP1719" s="32"/>
      <c r="AQ1719" s="32"/>
      <c r="AR1719" s="32"/>
      <c r="AS1719" s="32"/>
      <c r="AT1719" s="32"/>
      <c r="AU1719" s="32"/>
      <c r="XEY1719" s="27"/>
      <c r="XEZ1719" s="27"/>
      <c r="XFA1719" s="27"/>
      <c r="XFB1719" s="27"/>
      <c r="XFC1719" s="27"/>
      <c r="XFD1719" s="27"/>
    </row>
    <row r="1720" s="42" customFormat="true" ht="14.15" hidden="false" customHeight="true" outlineLevel="0" collapsed="false">
      <c r="A1720" s="28" t="s">
        <v>9612</v>
      </c>
      <c r="B1720" s="29" t="s">
        <v>2794</v>
      </c>
      <c r="C1720" s="29" t="s">
        <v>9613</v>
      </c>
      <c r="D1720" s="30" t="s">
        <v>172</v>
      </c>
      <c r="E1720" s="31"/>
      <c r="F1720" s="32" t="n">
        <v>48</v>
      </c>
      <c r="G1720" s="31"/>
      <c r="H1720" s="31" t="n">
        <v>1</v>
      </c>
      <c r="I1720" s="31" t="s">
        <v>62</v>
      </c>
      <c r="J1720" s="29"/>
      <c r="K1720" s="29" t="s">
        <v>313</v>
      </c>
      <c r="L1720" s="32" t="n">
        <v>4</v>
      </c>
      <c r="M1720" s="33" t="s">
        <v>314</v>
      </c>
      <c r="N1720" s="34" t="n">
        <v>75017</v>
      </c>
      <c r="O1720" s="35" t="s">
        <v>55</v>
      </c>
      <c r="P1720" s="36" t="s">
        <v>9614</v>
      </c>
      <c r="Q1720" s="36" t="n">
        <v>2</v>
      </c>
      <c r="R1720" s="32" t="n">
        <v>51</v>
      </c>
      <c r="S1720" s="32" t="n">
        <v>1</v>
      </c>
      <c r="T1720" s="43" t="s">
        <v>316</v>
      </c>
      <c r="U1720" s="32"/>
      <c r="V1720" s="37"/>
      <c r="W1720" s="32"/>
      <c r="X1720" s="34"/>
      <c r="Y1720" s="34"/>
      <c r="Z1720" s="36"/>
      <c r="AA1720" s="32" t="s">
        <v>9615</v>
      </c>
      <c r="AB1720" s="32"/>
      <c r="AC1720" s="38" t="str">
        <f aca="false">HYPERLINK("https://biocodex6--c.vf.force.com/0014L00000KFs4MQAT", "MEUNIER HERMAN CLAIRE")</f>
        <v>MEUNIER HERMAN CLAIRE</v>
      </c>
      <c r="AD1720" s="38"/>
      <c r="AE1720" s="39"/>
      <c r="AF1720" s="40"/>
      <c r="AG1720" s="41"/>
      <c r="AH1720" s="32" t="s">
        <v>179</v>
      </c>
      <c r="AI1720" s="32"/>
      <c r="AL1720" s="32"/>
      <c r="AM1720" s="32"/>
      <c r="AN1720" s="32"/>
      <c r="AO1720" s="32"/>
      <c r="AP1720" s="32"/>
      <c r="AQ1720" s="32"/>
      <c r="AR1720" s="32"/>
      <c r="AS1720" s="32"/>
      <c r="AT1720" s="32"/>
      <c r="AU1720" s="32"/>
      <c r="XEY1720" s="27"/>
      <c r="XEZ1720" s="27"/>
      <c r="XFA1720" s="27"/>
      <c r="XFB1720" s="27"/>
      <c r="XFC1720" s="27"/>
      <c r="XFD1720" s="27"/>
    </row>
    <row r="1721" s="42" customFormat="true" ht="14.15" hidden="false" customHeight="true" outlineLevel="0" collapsed="false">
      <c r="A1721" s="28" t="s">
        <v>9616</v>
      </c>
      <c r="B1721" s="29" t="s">
        <v>8263</v>
      </c>
      <c r="C1721" s="29" t="s">
        <v>9617</v>
      </c>
      <c r="D1721" s="30" t="s">
        <v>172</v>
      </c>
      <c r="E1721" s="30" t="s">
        <v>1103</v>
      </c>
      <c r="F1721" s="32" t="n">
        <v>66</v>
      </c>
      <c r="G1721" s="31"/>
      <c r="H1721" s="31" t="n">
        <v>1</v>
      </c>
      <c r="I1721" s="31" t="s">
        <v>197</v>
      </c>
      <c r="J1721" s="29"/>
      <c r="K1721" s="29" t="s">
        <v>3043</v>
      </c>
      <c r="L1721" s="32" t="n">
        <v>28</v>
      </c>
      <c r="M1721" s="33" t="s">
        <v>3044</v>
      </c>
      <c r="N1721" s="34" t="n">
        <v>75017</v>
      </c>
      <c r="O1721" s="35" t="s">
        <v>55</v>
      </c>
      <c r="P1721" s="36" t="s">
        <v>9618</v>
      </c>
      <c r="Q1721" s="36" t="n">
        <v>3</v>
      </c>
      <c r="R1721" s="32" t="n">
        <v>51</v>
      </c>
      <c r="S1721" s="32" t="n">
        <v>1</v>
      </c>
      <c r="T1721" s="43" t="s">
        <v>316</v>
      </c>
      <c r="U1721" s="32"/>
      <c r="V1721" s="37"/>
      <c r="W1721" s="32"/>
      <c r="X1721" s="34"/>
      <c r="Y1721" s="34"/>
      <c r="Z1721" s="36"/>
      <c r="AA1721" s="32" t="s">
        <v>9619</v>
      </c>
      <c r="AB1721" s="32"/>
      <c r="AC1721" s="38" t="str">
        <f aca="false">HYPERLINK("https://biocodex6--c.vf.force.com/0014L00000KG3VaQAL", "TOTAH MONIQUE")</f>
        <v>TOTAH MONIQUE</v>
      </c>
      <c r="AD1721" s="38"/>
      <c r="AE1721" s="39"/>
      <c r="AF1721" s="40"/>
      <c r="AG1721" s="41"/>
      <c r="AH1721" s="32" t="s">
        <v>179</v>
      </c>
      <c r="AI1721" s="32"/>
      <c r="AL1721" s="32"/>
      <c r="AM1721" s="32"/>
      <c r="AN1721" s="32"/>
      <c r="AO1721" s="32"/>
      <c r="AP1721" s="32"/>
      <c r="AQ1721" s="32"/>
      <c r="AR1721" s="32"/>
      <c r="AS1721" s="32"/>
      <c r="AT1721" s="32"/>
      <c r="AU1721" s="32"/>
      <c r="XEY1721" s="27"/>
      <c r="XEZ1721" s="27"/>
      <c r="XFA1721" s="27"/>
      <c r="XFB1721" s="27"/>
      <c r="XFC1721" s="27"/>
      <c r="XFD1721" s="27"/>
    </row>
    <row r="1722" s="42" customFormat="true" ht="14.15" hidden="false" customHeight="true" outlineLevel="0" collapsed="false">
      <c r="A1722" s="28" t="s">
        <v>9620</v>
      </c>
      <c r="B1722" s="29" t="s">
        <v>9621</v>
      </c>
      <c r="C1722" s="29" t="s">
        <v>9622</v>
      </c>
      <c r="D1722" s="30" t="s">
        <v>172</v>
      </c>
      <c r="E1722" s="31"/>
      <c r="F1722" s="32" t="n">
        <v>74</v>
      </c>
      <c r="G1722" s="31"/>
      <c r="H1722" s="31" t="n">
        <v>1</v>
      </c>
      <c r="I1722" s="31" t="s">
        <v>197</v>
      </c>
      <c r="J1722" s="29"/>
      <c r="K1722" s="29" t="s">
        <v>9623</v>
      </c>
      <c r="L1722" s="32" t="n">
        <v>14</v>
      </c>
      <c r="M1722" s="33" t="s">
        <v>646</v>
      </c>
      <c r="N1722" s="34" t="n">
        <v>75017</v>
      </c>
      <c r="O1722" s="35" t="s">
        <v>55</v>
      </c>
      <c r="P1722" s="36" t="s">
        <v>9624</v>
      </c>
      <c r="Q1722" s="36" t="n">
        <v>1</v>
      </c>
      <c r="R1722" s="32" t="n">
        <v>51</v>
      </c>
      <c r="S1722" s="32" t="n">
        <v>1</v>
      </c>
      <c r="T1722" s="43" t="s">
        <v>316</v>
      </c>
      <c r="U1722" s="32"/>
      <c r="V1722" s="37"/>
      <c r="W1722" s="32"/>
      <c r="X1722" s="34"/>
      <c r="Y1722" s="34" t="n">
        <v>1</v>
      </c>
      <c r="Z1722" s="36"/>
      <c r="AA1722" s="32" t="s">
        <v>9625</v>
      </c>
      <c r="AB1722" s="44"/>
      <c r="AC1722" s="38" t="str">
        <f aca="false">HYPERLINK("https://biocodex6--c.vf.force.com/0014L00000KFRWMQA5", "BARBEAU MARTHE")</f>
        <v>BARBEAU MARTHE</v>
      </c>
      <c r="AD1722" s="38"/>
      <c r="AE1722" s="39"/>
      <c r="AF1722" s="40"/>
      <c r="AG1722" s="41"/>
      <c r="AH1722" s="32" t="s">
        <v>179</v>
      </c>
      <c r="AI1722" s="32"/>
      <c r="AL1722" s="32"/>
      <c r="AM1722" s="32"/>
      <c r="AN1722" s="32"/>
      <c r="AO1722" s="32"/>
      <c r="AP1722" s="32"/>
      <c r="AQ1722" s="32"/>
      <c r="AR1722" s="32"/>
      <c r="AS1722" s="32"/>
      <c r="AT1722" s="32"/>
      <c r="AU1722" s="32"/>
      <c r="XEY1722" s="27"/>
      <c r="XEZ1722" s="27"/>
      <c r="XFA1722" s="27"/>
      <c r="XFB1722" s="27"/>
      <c r="XFC1722" s="27"/>
      <c r="XFD1722" s="27"/>
    </row>
    <row r="1723" s="42" customFormat="true" ht="14.15" hidden="false" customHeight="true" outlineLevel="0" collapsed="false">
      <c r="A1723" s="28" t="s">
        <v>5331</v>
      </c>
      <c r="B1723" s="29" t="s">
        <v>9626</v>
      </c>
      <c r="C1723" s="29" t="s">
        <v>9627</v>
      </c>
      <c r="D1723" s="30" t="s">
        <v>1103</v>
      </c>
      <c r="E1723" s="31"/>
      <c r="F1723" s="32" t="n">
        <v>63</v>
      </c>
      <c r="G1723" s="31"/>
      <c r="H1723" s="31" t="n">
        <v>1</v>
      </c>
      <c r="I1723" s="31" t="s">
        <v>197</v>
      </c>
      <c r="J1723" s="29"/>
      <c r="K1723" s="29" t="s">
        <v>9628</v>
      </c>
      <c r="L1723" s="32" t="n">
        <v>7</v>
      </c>
      <c r="M1723" s="33" t="s">
        <v>9629</v>
      </c>
      <c r="N1723" s="34" t="n">
        <v>75017</v>
      </c>
      <c r="O1723" s="35" t="s">
        <v>55</v>
      </c>
      <c r="P1723" s="36" t="s">
        <v>9630</v>
      </c>
      <c r="Q1723" s="36" t="n">
        <v>1</v>
      </c>
      <c r="R1723" s="32" t="n">
        <v>51</v>
      </c>
      <c r="S1723" s="32" t="n">
        <v>1</v>
      </c>
      <c r="T1723" s="43" t="s">
        <v>2197</v>
      </c>
      <c r="U1723" s="32"/>
      <c r="V1723" s="37"/>
      <c r="W1723" s="32"/>
      <c r="X1723" s="34"/>
      <c r="Y1723" s="34"/>
      <c r="Z1723" s="36"/>
      <c r="AA1723" s="32" t="s">
        <v>9631</v>
      </c>
      <c r="AB1723" s="32"/>
      <c r="AC1723" s="38" t="str">
        <f aca="false">HYPERLINK("https://biocodex6--c.vf.force.com/0014L00000KFffRQAT", "GEORGE GISELE")</f>
        <v>GEORGE GISELE</v>
      </c>
      <c r="AD1723" s="38"/>
      <c r="AE1723" s="39"/>
      <c r="AF1723" s="40"/>
      <c r="AG1723" s="41"/>
      <c r="AH1723" s="32" t="s">
        <v>179</v>
      </c>
      <c r="AI1723" s="32"/>
      <c r="AL1723" s="32"/>
      <c r="AM1723" s="32"/>
      <c r="AN1723" s="32"/>
      <c r="AO1723" s="32"/>
      <c r="AP1723" s="32"/>
      <c r="AQ1723" s="32"/>
      <c r="AR1723" s="32"/>
      <c r="AS1723" s="32"/>
      <c r="AT1723" s="32"/>
      <c r="AU1723" s="32"/>
      <c r="XEY1723" s="27"/>
      <c r="XEZ1723" s="27"/>
      <c r="XFA1723" s="27"/>
      <c r="XFB1723" s="27"/>
      <c r="XFC1723" s="27"/>
      <c r="XFD1723" s="27"/>
    </row>
    <row r="1724" s="42" customFormat="true" ht="14.15" hidden="false" customHeight="true" outlineLevel="0" collapsed="false">
      <c r="A1724" s="28" t="s">
        <v>9632</v>
      </c>
      <c r="B1724" s="29" t="s">
        <v>9633</v>
      </c>
      <c r="C1724" s="29" t="s">
        <v>9634</v>
      </c>
      <c r="D1724" s="30" t="s">
        <v>1103</v>
      </c>
      <c r="E1724" s="30" t="s">
        <v>5737</v>
      </c>
      <c r="F1724" s="32" t="n">
        <v>70</v>
      </c>
      <c r="G1724" s="31"/>
      <c r="H1724" s="31" t="n">
        <v>1</v>
      </c>
      <c r="I1724" s="31" t="s">
        <v>197</v>
      </c>
      <c r="J1724" s="29"/>
      <c r="K1724" s="29" t="s">
        <v>9635</v>
      </c>
      <c r="L1724" s="32" t="n">
        <v>7</v>
      </c>
      <c r="M1724" s="33" t="s">
        <v>9636</v>
      </c>
      <c r="N1724" s="34" t="n">
        <v>75017</v>
      </c>
      <c r="O1724" s="35" t="s">
        <v>55</v>
      </c>
      <c r="P1724" s="36" t="s">
        <v>9637</v>
      </c>
      <c r="Q1724" s="36" t="n">
        <v>1</v>
      </c>
      <c r="R1724" s="32" t="n">
        <v>51</v>
      </c>
      <c r="S1724" s="32" t="n">
        <v>1</v>
      </c>
      <c r="T1724" s="43" t="s">
        <v>316</v>
      </c>
      <c r="U1724" s="32"/>
      <c r="V1724" s="37"/>
      <c r="W1724" s="32"/>
      <c r="X1724" s="34"/>
      <c r="Y1724" s="34"/>
      <c r="Z1724" s="36"/>
      <c r="AA1724" s="32" t="s">
        <v>9638</v>
      </c>
      <c r="AB1724" s="32"/>
      <c r="AC1724" s="38" t="str">
        <f aca="false">HYPERLINK("https://biocodex6--c.vf.force.com/0014L00000KFRtqQAH", "NATHAN MARIA LAURA")</f>
        <v>NATHAN MARIA LAURA</v>
      </c>
      <c r="AD1724" s="38"/>
      <c r="AE1724" s="39"/>
      <c r="AF1724" s="40"/>
      <c r="AG1724" s="41"/>
      <c r="AH1724" s="32" t="s">
        <v>179</v>
      </c>
      <c r="AI1724" s="32"/>
      <c r="AL1724" s="32"/>
      <c r="AM1724" s="32"/>
      <c r="AN1724" s="32"/>
      <c r="AO1724" s="32"/>
      <c r="AP1724" s="32"/>
      <c r="AQ1724" s="32"/>
      <c r="AR1724" s="32"/>
      <c r="AS1724" s="32"/>
      <c r="AT1724" s="32"/>
      <c r="AU1724" s="32"/>
      <c r="XEY1724" s="27"/>
      <c r="XEZ1724" s="27"/>
      <c r="XFA1724" s="27"/>
      <c r="XFB1724" s="27"/>
      <c r="XFC1724" s="27"/>
      <c r="XFD1724" s="27"/>
    </row>
    <row r="1725" s="42" customFormat="true" ht="14.15" hidden="false" customHeight="true" outlineLevel="0" collapsed="false">
      <c r="A1725" s="28" t="s">
        <v>9639</v>
      </c>
      <c r="B1725" s="29" t="s">
        <v>4707</v>
      </c>
      <c r="C1725" s="29" t="s">
        <v>9640</v>
      </c>
      <c r="D1725" s="30" t="s">
        <v>172</v>
      </c>
      <c r="E1725" s="31"/>
      <c r="F1725" s="32" t="n">
        <v>71</v>
      </c>
      <c r="G1725" s="31"/>
      <c r="H1725" s="31" t="n">
        <v>1</v>
      </c>
      <c r="I1725" s="31" t="s">
        <v>197</v>
      </c>
      <c r="J1725" s="29"/>
      <c r="K1725" s="29" t="s">
        <v>9641</v>
      </c>
      <c r="L1725" s="32" t="n">
        <v>51</v>
      </c>
      <c r="M1725" s="33" t="s">
        <v>2982</v>
      </c>
      <c r="N1725" s="34" t="n">
        <v>75017</v>
      </c>
      <c r="O1725" s="35" t="s">
        <v>55</v>
      </c>
      <c r="P1725" s="36" t="s">
        <v>9642</v>
      </c>
      <c r="Q1725" s="36" t="n">
        <v>1</v>
      </c>
      <c r="R1725" s="32" t="n">
        <v>51</v>
      </c>
      <c r="S1725" s="32" t="n">
        <v>1</v>
      </c>
      <c r="T1725" s="43" t="s">
        <v>316</v>
      </c>
      <c r="U1725" s="32"/>
      <c r="V1725" s="37"/>
      <c r="W1725" s="32"/>
      <c r="X1725" s="34"/>
      <c r="Y1725" s="34"/>
      <c r="Z1725" s="36"/>
      <c r="AA1725" s="32" t="s">
        <v>9643</v>
      </c>
      <c r="AB1725" s="32"/>
      <c r="AC1725" s="38" t="str">
        <f aca="false">HYPERLINK("https://biocodex6--c.vf.force.com/0014L00000KFV62QAH", "BURSZTYN JOELLE")</f>
        <v>BURSZTYN JOELLE</v>
      </c>
      <c r="AD1725" s="38"/>
      <c r="AE1725" s="39"/>
      <c r="AF1725" s="40"/>
      <c r="AG1725" s="41"/>
      <c r="AH1725" s="32" t="s">
        <v>179</v>
      </c>
      <c r="AI1725" s="32"/>
      <c r="AL1725" s="32"/>
      <c r="AM1725" s="32"/>
      <c r="AN1725" s="32"/>
      <c r="AO1725" s="32"/>
      <c r="AP1725" s="32"/>
      <c r="AQ1725" s="32"/>
      <c r="AR1725" s="32"/>
      <c r="AS1725" s="32"/>
      <c r="AT1725" s="32"/>
      <c r="AU1725" s="32"/>
      <c r="XEY1725" s="27"/>
      <c r="XEZ1725" s="27"/>
      <c r="XFA1725" s="27"/>
      <c r="XFB1725" s="27"/>
      <c r="XFC1725" s="27"/>
      <c r="XFD1725" s="27"/>
    </row>
    <row r="1726" s="42" customFormat="true" ht="14.15" hidden="false" customHeight="true" outlineLevel="0" collapsed="false">
      <c r="A1726" s="28" t="s">
        <v>9644</v>
      </c>
      <c r="B1726" s="29" t="s">
        <v>1600</v>
      </c>
      <c r="C1726" s="29" t="s">
        <v>9645</v>
      </c>
      <c r="D1726" s="30" t="s">
        <v>172</v>
      </c>
      <c r="E1726" s="31"/>
      <c r="F1726" s="32" t="n">
        <v>54</v>
      </c>
      <c r="G1726" s="31"/>
      <c r="H1726" s="31" t="n">
        <v>1</v>
      </c>
      <c r="I1726" s="31" t="s">
        <v>173</v>
      </c>
      <c r="J1726" s="29"/>
      <c r="K1726" s="29" t="s">
        <v>4884</v>
      </c>
      <c r="L1726" s="32" t="n">
        <v>30</v>
      </c>
      <c r="M1726" s="33" t="s">
        <v>4885</v>
      </c>
      <c r="N1726" s="34" t="n">
        <v>75015</v>
      </c>
      <c r="O1726" s="35" t="s">
        <v>55</v>
      </c>
      <c r="P1726" s="36" t="s">
        <v>9646</v>
      </c>
      <c r="Q1726" s="36" t="n">
        <v>1</v>
      </c>
      <c r="R1726" s="36" t="n">
        <v>51</v>
      </c>
      <c r="S1726" s="32" t="n">
        <v>1</v>
      </c>
      <c r="T1726" s="43" t="s">
        <v>2189</v>
      </c>
      <c r="U1726" s="32"/>
      <c r="V1726" s="37" t="n">
        <v>3</v>
      </c>
      <c r="W1726" s="32"/>
      <c r="X1726" s="34"/>
      <c r="Y1726" s="34"/>
      <c r="Z1726" s="32"/>
      <c r="AA1726" s="32" t="s">
        <v>9647</v>
      </c>
      <c r="AB1726" s="44"/>
      <c r="AC1726" s="38" t="str">
        <f aca="false">HYPERLINK("https://biocodex6--c.vf.force.com/0014L00000KFZemQAH", "DURET FOURQUET CAROLINE")</f>
        <v>DURET FOURQUET CAROLINE</v>
      </c>
      <c r="AD1726" s="38"/>
      <c r="AE1726" s="39"/>
      <c r="AF1726" s="40"/>
      <c r="AG1726" s="41"/>
      <c r="AH1726" s="32" t="s">
        <v>2191</v>
      </c>
      <c r="AI1726" s="32" t="s">
        <v>2191</v>
      </c>
      <c r="AJ1726" s="42" t="s">
        <v>5907</v>
      </c>
      <c r="AL1726" s="32"/>
      <c r="AM1726" s="32"/>
      <c r="AN1726" s="32"/>
      <c r="AO1726" s="32"/>
      <c r="AP1726" s="32"/>
      <c r="AQ1726" s="32"/>
      <c r="AR1726" s="32"/>
      <c r="AS1726" s="32"/>
      <c r="AT1726" s="32"/>
      <c r="AU1726" s="32"/>
      <c r="XEY1726" s="27"/>
      <c r="XEZ1726" s="27"/>
      <c r="XFA1726" s="27"/>
      <c r="XFB1726" s="27"/>
      <c r="XFC1726" s="27"/>
      <c r="XFD1726" s="27"/>
    </row>
    <row r="1727" s="42" customFormat="true" ht="14.15" hidden="false" customHeight="true" outlineLevel="0" collapsed="false">
      <c r="A1727" s="28" t="s">
        <v>9648</v>
      </c>
      <c r="B1727" s="29" t="s">
        <v>1156</v>
      </c>
      <c r="C1727" s="29" t="s">
        <v>9649</v>
      </c>
      <c r="D1727" s="30" t="s">
        <v>172</v>
      </c>
      <c r="E1727" s="31"/>
      <c r="F1727" s="32" t="n">
        <v>56</v>
      </c>
      <c r="G1727" s="31"/>
      <c r="H1727" s="31" t="n">
        <v>1</v>
      </c>
      <c r="I1727" s="31" t="s">
        <v>173</v>
      </c>
      <c r="J1727" s="29"/>
      <c r="K1727" s="29" t="s">
        <v>9650</v>
      </c>
      <c r="L1727" s="32" t="n">
        <v>2</v>
      </c>
      <c r="M1727" s="33" t="s">
        <v>6959</v>
      </c>
      <c r="N1727" s="34" t="n">
        <v>75016</v>
      </c>
      <c r="O1727" s="35" t="s">
        <v>55</v>
      </c>
      <c r="P1727" s="36" t="s">
        <v>9651</v>
      </c>
      <c r="Q1727" s="36" t="n">
        <v>1</v>
      </c>
      <c r="R1727" s="32" t="n">
        <v>51</v>
      </c>
      <c r="S1727" s="32" t="n">
        <v>1</v>
      </c>
      <c r="T1727" s="43" t="s">
        <v>316</v>
      </c>
      <c r="U1727" s="32"/>
      <c r="V1727" s="37"/>
      <c r="W1727" s="32"/>
      <c r="X1727" s="34"/>
      <c r="Y1727" s="34"/>
      <c r="Z1727" s="36"/>
      <c r="AA1727" s="32" t="s">
        <v>9652</v>
      </c>
      <c r="AB1727" s="32"/>
      <c r="AC1727" s="38" t="str">
        <f aca="false">HYPERLINK("https://biocodex6--c.vf.force.com/0014L00000KFqP4QAL", "CASTEL MENDAK CELINE")</f>
        <v>CASTEL MENDAK CELINE</v>
      </c>
      <c r="AD1727" s="38"/>
      <c r="AE1727" s="39"/>
      <c r="AF1727" s="40"/>
      <c r="AG1727" s="41"/>
      <c r="AH1727" s="32" t="s">
        <v>179</v>
      </c>
      <c r="AI1727" s="32"/>
      <c r="AL1727" s="32"/>
      <c r="AM1727" s="32"/>
      <c r="AN1727" s="32"/>
      <c r="AO1727" s="32"/>
      <c r="AP1727" s="32"/>
      <c r="AQ1727" s="32"/>
      <c r="AR1727" s="32"/>
      <c r="AS1727" s="32"/>
      <c r="AT1727" s="32"/>
      <c r="AU1727" s="32"/>
      <c r="XEY1727" s="27"/>
      <c r="XEZ1727" s="27"/>
      <c r="XFA1727" s="27"/>
      <c r="XFB1727" s="27"/>
      <c r="XFC1727" s="27"/>
      <c r="XFD1727" s="27"/>
    </row>
    <row r="1728" s="42" customFormat="true" ht="14.15" hidden="false" customHeight="true" outlineLevel="0" collapsed="false">
      <c r="A1728" s="28" t="s">
        <v>9653</v>
      </c>
      <c r="B1728" s="29" t="s">
        <v>3439</v>
      </c>
      <c r="C1728" s="29" t="s">
        <v>9654</v>
      </c>
      <c r="D1728" s="30" t="s">
        <v>172</v>
      </c>
      <c r="E1728" s="30" t="s">
        <v>255</v>
      </c>
      <c r="F1728" s="32" t="n">
        <v>63</v>
      </c>
      <c r="G1728" s="31"/>
      <c r="H1728" s="31" t="n">
        <v>1</v>
      </c>
      <c r="I1728" s="31" t="s">
        <v>233</v>
      </c>
      <c r="J1728" s="29"/>
      <c r="K1728" s="29" t="s">
        <v>9655</v>
      </c>
      <c r="L1728" s="32" t="n">
        <v>15</v>
      </c>
      <c r="M1728" s="33" t="s">
        <v>9656</v>
      </c>
      <c r="N1728" s="34" t="n">
        <v>75015</v>
      </c>
      <c r="O1728" s="35" t="s">
        <v>55</v>
      </c>
      <c r="P1728" s="36" t="s">
        <v>9657</v>
      </c>
      <c r="Q1728" s="36" t="n">
        <v>1</v>
      </c>
      <c r="R1728" s="32" t="n">
        <v>51</v>
      </c>
      <c r="S1728" s="32" t="n">
        <v>1</v>
      </c>
      <c r="T1728" s="43" t="s">
        <v>316</v>
      </c>
      <c r="U1728" s="32"/>
      <c r="V1728" s="37"/>
      <c r="W1728" s="32"/>
      <c r="X1728" s="34"/>
      <c r="Y1728" s="34"/>
      <c r="Z1728" s="36"/>
      <c r="AA1728" s="32" t="s">
        <v>9658</v>
      </c>
      <c r="AB1728" s="32"/>
      <c r="AC1728" s="38" t="str">
        <f aca="false">HYPERLINK("https://biocodex6--c.vf.force.com/0014L00000KFkx5QAD", "KOWAL PASCALE")</f>
        <v>KOWAL PASCALE</v>
      </c>
      <c r="AD1728" s="38"/>
      <c r="AE1728" s="39"/>
      <c r="AF1728" s="40"/>
      <c r="AG1728" s="41"/>
      <c r="AH1728" s="32" t="s">
        <v>179</v>
      </c>
      <c r="AI1728" s="32"/>
      <c r="AL1728" s="32"/>
      <c r="AM1728" s="32"/>
      <c r="AN1728" s="32"/>
      <c r="AO1728" s="32"/>
      <c r="AP1728" s="32"/>
      <c r="AQ1728" s="32"/>
      <c r="AR1728" s="32"/>
      <c r="AS1728" s="32"/>
      <c r="AT1728" s="32"/>
      <c r="AU1728" s="32"/>
      <c r="XEY1728" s="27"/>
      <c r="XEZ1728" s="27"/>
      <c r="XFA1728" s="27"/>
      <c r="XFB1728" s="27"/>
      <c r="XFC1728" s="27"/>
      <c r="XFD1728" s="27"/>
    </row>
    <row r="1729" s="42" customFormat="true" ht="14.15" hidden="false" customHeight="true" outlineLevel="0" collapsed="false">
      <c r="A1729" s="28" t="s">
        <v>9659</v>
      </c>
      <c r="B1729" s="29" t="s">
        <v>353</v>
      </c>
      <c r="C1729" s="29" t="s">
        <v>9660</v>
      </c>
      <c r="D1729" s="30" t="s">
        <v>172</v>
      </c>
      <c r="E1729" s="31"/>
      <c r="F1729" s="32" t="n">
        <v>81</v>
      </c>
      <c r="G1729" s="31"/>
      <c r="H1729" s="31" t="n">
        <v>2</v>
      </c>
      <c r="I1729" s="31" t="s">
        <v>77</v>
      </c>
      <c r="J1729" s="29" t="s">
        <v>580</v>
      </c>
      <c r="K1729" s="29" t="s">
        <v>581</v>
      </c>
      <c r="L1729" s="32" t="n">
        <v>63</v>
      </c>
      <c r="M1729" s="33" t="s">
        <v>80</v>
      </c>
      <c r="N1729" s="34" t="n">
        <v>92200</v>
      </c>
      <c r="O1729" s="35" t="s">
        <v>81</v>
      </c>
      <c r="P1729" s="36" t="s">
        <v>9661</v>
      </c>
      <c r="Q1729" s="36" t="n">
        <v>39</v>
      </c>
      <c r="R1729" s="32" t="n">
        <v>51</v>
      </c>
      <c r="S1729" s="32" t="n">
        <v>1</v>
      </c>
      <c r="T1729" s="43" t="s">
        <v>1925</v>
      </c>
      <c r="U1729" s="32"/>
      <c r="V1729" s="37"/>
      <c r="W1729" s="32"/>
      <c r="X1729" s="34"/>
      <c r="Y1729" s="34"/>
      <c r="Z1729" s="36"/>
      <c r="AA1729" s="32" t="s">
        <v>9662</v>
      </c>
      <c r="AB1729" s="32"/>
      <c r="AC1729" s="38" t="str">
        <f aca="false">HYPERLINK("https://biocodex6--c.vf.force.com/0014L00000KFxOHQA1", "RAAB ALAIN")</f>
        <v>RAAB ALAIN</v>
      </c>
      <c r="AD1729" s="38"/>
      <c r="AE1729" s="39"/>
      <c r="AF1729" s="40"/>
      <c r="AG1729" s="41"/>
      <c r="AH1729" s="32" t="s">
        <v>179</v>
      </c>
      <c r="AI1729" s="32"/>
      <c r="AL1729" s="32"/>
      <c r="AM1729" s="32"/>
      <c r="AN1729" s="32"/>
      <c r="AO1729" s="32"/>
      <c r="AP1729" s="32"/>
      <c r="AQ1729" s="32"/>
      <c r="AR1729" s="32"/>
      <c r="AS1729" s="32"/>
      <c r="AT1729" s="32"/>
      <c r="AU1729" s="32"/>
      <c r="XEY1729" s="27"/>
      <c r="XEZ1729" s="27"/>
      <c r="XFA1729" s="27"/>
      <c r="XFB1729" s="27"/>
      <c r="XFC1729" s="27"/>
      <c r="XFD1729" s="27"/>
    </row>
    <row r="1730" s="42" customFormat="true" ht="14.15" hidden="false" customHeight="true" outlineLevel="0" collapsed="false">
      <c r="A1730" s="28" t="s">
        <v>9663</v>
      </c>
      <c r="B1730" s="29" t="s">
        <v>958</v>
      </c>
      <c r="C1730" s="29" t="s">
        <v>9664</v>
      </c>
      <c r="D1730" s="30" t="s">
        <v>172</v>
      </c>
      <c r="E1730" s="30" t="s">
        <v>818</v>
      </c>
      <c r="F1730" s="32" t="n">
        <v>70</v>
      </c>
      <c r="G1730" s="31"/>
      <c r="H1730" s="31" t="n">
        <v>1</v>
      </c>
      <c r="I1730" s="31" t="s">
        <v>62</v>
      </c>
      <c r="J1730" s="29"/>
      <c r="K1730" s="29" t="s">
        <v>9609</v>
      </c>
      <c r="L1730" s="32" t="n">
        <v>27</v>
      </c>
      <c r="M1730" s="33" t="s">
        <v>5980</v>
      </c>
      <c r="N1730" s="34" t="n">
        <v>75017</v>
      </c>
      <c r="O1730" s="35" t="s">
        <v>55</v>
      </c>
      <c r="P1730" s="36" t="s">
        <v>9610</v>
      </c>
      <c r="Q1730" s="36" t="n">
        <v>3</v>
      </c>
      <c r="R1730" s="32" t="n">
        <v>50</v>
      </c>
      <c r="S1730" s="32" t="n">
        <v>1</v>
      </c>
      <c r="T1730" s="43" t="s">
        <v>316</v>
      </c>
      <c r="U1730" s="32"/>
      <c r="V1730" s="37"/>
      <c r="W1730" s="32"/>
      <c r="X1730" s="34"/>
      <c r="Y1730" s="34"/>
      <c r="Z1730" s="32"/>
      <c r="AA1730" s="32" t="s">
        <v>9665</v>
      </c>
      <c r="AB1730" s="44"/>
      <c r="AC1730" s="38" t="str">
        <f aca="false">HYPERLINK("https://biocodex6--c.vf.force.com/0014L00000KFgAiQAL", "GIROULT PATRICK")</f>
        <v>GIROULT PATRICK</v>
      </c>
      <c r="AD1730" s="38"/>
      <c r="AE1730" s="39"/>
      <c r="AF1730" s="40"/>
      <c r="AG1730" s="41"/>
      <c r="AH1730" s="32" t="s">
        <v>156</v>
      </c>
      <c r="AI1730" s="32" t="s">
        <v>180</v>
      </c>
      <c r="AK1730" s="42" t="s">
        <v>4940</v>
      </c>
      <c r="AL1730" s="32"/>
      <c r="AM1730" s="32"/>
      <c r="AN1730" s="32"/>
      <c r="AO1730" s="32"/>
      <c r="AP1730" s="32"/>
      <c r="AQ1730" s="32"/>
      <c r="AR1730" s="32"/>
      <c r="AS1730" s="32"/>
      <c r="AT1730" s="32"/>
      <c r="AU1730" s="32"/>
      <c r="XEY1730" s="27"/>
      <c r="XEZ1730" s="27"/>
      <c r="XFA1730" s="27"/>
      <c r="XFB1730" s="27"/>
      <c r="XFC1730" s="27"/>
      <c r="XFD1730" s="27"/>
    </row>
    <row r="1731" s="42" customFormat="true" ht="14.15" hidden="false" customHeight="true" outlineLevel="0" collapsed="false">
      <c r="A1731" s="28" t="s">
        <v>9666</v>
      </c>
      <c r="B1731" s="29" t="s">
        <v>2344</v>
      </c>
      <c r="C1731" s="29" t="s">
        <v>9667</v>
      </c>
      <c r="D1731" s="30" t="s">
        <v>172</v>
      </c>
      <c r="E1731" s="31"/>
      <c r="F1731" s="32" t="n">
        <v>46</v>
      </c>
      <c r="G1731" s="31"/>
      <c r="H1731" s="31" t="n">
        <v>1</v>
      </c>
      <c r="I1731" s="31" t="s">
        <v>77</v>
      </c>
      <c r="J1731" s="29" t="s">
        <v>580</v>
      </c>
      <c r="K1731" s="29" t="s">
        <v>581</v>
      </c>
      <c r="L1731" s="32" t="n">
        <v>63</v>
      </c>
      <c r="M1731" s="33" t="s">
        <v>80</v>
      </c>
      <c r="N1731" s="34" t="n">
        <v>92200</v>
      </c>
      <c r="O1731" s="35" t="s">
        <v>81</v>
      </c>
      <c r="P1731" s="36" t="s">
        <v>9661</v>
      </c>
      <c r="Q1731" s="36" t="n">
        <v>39</v>
      </c>
      <c r="R1731" s="32" t="n">
        <v>50</v>
      </c>
      <c r="S1731" s="32" t="n">
        <v>1</v>
      </c>
      <c r="T1731" s="43" t="s">
        <v>316</v>
      </c>
      <c r="U1731" s="32"/>
      <c r="V1731" s="37"/>
      <c r="W1731" s="32"/>
      <c r="X1731" s="34"/>
      <c r="Y1731" s="34"/>
      <c r="Z1731" s="36"/>
      <c r="AA1731" s="32" t="s">
        <v>9668</v>
      </c>
      <c r="AB1731" s="32"/>
      <c r="AC1731" s="38" t="str">
        <f aca="false">HYPERLINK("https://biocodex6--c.vf.force.com/0014L00000KG2xuQAD", "LAURY MELANIE")</f>
        <v>LAURY MELANIE</v>
      </c>
      <c r="AD1731" s="38"/>
      <c r="AE1731" s="39"/>
      <c r="AF1731" s="40"/>
      <c r="AG1731" s="41"/>
      <c r="AH1731" s="32" t="s">
        <v>179</v>
      </c>
      <c r="AI1731" s="32"/>
      <c r="AL1731" s="32"/>
      <c r="AM1731" s="32"/>
      <c r="AN1731" s="32"/>
      <c r="AO1731" s="32"/>
      <c r="AP1731" s="32"/>
      <c r="AQ1731" s="32"/>
      <c r="AR1731" s="32"/>
      <c r="AS1731" s="32"/>
      <c r="AT1731" s="32"/>
      <c r="AU1731" s="32"/>
      <c r="XEY1731" s="27"/>
      <c r="XEZ1731" s="27"/>
      <c r="XFA1731" s="27"/>
      <c r="XFB1731" s="27"/>
      <c r="XFC1731" s="27"/>
      <c r="XFD1731" s="27"/>
    </row>
    <row r="1732" s="42" customFormat="true" ht="14.15" hidden="false" customHeight="true" outlineLevel="0" collapsed="false">
      <c r="A1732" s="28" t="s">
        <v>6761</v>
      </c>
      <c r="B1732" s="29" t="s">
        <v>5648</v>
      </c>
      <c r="C1732" s="29" t="s">
        <v>9669</v>
      </c>
      <c r="D1732" s="30" t="s">
        <v>172</v>
      </c>
      <c r="E1732" s="31"/>
      <c r="F1732" s="32" t="n">
        <v>67</v>
      </c>
      <c r="G1732" s="31"/>
      <c r="H1732" s="31" t="n">
        <v>1</v>
      </c>
      <c r="I1732" s="31" t="s">
        <v>119</v>
      </c>
      <c r="J1732" s="29"/>
      <c r="K1732" s="29" t="s">
        <v>9670</v>
      </c>
      <c r="L1732" s="32" t="n">
        <v>50</v>
      </c>
      <c r="M1732" s="33" t="s">
        <v>2363</v>
      </c>
      <c r="N1732" s="34" t="n">
        <v>75007</v>
      </c>
      <c r="O1732" s="35" t="s">
        <v>55</v>
      </c>
      <c r="P1732" s="36" t="s">
        <v>9671</v>
      </c>
      <c r="Q1732" s="36" t="n">
        <v>1</v>
      </c>
      <c r="R1732" s="32" t="n">
        <v>49</v>
      </c>
      <c r="S1732" s="32" t="n">
        <v>1</v>
      </c>
      <c r="T1732" s="43" t="s">
        <v>316</v>
      </c>
      <c r="U1732" s="32"/>
      <c r="V1732" s="37"/>
      <c r="W1732" s="32"/>
      <c r="X1732" s="34"/>
      <c r="Y1732" s="34"/>
      <c r="Z1732" s="36"/>
      <c r="AA1732" s="32" t="s">
        <v>9672</v>
      </c>
      <c r="AB1732" s="32"/>
      <c r="AC1732" s="38" t="str">
        <f aca="false">HYPERLINK("https://biocodex6--c.vf.force.com/0014L00000KFna7QAD", "LEGRIS PASCAL")</f>
        <v>LEGRIS PASCAL</v>
      </c>
      <c r="AD1732" s="38"/>
      <c r="AE1732" s="39"/>
      <c r="AF1732" s="40"/>
      <c r="AG1732" s="41"/>
      <c r="AH1732" s="32" t="s">
        <v>179</v>
      </c>
      <c r="AI1732" s="32"/>
      <c r="AL1732" s="32"/>
      <c r="AM1732" s="32"/>
      <c r="AN1732" s="32"/>
      <c r="AO1732" s="32"/>
      <c r="AP1732" s="32"/>
      <c r="AQ1732" s="32"/>
      <c r="AR1732" s="32"/>
      <c r="AS1732" s="32"/>
      <c r="AT1732" s="32"/>
      <c r="AU1732" s="32"/>
      <c r="XEY1732" s="27"/>
      <c r="XEZ1732" s="27"/>
      <c r="XFA1732" s="27"/>
      <c r="XFB1732" s="27"/>
      <c r="XFC1732" s="27"/>
      <c r="XFD1732" s="27"/>
    </row>
    <row r="1733" s="42" customFormat="true" ht="14.15" hidden="false" customHeight="true" outlineLevel="0" collapsed="false">
      <c r="A1733" s="28" t="s">
        <v>9673</v>
      </c>
      <c r="B1733" s="29" t="s">
        <v>861</v>
      </c>
      <c r="C1733" s="29" t="s">
        <v>9674</v>
      </c>
      <c r="D1733" s="30" t="s">
        <v>172</v>
      </c>
      <c r="E1733" s="31"/>
      <c r="F1733" s="32" t="n">
        <v>58</v>
      </c>
      <c r="G1733" s="31"/>
      <c r="H1733" s="31" t="n">
        <v>2</v>
      </c>
      <c r="I1733" s="31" t="s">
        <v>119</v>
      </c>
      <c r="J1733" s="29"/>
      <c r="K1733" s="29" t="s">
        <v>3712</v>
      </c>
      <c r="L1733" s="32" t="n">
        <v>65</v>
      </c>
      <c r="M1733" s="33" t="s">
        <v>3713</v>
      </c>
      <c r="N1733" s="34" t="n">
        <v>75007</v>
      </c>
      <c r="O1733" s="35" t="s">
        <v>55</v>
      </c>
      <c r="P1733" s="36"/>
      <c r="Q1733" s="36" t="n">
        <v>4</v>
      </c>
      <c r="R1733" s="36" t="n">
        <v>49</v>
      </c>
      <c r="S1733" s="32" t="n">
        <v>1</v>
      </c>
      <c r="T1733" s="43" t="s">
        <v>2189</v>
      </c>
      <c r="U1733" s="32"/>
      <c r="V1733" s="37" t="n">
        <v>3</v>
      </c>
      <c r="W1733" s="32"/>
      <c r="X1733" s="34"/>
      <c r="Y1733" s="34"/>
      <c r="Z1733" s="36"/>
      <c r="AA1733" s="32" t="s">
        <v>9675</v>
      </c>
      <c r="AB1733" s="32"/>
      <c r="AC1733" s="38" t="str">
        <f aca="false">HYPERLINK("https://biocodex6--c.vf.force.com/0014L00000KFdbVQAT", "GAUMONT CHRISTOPHE")</f>
        <v>GAUMONT CHRISTOPHE</v>
      </c>
      <c r="AD1733" s="38"/>
      <c r="AE1733" s="39"/>
      <c r="AF1733" s="40"/>
      <c r="AG1733" s="41"/>
      <c r="AH1733" s="32" t="s">
        <v>179</v>
      </c>
      <c r="AI1733" s="32"/>
      <c r="AL1733" s="32"/>
      <c r="AM1733" s="32"/>
      <c r="AN1733" s="32"/>
      <c r="AO1733" s="32"/>
      <c r="AP1733" s="32"/>
      <c r="AQ1733" s="32"/>
      <c r="AR1733" s="32"/>
      <c r="AS1733" s="32"/>
      <c r="AT1733" s="32"/>
      <c r="AU1733" s="32"/>
      <c r="XEY1733" s="27"/>
      <c r="XEZ1733" s="27"/>
      <c r="XFA1733" s="27"/>
      <c r="XFB1733" s="27"/>
      <c r="XFC1733" s="27"/>
      <c r="XFD1733" s="27"/>
    </row>
    <row r="1734" s="42" customFormat="true" ht="14.15" hidden="false" customHeight="true" outlineLevel="0" collapsed="false">
      <c r="A1734" s="28" t="s">
        <v>9676</v>
      </c>
      <c r="B1734" s="29" t="s">
        <v>9677</v>
      </c>
      <c r="C1734" s="29" t="s">
        <v>9678</v>
      </c>
      <c r="D1734" s="30" t="s">
        <v>244</v>
      </c>
      <c r="E1734" s="30" t="s">
        <v>113</v>
      </c>
      <c r="F1734" s="32" t="n">
        <v>35</v>
      </c>
      <c r="G1734" s="31"/>
      <c r="H1734" s="31" t="n">
        <v>1</v>
      </c>
      <c r="I1734" s="31" t="s">
        <v>51</v>
      </c>
      <c r="J1734" s="29" t="s">
        <v>52</v>
      </c>
      <c r="K1734" s="29" t="s">
        <v>53</v>
      </c>
      <c r="L1734" s="32" t="n">
        <v>149</v>
      </c>
      <c r="M1734" s="33" t="s">
        <v>54</v>
      </c>
      <c r="N1734" s="34" t="n">
        <v>75015</v>
      </c>
      <c r="O1734" s="35" t="s">
        <v>55</v>
      </c>
      <c r="P1734" s="36" t="s">
        <v>885</v>
      </c>
      <c r="Q1734" s="36" t="n">
        <v>236</v>
      </c>
      <c r="R1734" s="32" t="n">
        <v>49</v>
      </c>
      <c r="S1734" s="32" t="n">
        <v>1</v>
      </c>
      <c r="T1734" s="32"/>
      <c r="U1734" s="32"/>
      <c r="V1734" s="37"/>
      <c r="W1734" s="32"/>
      <c r="X1734" s="34"/>
      <c r="Y1734" s="34"/>
      <c r="Z1734" s="36"/>
      <c r="AA1734" s="32" t="s">
        <v>9679</v>
      </c>
      <c r="AB1734" s="32"/>
      <c r="AC1734" s="38" t="str">
        <f aca="false">HYPERLINK("https://biocodex6--c.vf.force.com/0014L00000KG9LaQAL", "DA COSTA SABRINA")</f>
        <v>DA COSTA SABRINA</v>
      </c>
      <c r="AD1734" s="38"/>
      <c r="AE1734" s="39"/>
      <c r="AF1734" s="40"/>
      <c r="AG1734" s="41"/>
      <c r="AH1734" s="32" t="s">
        <v>179</v>
      </c>
      <c r="AI1734" s="32"/>
      <c r="AL1734" s="32"/>
      <c r="AM1734" s="32"/>
      <c r="AN1734" s="32"/>
      <c r="AO1734" s="32"/>
      <c r="AP1734" s="32"/>
      <c r="AQ1734" s="32"/>
      <c r="AR1734" s="32"/>
      <c r="AS1734" s="32"/>
      <c r="AT1734" s="32"/>
      <c r="AU1734" s="32"/>
      <c r="XEY1734" s="27"/>
      <c r="XEZ1734" s="27"/>
      <c r="XFA1734" s="27"/>
      <c r="XFB1734" s="27"/>
      <c r="XFC1734" s="27"/>
      <c r="XFD1734" s="27"/>
    </row>
    <row r="1735" s="42" customFormat="true" ht="14.15" hidden="false" customHeight="true" outlineLevel="0" collapsed="false">
      <c r="A1735" s="28" t="s">
        <v>9680</v>
      </c>
      <c r="B1735" s="29" t="s">
        <v>9681</v>
      </c>
      <c r="C1735" s="29" t="s">
        <v>9682</v>
      </c>
      <c r="D1735" s="30" t="s">
        <v>1103</v>
      </c>
      <c r="E1735" s="31"/>
      <c r="F1735" s="32" t="n">
        <v>47</v>
      </c>
      <c r="G1735" s="31"/>
      <c r="H1735" s="31" t="n">
        <v>1</v>
      </c>
      <c r="I1735" s="31" t="s">
        <v>51</v>
      </c>
      <c r="J1735" s="29" t="s">
        <v>52</v>
      </c>
      <c r="K1735" s="29" t="s">
        <v>53</v>
      </c>
      <c r="L1735" s="32" t="n">
        <v>149</v>
      </c>
      <c r="M1735" s="33" t="s">
        <v>54</v>
      </c>
      <c r="N1735" s="34" t="n">
        <v>75015</v>
      </c>
      <c r="O1735" s="35" t="s">
        <v>55</v>
      </c>
      <c r="P1735" s="36" t="s">
        <v>1609</v>
      </c>
      <c r="Q1735" s="36" t="n">
        <v>236</v>
      </c>
      <c r="R1735" s="32" t="n">
        <v>49</v>
      </c>
      <c r="S1735" s="32" t="n">
        <v>1</v>
      </c>
      <c r="T1735" s="43" t="s">
        <v>316</v>
      </c>
      <c r="U1735" s="32" t="n">
        <v>3</v>
      </c>
      <c r="V1735" s="37"/>
      <c r="W1735" s="32" t="n">
        <v>3</v>
      </c>
      <c r="X1735" s="34"/>
      <c r="Y1735" s="34" t="n">
        <v>1</v>
      </c>
      <c r="Z1735" s="36"/>
      <c r="AA1735" s="32" t="s">
        <v>9683</v>
      </c>
      <c r="AB1735" s="44"/>
      <c r="AC1735" s="38" t="str">
        <f aca="false">HYPERLINK("https://biocodex6--c.vf.force.com/0014L00000KG1E2QAL", "SANT ANA SIMAS ROBERTA")</f>
        <v>SANT ANA SIMAS ROBERTA</v>
      </c>
      <c r="AD1735" s="38"/>
      <c r="AE1735" s="39"/>
      <c r="AF1735" s="40"/>
      <c r="AG1735" s="41"/>
      <c r="AH1735" s="32" t="s">
        <v>179</v>
      </c>
      <c r="AI1735" s="32"/>
      <c r="AJ1735" s="42" t="s">
        <v>8695</v>
      </c>
      <c r="AL1735" s="32"/>
      <c r="AM1735" s="32"/>
      <c r="AN1735" s="32"/>
      <c r="AO1735" s="32"/>
      <c r="AP1735" s="32"/>
      <c r="AQ1735" s="32"/>
      <c r="AR1735" s="32"/>
      <c r="AS1735" s="32"/>
      <c r="AT1735" s="32"/>
      <c r="AU1735" s="32"/>
      <c r="XEY1735" s="27"/>
      <c r="XEZ1735" s="27"/>
      <c r="XFA1735" s="27"/>
      <c r="XFB1735" s="27"/>
      <c r="XFC1735" s="27"/>
      <c r="XFD1735" s="27"/>
    </row>
    <row r="1736" s="42" customFormat="true" ht="14.15" hidden="false" customHeight="true" outlineLevel="0" collapsed="false">
      <c r="A1736" s="28" t="s">
        <v>9684</v>
      </c>
      <c r="B1736" s="29" t="s">
        <v>9685</v>
      </c>
      <c r="C1736" s="29" t="s">
        <v>9686</v>
      </c>
      <c r="D1736" s="30" t="s">
        <v>244</v>
      </c>
      <c r="E1736" s="30" t="s">
        <v>245</v>
      </c>
      <c r="F1736" s="32" t="n">
        <v>45</v>
      </c>
      <c r="G1736" s="31"/>
      <c r="H1736" s="31" t="n">
        <v>2</v>
      </c>
      <c r="I1736" s="31" t="s">
        <v>99</v>
      </c>
      <c r="J1736" s="29" t="s">
        <v>595</v>
      </c>
      <c r="K1736" s="29" t="s">
        <v>596</v>
      </c>
      <c r="L1736" s="32" t="n">
        <v>20</v>
      </c>
      <c r="M1736" s="33" t="s">
        <v>597</v>
      </c>
      <c r="N1736" s="34" t="n">
        <v>75015</v>
      </c>
      <c r="O1736" s="35" t="s">
        <v>55</v>
      </c>
      <c r="P1736" s="36" t="s">
        <v>2773</v>
      </c>
      <c r="Q1736" s="36" t="n">
        <v>90</v>
      </c>
      <c r="R1736" s="32" t="n">
        <v>48</v>
      </c>
      <c r="S1736" s="32" t="n">
        <v>1</v>
      </c>
      <c r="T1736" s="32"/>
      <c r="U1736" s="32"/>
      <c r="V1736" s="37"/>
      <c r="W1736" s="32"/>
      <c r="X1736" s="34"/>
      <c r="Y1736" s="34"/>
      <c r="Z1736" s="32"/>
      <c r="AA1736" s="32" t="s">
        <v>9687</v>
      </c>
      <c r="AB1736" s="32"/>
      <c r="AC1736" s="38" t="str">
        <f aca="false">HYPERLINK("https://biocodex6--c.vf.force.com/0014L00000KFTeEQAX", "BENTIVEGNA ENRICA")</f>
        <v>BENTIVEGNA ENRICA</v>
      </c>
      <c r="AD1736" s="38"/>
      <c r="AE1736" s="39" t="n">
        <v>45236.4375</v>
      </c>
      <c r="AF1736" s="40"/>
      <c r="AG1736" s="41"/>
      <c r="AH1736" s="32"/>
      <c r="AI1736" s="32"/>
      <c r="AL1736" s="32"/>
      <c r="AM1736" s="32"/>
      <c r="AN1736" s="32"/>
      <c r="AO1736" s="32"/>
      <c r="AP1736" s="32"/>
      <c r="AQ1736" s="32"/>
      <c r="AR1736" s="32"/>
      <c r="AS1736" s="32"/>
      <c r="AT1736" s="32"/>
      <c r="AU1736" s="32"/>
      <c r="XEY1736" s="27"/>
      <c r="XEZ1736" s="27"/>
      <c r="XFA1736" s="27"/>
      <c r="XFB1736" s="27"/>
      <c r="XFC1736" s="27"/>
      <c r="XFD1736" s="27"/>
    </row>
    <row r="1737" s="42" customFormat="true" ht="14.15" hidden="false" customHeight="true" outlineLevel="0" collapsed="false">
      <c r="A1737" s="28" t="s">
        <v>9688</v>
      </c>
      <c r="B1737" s="29" t="s">
        <v>7554</v>
      </c>
      <c r="C1737" s="29" t="s">
        <v>9689</v>
      </c>
      <c r="D1737" s="30" t="s">
        <v>172</v>
      </c>
      <c r="E1737" s="31"/>
      <c r="F1737" s="32" t="n">
        <v>52</v>
      </c>
      <c r="G1737" s="31"/>
      <c r="H1737" s="31" t="n">
        <v>1</v>
      </c>
      <c r="I1737" s="31" t="s">
        <v>51</v>
      </c>
      <c r="J1737" s="29" t="s">
        <v>52</v>
      </c>
      <c r="K1737" s="29" t="s">
        <v>53</v>
      </c>
      <c r="L1737" s="32" t="n">
        <v>149</v>
      </c>
      <c r="M1737" s="33" t="s">
        <v>54</v>
      </c>
      <c r="N1737" s="34" t="n">
        <v>75015</v>
      </c>
      <c r="O1737" s="35" t="s">
        <v>55</v>
      </c>
      <c r="P1737" s="36" t="s">
        <v>1710</v>
      </c>
      <c r="Q1737" s="36" t="n">
        <v>236</v>
      </c>
      <c r="R1737" s="32" t="n">
        <v>48</v>
      </c>
      <c r="S1737" s="32" t="n">
        <v>1</v>
      </c>
      <c r="T1737" s="43" t="s">
        <v>316</v>
      </c>
      <c r="U1737" s="32"/>
      <c r="V1737" s="37"/>
      <c r="W1737" s="32"/>
      <c r="X1737" s="34"/>
      <c r="Y1737" s="34"/>
      <c r="Z1737" s="36"/>
      <c r="AA1737" s="32" t="s">
        <v>9690</v>
      </c>
      <c r="AB1737" s="32"/>
      <c r="AC1737" s="38" t="str">
        <f aca="false">HYPERLINK("https://biocodex6--c.vf.force.com/0014L00000KFR0XQAX", "ABGRALL BARBRY GAELLE")</f>
        <v>ABGRALL BARBRY GAELLE</v>
      </c>
      <c r="AD1737" s="38"/>
      <c r="AE1737" s="39"/>
      <c r="AF1737" s="40"/>
      <c r="AG1737" s="41"/>
      <c r="AH1737" s="32" t="s">
        <v>179</v>
      </c>
      <c r="AI1737" s="32"/>
      <c r="AL1737" s="32"/>
      <c r="AM1737" s="32"/>
      <c r="AN1737" s="32"/>
      <c r="AO1737" s="32"/>
      <c r="AP1737" s="32"/>
      <c r="AQ1737" s="32"/>
      <c r="AR1737" s="32"/>
      <c r="AS1737" s="32"/>
      <c r="AT1737" s="32"/>
      <c r="AU1737" s="32"/>
      <c r="XEY1737" s="27"/>
      <c r="XEZ1737" s="27"/>
      <c r="XFA1737" s="27"/>
      <c r="XFB1737" s="27"/>
      <c r="XFC1737" s="27"/>
      <c r="XFD1737" s="27"/>
    </row>
    <row r="1738" s="42" customFormat="true" ht="14.15" hidden="false" customHeight="true" outlineLevel="0" collapsed="false">
      <c r="A1738" s="28" t="s">
        <v>9691</v>
      </c>
      <c r="B1738" s="29" t="s">
        <v>5389</v>
      </c>
      <c r="C1738" s="29" t="s">
        <v>9692</v>
      </c>
      <c r="D1738" s="30" t="s">
        <v>244</v>
      </c>
      <c r="E1738" s="30" t="s">
        <v>245</v>
      </c>
      <c r="F1738" s="32" t="n">
        <v>47</v>
      </c>
      <c r="G1738" s="31" t="s">
        <v>215</v>
      </c>
      <c r="H1738" s="31" t="n">
        <v>1</v>
      </c>
      <c r="I1738" s="31" t="s">
        <v>62</v>
      </c>
      <c r="J1738" s="29" t="s">
        <v>9693</v>
      </c>
      <c r="K1738" s="29" t="s">
        <v>6324</v>
      </c>
      <c r="L1738" s="32" t="n">
        <v>21</v>
      </c>
      <c r="M1738" s="33" t="s">
        <v>6325</v>
      </c>
      <c r="N1738" s="34" t="n">
        <v>75017</v>
      </c>
      <c r="O1738" s="35" t="s">
        <v>55</v>
      </c>
      <c r="P1738" s="36" t="s">
        <v>9694</v>
      </c>
      <c r="Q1738" s="36" t="n">
        <v>4</v>
      </c>
      <c r="R1738" s="32" t="n">
        <v>48</v>
      </c>
      <c r="S1738" s="32" t="n">
        <v>1</v>
      </c>
      <c r="T1738" s="32"/>
      <c r="U1738" s="32"/>
      <c r="V1738" s="37"/>
      <c r="W1738" s="32"/>
      <c r="X1738" s="34"/>
      <c r="Y1738" s="34"/>
      <c r="Z1738" s="36"/>
      <c r="AA1738" s="32" t="s">
        <v>9695</v>
      </c>
      <c r="AB1738" s="32" t="s">
        <v>9696</v>
      </c>
      <c r="AC1738" s="38" t="str">
        <f aca="false">HYPERLINK("https://biocodex6--c.vf.force.com/0014L00000KFjoyQAD", "COHEN MOULY SANDRA")</f>
        <v>COHEN MOULY SANDRA</v>
      </c>
      <c r="AD1738" s="38" t="str">
        <f aca="false">HYPERLINK("https://annuairesante.ameli.fr/professionnels-de-sante/recherche/fiche-detaillee-B7c1mzYxNzS6.html", "COHEN MOULY SANDRA")</f>
        <v>COHEN MOULY SANDRA</v>
      </c>
      <c r="AE1738" s="39"/>
      <c r="AF1738" s="40"/>
      <c r="AG1738" s="41"/>
      <c r="AH1738" s="32" t="s">
        <v>179</v>
      </c>
      <c r="AI1738" s="32"/>
      <c r="AL1738" s="32"/>
      <c r="AM1738" s="32"/>
      <c r="AN1738" s="32"/>
      <c r="AO1738" s="32"/>
      <c r="AP1738" s="32"/>
      <c r="AQ1738" s="32"/>
      <c r="AR1738" s="32"/>
      <c r="AS1738" s="32"/>
      <c r="AT1738" s="32"/>
      <c r="AU1738" s="32"/>
      <c r="XEY1738" s="27"/>
      <c r="XEZ1738" s="27"/>
      <c r="XFA1738" s="27"/>
      <c r="XFB1738" s="27"/>
      <c r="XFC1738" s="27"/>
      <c r="XFD1738" s="27"/>
    </row>
    <row r="1739" s="42" customFormat="true" ht="14.15" hidden="false" customHeight="true" outlineLevel="0" collapsed="false">
      <c r="A1739" s="28" t="s">
        <v>9697</v>
      </c>
      <c r="B1739" s="29" t="s">
        <v>195</v>
      </c>
      <c r="C1739" s="29" t="s">
        <v>9698</v>
      </c>
      <c r="D1739" s="30" t="s">
        <v>172</v>
      </c>
      <c r="E1739" s="31"/>
      <c r="F1739" s="32" t="n">
        <v>60</v>
      </c>
      <c r="G1739" s="31"/>
      <c r="H1739" s="31" t="n">
        <v>2</v>
      </c>
      <c r="I1739" s="31" t="s">
        <v>233</v>
      </c>
      <c r="J1739" s="29"/>
      <c r="K1739" s="29" t="s">
        <v>9699</v>
      </c>
      <c r="L1739" s="32" t="n">
        <v>200</v>
      </c>
      <c r="M1739" s="33" t="s">
        <v>1002</v>
      </c>
      <c r="N1739" s="34" t="n">
        <v>75015</v>
      </c>
      <c r="O1739" s="35" t="s">
        <v>55</v>
      </c>
      <c r="P1739" s="36" t="s">
        <v>9700</v>
      </c>
      <c r="Q1739" s="36" t="n">
        <v>1</v>
      </c>
      <c r="R1739" s="32" t="n">
        <v>47</v>
      </c>
      <c r="S1739" s="32" t="n">
        <v>1</v>
      </c>
      <c r="T1739" s="43" t="s">
        <v>2189</v>
      </c>
      <c r="U1739" s="32"/>
      <c r="V1739" s="37" t="n">
        <v>3</v>
      </c>
      <c r="W1739" s="32"/>
      <c r="X1739" s="34"/>
      <c r="Y1739" s="34"/>
      <c r="Z1739" s="36"/>
      <c r="AA1739" s="32" t="s">
        <v>9701</v>
      </c>
      <c r="AB1739" s="32"/>
      <c r="AC1739" s="38" t="str">
        <f aca="false">HYPERLINK("https://biocodex6--c.vf.force.com/0014L00000KFey5QAD", "CHAMPAULT PHILIPPE")</f>
        <v>CHAMPAULT PHILIPPE</v>
      </c>
      <c r="AD1739" s="38"/>
      <c r="AE1739" s="39"/>
      <c r="AF1739" s="40"/>
      <c r="AG1739" s="41"/>
      <c r="AH1739" s="32" t="s">
        <v>179</v>
      </c>
      <c r="AI1739" s="32"/>
      <c r="AL1739" s="32"/>
      <c r="AM1739" s="32"/>
      <c r="AN1739" s="32"/>
      <c r="AO1739" s="32"/>
      <c r="AP1739" s="32"/>
      <c r="AQ1739" s="32"/>
      <c r="AR1739" s="32"/>
      <c r="AS1739" s="32"/>
      <c r="AT1739" s="32"/>
      <c r="AU1739" s="32"/>
      <c r="XEY1739" s="27"/>
      <c r="XEZ1739" s="27"/>
      <c r="XFA1739" s="27"/>
      <c r="XFB1739" s="27"/>
      <c r="XFC1739" s="27"/>
      <c r="XFD1739" s="27"/>
    </row>
    <row r="1740" s="42" customFormat="true" ht="14.15" hidden="false" customHeight="true" outlineLevel="0" collapsed="false">
      <c r="A1740" s="28" t="s">
        <v>1084</v>
      </c>
      <c r="B1740" s="29" t="s">
        <v>9702</v>
      </c>
      <c r="C1740" s="29" t="s">
        <v>9703</v>
      </c>
      <c r="D1740" s="30" t="s">
        <v>50</v>
      </c>
      <c r="E1740" s="30" t="s">
        <v>571</v>
      </c>
      <c r="F1740" s="32" t="n">
        <v>68</v>
      </c>
      <c r="G1740" s="31"/>
      <c r="H1740" s="31" t="n">
        <v>1</v>
      </c>
      <c r="I1740" s="31" t="s">
        <v>572</v>
      </c>
      <c r="J1740" s="29"/>
      <c r="K1740" s="29" t="s">
        <v>9704</v>
      </c>
      <c r="L1740" s="32" t="n">
        <v>18</v>
      </c>
      <c r="M1740" s="33" t="s">
        <v>5563</v>
      </c>
      <c r="N1740" s="34" t="n">
        <v>75008</v>
      </c>
      <c r="O1740" s="35" t="s">
        <v>55</v>
      </c>
      <c r="P1740" s="36" t="s">
        <v>9705</v>
      </c>
      <c r="Q1740" s="36" t="n">
        <v>1</v>
      </c>
      <c r="R1740" s="32" t="n">
        <v>45</v>
      </c>
      <c r="S1740" s="32" t="n">
        <v>1</v>
      </c>
      <c r="T1740" s="32"/>
      <c r="U1740" s="32"/>
      <c r="V1740" s="37"/>
      <c r="W1740" s="32"/>
      <c r="X1740" s="34"/>
      <c r="Y1740" s="34"/>
      <c r="Z1740" s="36"/>
      <c r="AA1740" s="32" t="s">
        <v>9706</v>
      </c>
      <c r="AB1740" s="32"/>
      <c r="AC1740" s="38" t="str">
        <f aca="false">HYPERLINK("https://biocodex6--c.vf.force.com/0014L00000NC09QQAT", "HASSAN MOISE")</f>
        <v>HASSAN MOISE</v>
      </c>
      <c r="AD1740" s="38"/>
      <c r="AE1740" s="39" t="n">
        <v>45257.4583333333</v>
      </c>
      <c r="AF1740" s="40"/>
      <c r="AG1740" s="41"/>
      <c r="AH1740" s="32" t="s">
        <v>179</v>
      </c>
      <c r="AI1740" s="32"/>
      <c r="AL1740" s="32"/>
      <c r="AM1740" s="32"/>
      <c r="AN1740" s="32"/>
      <c r="AO1740" s="32"/>
      <c r="AP1740" s="32"/>
      <c r="AQ1740" s="32"/>
      <c r="AR1740" s="32"/>
      <c r="AS1740" s="32"/>
      <c r="AT1740" s="32"/>
      <c r="AU1740" s="32"/>
      <c r="XEY1740" s="27"/>
      <c r="XEZ1740" s="27"/>
      <c r="XFA1740" s="27"/>
      <c r="XFB1740" s="27"/>
      <c r="XFC1740" s="27"/>
      <c r="XFD1740" s="27"/>
    </row>
    <row r="1741" s="42" customFormat="true" ht="14.15" hidden="false" customHeight="true" outlineLevel="0" collapsed="false">
      <c r="A1741" s="28" t="s">
        <v>9707</v>
      </c>
      <c r="B1741" s="29" t="s">
        <v>9708</v>
      </c>
      <c r="C1741" s="29" t="s">
        <v>9709</v>
      </c>
      <c r="D1741" s="30" t="s">
        <v>172</v>
      </c>
      <c r="E1741" s="31"/>
      <c r="F1741" s="32" t="n">
        <v>41</v>
      </c>
      <c r="G1741" s="31"/>
      <c r="H1741" s="31" t="n">
        <v>1</v>
      </c>
      <c r="I1741" s="31" t="s">
        <v>119</v>
      </c>
      <c r="J1741" s="29"/>
      <c r="K1741" s="29" t="s">
        <v>9710</v>
      </c>
      <c r="L1741" s="32" t="n">
        <v>61</v>
      </c>
      <c r="M1741" s="33" t="s">
        <v>3713</v>
      </c>
      <c r="N1741" s="34" t="n">
        <v>75007</v>
      </c>
      <c r="O1741" s="35" t="s">
        <v>55</v>
      </c>
      <c r="P1741" s="36" t="s">
        <v>9711</v>
      </c>
      <c r="Q1741" s="36" t="n">
        <v>1</v>
      </c>
      <c r="R1741" s="32" t="n">
        <v>45</v>
      </c>
      <c r="S1741" s="32" t="n">
        <v>1</v>
      </c>
      <c r="T1741" s="43" t="s">
        <v>177</v>
      </c>
      <c r="U1741" s="32"/>
      <c r="V1741" s="37" t="n">
        <v>3</v>
      </c>
      <c r="W1741" s="32"/>
      <c r="X1741" s="34"/>
      <c r="Y1741" s="34"/>
      <c r="Z1741" s="36"/>
      <c r="AA1741" s="32" t="s">
        <v>9712</v>
      </c>
      <c r="AB1741" s="32"/>
      <c r="AC1741" s="38" t="str">
        <f aca="false">HYPERLINK("https://biocodex6--c.vf.force.com/0014L00000KFvO6QAL", "HOZER FRANZ")</f>
        <v>HOZER FRANZ</v>
      </c>
      <c r="AD1741" s="38"/>
      <c r="AE1741" s="39"/>
      <c r="AF1741" s="40"/>
      <c r="AG1741" s="41"/>
      <c r="AH1741" s="32" t="s">
        <v>179</v>
      </c>
      <c r="AI1741" s="32"/>
      <c r="AL1741" s="32"/>
      <c r="AM1741" s="32"/>
      <c r="AN1741" s="32"/>
      <c r="AO1741" s="32"/>
      <c r="AP1741" s="32"/>
      <c r="AQ1741" s="32"/>
      <c r="AR1741" s="32"/>
      <c r="AS1741" s="32"/>
      <c r="AT1741" s="32"/>
      <c r="AU1741" s="32"/>
      <c r="XEY1741" s="27"/>
      <c r="XEZ1741" s="27"/>
      <c r="XFA1741" s="27"/>
      <c r="XFB1741" s="27"/>
      <c r="XFC1741" s="27"/>
      <c r="XFD1741" s="27"/>
    </row>
    <row r="1742" s="42" customFormat="true" ht="14.15" hidden="false" customHeight="true" outlineLevel="0" collapsed="false">
      <c r="A1742" s="28" t="s">
        <v>9713</v>
      </c>
      <c r="B1742" s="29" t="s">
        <v>1355</v>
      </c>
      <c r="C1742" s="29" t="s">
        <v>9714</v>
      </c>
      <c r="D1742" s="30" t="s">
        <v>1103</v>
      </c>
      <c r="E1742" s="31"/>
      <c r="F1742" s="32" t="n">
        <v>0</v>
      </c>
      <c r="G1742" s="31"/>
      <c r="H1742" s="31" t="n">
        <v>1</v>
      </c>
      <c r="I1742" s="31" t="s">
        <v>99</v>
      </c>
      <c r="J1742" s="29"/>
      <c r="K1742" s="29" t="s">
        <v>9715</v>
      </c>
      <c r="L1742" s="32" t="n">
        <v>45</v>
      </c>
      <c r="M1742" s="33" t="s">
        <v>3910</v>
      </c>
      <c r="N1742" s="34" t="n">
        <v>75015</v>
      </c>
      <c r="O1742" s="35" t="s">
        <v>55</v>
      </c>
      <c r="P1742" s="36" t="s">
        <v>9716</v>
      </c>
      <c r="Q1742" s="36" t="n">
        <v>1</v>
      </c>
      <c r="R1742" s="32" t="n">
        <v>44</v>
      </c>
      <c r="S1742" s="32" t="n">
        <v>1</v>
      </c>
      <c r="T1742" s="43" t="s">
        <v>316</v>
      </c>
      <c r="U1742" s="32"/>
      <c r="V1742" s="37"/>
      <c r="W1742" s="32"/>
      <c r="X1742" s="34"/>
      <c r="Y1742" s="34"/>
      <c r="Z1742" s="32"/>
      <c r="AA1742" s="32" t="s">
        <v>9717</v>
      </c>
      <c r="AB1742" s="32"/>
      <c r="AC1742" s="38" t="str">
        <f aca="false">HYPERLINK("https://biocodex6--c.vf.force.com/0014L00000KGCjmQAH", "PAGANO MICHELE")</f>
        <v>PAGANO MICHELE</v>
      </c>
      <c r="AD1742" s="38"/>
      <c r="AE1742" s="39"/>
      <c r="AF1742" s="40"/>
      <c r="AG1742" s="41"/>
      <c r="AH1742" s="32"/>
      <c r="AI1742" s="32"/>
      <c r="AL1742" s="32"/>
      <c r="AM1742" s="32"/>
      <c r="AN1742" s="32"/>
      <c r="AO1742" s="32"/>
      <c r="AP1742" s="32"/>
      <c r="AQ1742" s="32"/>
      <c r="AR1742" s="32"/>
      <c r="AS1742" s="32"/>
      <c r="AT1742" s="32"/>
      <c r="AU1742" s="32"/>
      <c r="XEY1742" s="27"/>
      <c r="XEZ1742" s="27"/>
      <c r="XFA1742" s="27"/>
      <c r="XFB1742" s="27"/>
      <c r="XFC1742" s="27"/>
      <c r="XFD1742" s="27"/>
    </row>
    <row r="1743" s="42" customFormat="true" ht="14.15" hidden="false" customHeight="true" outlineLevel="0" collapsed="false">
      <c r="A1743" s="28" t="s">
        <v>9718</v>
      </c>
      <c r="B1743" s="29" t="s">
        <v>429</v>
      </c>
      <c r="C1743" s="29" t="s">
        <v>9719</v>
      </c>
      <c r="D1743" s="30" t="s">
        <v>172</v>
      </c>
      <c r="E1743" s="31"/>
      <c r="F1743" s="32" t="n">
        <v>38</v>
      </c>
      <c r="G1743" s="31"/>
      <c r="H1743" s="31" t="n">
        <v>1</v>
      </c>
      <c r="I1743" s="31" t="s">
        <v>99</v>
      </c>
      <c r="J1743" s="29" t="s">
        <v>595</v>
      </c>
      <c r="K1743" s="29" t="s">
        <v>596</v>
      </c>
      <c r="L1743" s="32" t="n">
        <v>20</v>
      </c>
      <c r="M1743" s="33" t="s">
        <v>597</v>
      </c>
      <c r="N1743" s="34" t="n">
        <v>75015</v>
      </c>
      <c r="O1743" s="35" t="s">
        <v>55</v>
      </c>
      <c r="P1743" s="36" t="s">
        <v>9720</v>
      </c>
      <c r="Q1743" s="36" t="n">
        <v>90</v>
      </c>
      <c r="R1743" s="32" t="n">
        <v>44</v>
      </c>
      <c r="S1743" s="32" t="n">
        <v>1</v>
      </c>
      <c r="T1743" s="43" t="s">
        <v>316</v>
      </c>
      <c r="U1743" s="32"/>
      <c r="V1743" s="37"/>
      <c r="W1743" s="32"/>
      <c r="X1743" s="34"/>
      <c r="Y1743" s="34"/>
      <c r="Z1743" s="36"/>
      <c r="AA1743" s="32" t="s">
        <v>9721</v>
      </c>
      <c r="AB1743" s="32"/>
      <c r="AC1743" s="38" t="str">
        <f aca="false">HYPERLINK("https://biocodex6--c.vf.force.com/0014L00000KFQFnQAP", "AIRAGNES GUILLAUME")</f>
        <v>AIRAGNES GUILLAUME</v>
      </c>
      <c r="AD1743" s="38"/>
      <c r="AE1743" s="39"/>
      <c r="AF1743" s="40"/>
      <c r="AG1743" s="41"/>
      <c r="AH1743" s="32" t="s">
        <v>179</v>
      </c>
      <c r="AI1743" s="32"/>
      <c r="AL1743" s="32"/>
      <c r="AM1743" s="32"/>
      <c r="AN1743" s="32"/>
      <c r="AO1743" s="32"/>
      <c r="AP1743" s="32"/>
      <c r="AQ1743" s="32"/>
      <c r="AR1743" s="32"/>
      <c r="AS1743" s="32"/>
      <c r="AT1743" s="32"/>
      <c r="AU1743" s="32"/>
      <c r="XEY1743" s="27"/>
      <c r="XEZ1743" s="27"/>
      <c r="XFA1743" s="27"/>
      <c r="XFB1743" s="27"/>
      <c r="XFC1743" s="27"/>
      <c r="XFD1743" s="27"/>
    </row>
    <row r="1744" s="42" customFormat="true" ht="14.15" hidden="false" customHeight="true" outlineLevel="0" collapsed="false">
      <c r="A1744" s="28" t="s">
        <v>9722</v>
      </c>
      <c r="B1744" s="29" t="s">
        <v>9723</v>
      </c>
      <c r="C1744" s="29" t="s">
        <v>9724</v>
      </c>
      <c r="D1744" s="30" t="s">
        <v>172</v>
      </c>
      <c r="E1744" s="30" t="s">
        <v>255</v>
      </c>
      <c r="F1744" s="32" t="n">
        <v>62</v>
      </c>
      <c r="G1744" s="31"/>
      <c r="H1744" s="31" t="n">
        <v>1</v>
      </c>
      <c r="I1744" s="31" t="s">
        <v>99</v>
      </c>
      <c r="J1744" s="29" t="s">
        <v>595</v>
      </c>
      <c r="K1744" s="29" t="s">
        <v>596</v>
      </c>
      <c r="L1744" s="32" t="n">
        <v>20</v>
      </c>
      <c r="M1744" s="33" t="s">
        <v>597</v>
      </c>
      <c r="N1744" s="34" t="n">
        <v>75015</v>
      </c>
      <c r="O1744" s="35" t="s">
        <v>55</v>
      </c>
      <c r="P1744" s="36" t="s">
        <v>9720</v>
      </c>
      <c r="Q1744" s="36" t="n">
        <v>90</v>
      </c>
      <c r="R1744" s="32" t="n">
        <v>44</v>
      </c>
      <c r="S1744" s="32" t="n">
        <v>1</v>
      </c>
      <c r="T1744" s="43" t="s">
        <v>316</v>
      </c>
      <c r="U1744" s="32"/>
      <c r="V1744" s="37"/>
      <c r="W1744" s="32"/>
      <c r="X1744" s="34"/>
      <c r="Y1744" s="34"/>
      <c r="Z1744" s="36"/>
      <c r="AA1744" s="32" t="s">
        <v>9725</v>
      </c>
      <c r="AB1744" s="32"/>
      <c r="AC1744" s="38" t="str">
        <f aca="false">HYPERLINK("https://biocodex6--c.vf.force.com/0014L00000KFlaCQAT", "LAHLOU LAFORET KHADIJA")</f>
        <v>LAHLOU LAFORET KHADIJA</v>
      </c>
      <c r="AD1744" s="38"/>
      <c r="AE1744" s="39"/>
      <c r="AF1744" s="40"/>
      <c r="AG1744" s="41"/>
      <c r="AH1744" s="32" t="s">
        <v>179</v>
      </c>
      <c r="AI1744" s="32"/>
      <c r="AL1744" s="32"/>
      <c r="AM1744" s="32"/>
      <c r="AN1744" s="32"/>
      <c r="AO1744" s="32"/>
      <c r="AP1744" s="32"/>
      <c r="AQ1744" s="32"/>
      <c r="AR1744" s="32"/>
      <c r="AS1744" s="32"/>
      <c r="AT1744" s="32"/>
      <c r="AU1744" s="32"/>
      <c r="XEY1744" s="27"/>
      <c r="XEZ1744" s="27"/>
      <c r="XFA1744" s="27"/>
      <c r="XFB1744" s="27"/>
      <c r="XFC1744" s="27"/>
      <c r="XFD1744" s="27"/>
    </row>
    <row r="1745" s="42" customFormat="true" ht="14.15" hidden="false" customHeight="true" outlineLevel="0" collapsed="false">
      <c r="A1745" s="28" t="s">
        <v>9726</v>
      </c>
      <c r="B1745" s="29" t="s">
        <v>7339</v>
      </c>
      <c r="C1745" s="29" t="s">
        <v>9727</v>
      </c>
      <c r="D1745" s="30" t="s">
        <v>172</v>
      </c>
      <c r="E1745" s="30" t="s">
        <v>978</v>
      </c>
      <c r="F1745" s="32" t="n">
        <v>64</v>
      </c>
      <c r="G1745" s="31"/>
      <c r="H1745" s="31" t="n">
        <v>1</v>
      </c>
      <c r="I1745" s="31" t="s">
        <v>99</v>
      </c>
      <c r="J1745" s="29" t="s">
        <v>595</v>
      </c>
      <c r="K1745" s="29" t="s">
        <v>596</v>
      </c>
      <c r="L1745" s="32" t="n">
        <v>20</v>
      </c>
      <c r="M1745" s="33" t="s">
        <v>597</v>
      </c>
      <c r="N1745" s="34" t="n">
        <v>75015</v>
      </c>
      <c r="O1745" s="35" t="s">
        <v>55</v>
      </c>
      <c r="P1745" s="36" t="s">
        <v>9728</v>
      </c>
      <c r="Q1745" s="36" t="n">
        <v>90</v>
      </c>
      <c r="R1745" s="32" t="n">
        <v>44</v>
      </c>
      <c r="S1745" s="32" t="n">
        <v>1</v>
      </c>
      <c r="T1745" s="43" t="s">
        <v>316</v>
      </c>
      <c r="U1745" s="32"/>
      <c r="V1745" s="37"/>
      <c r="W1745" s="32"/>
      <c r="X1745" s="34"/>
      <c r="Y1745" s="34"/>
      <c r="Z1745" s="36"/>
      <c r="AA1745" s="32" t="s">
        <v>9729</v>
      </c>
      <c r="AB1745" s="32"/>
      <c r="AC1745" s="38" t="str">
        <f aca="false">HYPERLINK("https://biocodex6--c.vf.force.com/0014L00000KFuCJQA1", "ORIZET CYRILLE")</f>
        <v>ORIZET CYRILLE</v>
      </c>
      <c r="AD1745" s="38"/>
      <c r="AE1745" s="39"/>
      <c r="AF1745" s="40"/>
      <c r="AG1745" s="41"/>
      <c r="AH1745" s="32" t="s">
        <v>179</v>
      </c>
      <c r="AI1745" s="32"/>
      <c r="AL1745" s="32"/>
      <c r="AM1745" s="32"/>
      <c r="AN1745" s="32"/>
      <c r="AO1745" s="32"/>
      <c r="AP1745" s="32"/>
      <c r="AQ1745" s="32"/>
      <c r="AR1745" s="32"/>
      <c r="AS1745" s="32"/>
      <c r="AT1745" s="32"/>
      <c r="AU1745" s="32"/>
      <c r="XEY1745" s="27"/>
      <c r="XEZ1745" s="27"/>
      <c r="XFA1745" s="27"/>
      <c r="XFB1745" s="27"/>
      <c r="XFC1745" s="27"/>
      <c r="XFD1745" s="27"/>
    </row>
    <row r="1746" s="42" customFormat="true" ht="14.15" hidden="false" customHeight="true" outlineLevel="0" collapsed="false">
      <c r="A1746" s="28" t="s">
        <v>4432</v>
      </c>
      <c r="B1746" s="29" t="s">
        <v>1101</v>
      </c>
      <c r="C1746" s="29" t="s">
        <v>9730</v>
      </c>
      <c r="D1746" s="30" t="s">
        <v>172</v>
      </c>
      <c r="E1746" s="31"/>
      <c r="F1746" s="32" t="n">
        <v>57</v>
      </c>
      <c r="G1746" s="31"/>
      <c r="H1746" s="31" t="n">
        <v>2</v>
      </c>
      <c r="I1746" s="31" t="s">
        <v>99</v>
      </c>
      <c r="J1746" s="29" t="s">
        <v>595</v>
      </c>
      <c r="K1746" s="29" t="s">
        <v>596</v>
      </c>
      <c r="L1746" s="32" t="n">
        <v>20</v>
      </c>
      <c r="M1746" s="33" t="s">
        <v>597</v>
      </c>
      <c r="N1746" s="34" t="n">
        <v>75015</v>
      </c>
      <c r="O1746" s="35" t="s">
        <v>55</v>
      </c>
      <c r="P1746" s="36" t="s">
        <v>9731</v>
      </c>
      <c r="Q1746" s="36" t="n">
        <v>90</v>
      </c>
      <c r="R1746" s="32" t="n">
        <v>44</v>
      </c>
      <c r="S1746" s="32" t="n">
        <v>1</v>
      </c>
      <c r="T1746" s="43" t="s">
        <v>316</v>
      </c>
      <c r="U1746" s="32"/>
      <c r="V1746" s="37"/>
      <c r="W1746" s="32"/>
      <c r="X1746" s="34"/>
      <c r="Y1746" s="34"/>
      <c r="Z1746" s="36"/>
      <c r="AA1746" s="32" t="s">
        <v>9732</v>
      </c>
      <c r="AB1746" s="32"/>
      <c r="AC1746" s="38" t="str">
        <f aca="false">HYPERLINK("https://biocodex6--c.vf.force.com/0014L00000KFtdIQAT", "THAUVIN ISABELLE")</f>
        <v>THAUVIN ISABELLE</v>
      </c>
      <c r="AD1746" s="38"/>
      <c r="AE1746" s="39"/>
      <c r="AF1746" s="40"/>
      <c r="AG1746" s="41"/>
      <c r="AH1746" s="32" t="s">
        <v>179</v>
      </c>
      <c r="AI1746" s="32"/>
      <c r="AL1746" s="32"/>
      <c r="AM1746" s="32"/>
      <c r="AN1746" s="32"/>
      <c r="AO1746" s="32"/>
      <c r="AP1746" s="32"/>
      <c r="AQ1746" s="32"/>
      <c r="AR1746" s="32"/>
      <c r="AS1746" s="32"/>
      <c r="AT1746" s="32"/>
      <c r="AU1746" s="32"/>
      <c r="XEY1746" s="27"/>
      <c r="XEZ1746" s="27"/>
      <c r="XFA1746" s="27"/>
      <c r="XFB1746" s="27"/>
      <c r="XFC1746" s="27"/>
      <c r="XFD1746" s="27"/>
    </row>
    <row r="1747" s="42" customFormat="true" ht="14.15" hidden="false" customHeight="true" outlineLevel="0" collapsed="false">
      <c r="A1747" s="28" t="s">
        <v>9733</v>
      </c>
      <c r="B1747" s="29" t="s">
        <v>9734</v>
      </c>
      <c r="C1747" s="29" t="s">
        <v>9735</v>
      </c>
      <c r="D1747" s="30" t="s">
        <v>172</v>
      </c>
      <c r="E1747" s="31"/>
      <c r="F1747" s="32" t="n">
        <v>57</v>
      </c>
      <c r="G1747" s="31"/>
      <c r="H1747" s="31" t="n">
        <v>2</v>
      </c>
      <c r="I1747" s="31" t="s">
        <v>119</v>
      </c>
      <c r="J1747" s="29" t="s">
        <v>9400</v>
      </c>
      <c r="K1747" s="29" t="s">
        <v>9401</v>
      </c>
      <c r="L1747" s="32" t="n">
        <v>39</v>
      </c>
      <c r="M1747" s="33" t="s">
        <v>6202</v>
      </c>
      <c r="N1747" s="34" t="n">
        <v>75007</v>
      </c>
      <c r="O1747" s="35" t="s">
        <v>55</v>
      </c>
      <c r="P1747" s="36" t="s">
        <v>9402</v>
      </c>
      <c r="Q1747" s="36" t="n">
        <v>5</v>
      </c>
      <c r="R1747" s="32" t="n">
        <v>44</v>
      </c>
      <c r="S1747" s="32" t="n">
        <v>1</v>
      </c>
      <c r="T1747" s="43" t="s">
        <v>1107</v>
      </c>
      <c r="U1747" s="32" t="n">
        <v>3</v>
      </c>
      <c r="V1747" s="37"/>
      <c r="W1747" s="32"/>
      <c r="X1747" s="34"/>
      <c r="Y1747" s="34"/>
      <c r="Z1747" s="36"/>
      <c r="AA1747" s="32" t="s">
        <v>9736</v>
      </c>
      <c r="AB1747" s="32"/>
      <c r="AC1747" s="38" t="str">
        <f aca="false">HYPERLINK("https://biocodex6--c.vf.force.com/0014L00000KFi6sQAD", "KETABI KARIM")</f>
        <v>KETABI KARIM</v>
      </c>
      <c r="AD1747" s="38"/>
      <c r="AE1747" s="39"/>
      <c r="AF1747" s="40"/>
      <c r="AG1747" s="41"/>
      <c r="AH1747" s="32" t="s">
        <v>179</v>
      </c>
      <c r="AI1747" s="32"/>
      <c r="AL1747" s="32"/>
      <c r="AM1747" s="32"/>
      <c r="AN1747" s="32"/>
      <c r="AO1747" s="32"/>
      <c r="AP1747" s="32"/>
      <c r="AQ1747" s="32"/>
      <c r="AR1747" s="32"/>
      <c r="AS1747" s="32"/>
      <c r="AT1747" s="32"/>
      <c r="AU1747" s="32"/>
      <c r="XEY1747" s="27"/>
      <c r="XEZ1747" s="27"/>
      <c r="XFA1747" s="27"/>
      <c r="XFB1747" s="27"/>
      <c r="XFC1747" s="27"/>
      <c r="XFD1747" s="27"/>
    </row>
    <row r="1748" s="42" customFormat="true" ht="14.15" hidden="false" customHeight="true" outlineLevel="0" collapsed="false">
      <c r="A1748" s="28" t="s">
        <v>9737</v>
      </c>
      <c r="B1748" s="29" t="s">
        <v>1928</v>
      </c>
      <c r="C1748" s="29" t="s">
        <v>9738</v>
      </c>
      <c r="D1748" s="30" t="s">
        <v>172</v>
      </c>
      <c r="E1748" s="31"/>
      <c r="F1748" s="32" t="n">
        <v>55</v>
      </c>
      <c r="G1748" s="31"/>
      <c r="H1748" s="31" t="n">
        <v>1</v>
      </c>
      <c r="I1748" s="31" t="s">
        <v>119</v>
      </c>
      <c r="J1748" s="29"/>
      <c r="K1748" s="29" t="s">
        <v>8830</v>
      </c>
      <c r="L1748" s="32" t="n">
        <v>21</v>
      </c>
      <c r="M1748" s="33" t="s">
        <v>904</v>
      </c>
      <c r="N1748" s="34" t="n">
        <v>75007</v>
      </c>
      <c r="O1748" s="35" t="s">
        <v>55</v>
      </c>
      <c r="P1748" s="36"/>
      <c r="Q1748" s="36" t="n">
        <v>3</v>
      </c>
      <c r="R1748" s="32" t="n">
        <v>44</v>
      </c>
      <c r="S1748" s="32" t="n">
        <v>1</v>
      </c>
      <c r="T1748" s="43" t="s">
        <v>1107</v>
      </c>
      <c r="U1748" s="32"/>
      <c r="V1748" s="37" t="n">
        <v>3</v>
      </c>
      <c r="W1748" s="32"/>
      <c r="X1748" s="34"/>
      <c r="Y1748" s="34"/>
      <c r="Z1748" s="32"/>
      <c r="AA1748" s="32" t="s">
        <v>9739</v>
      </c>
      <c r="AB1748" s="32"/>
      <c r="AC1748" s="38" t="str">
        <f aca="false">HYPERLINK("https://biocodex6--c.vf.force.com/0014L00000KFjj2QAD", "CLOSTRE MATHILDE")</f>
        <v>CLOSTRE MATHILDE</v>
      </c>
      <c r="AD1748" s="38"/>
      <c r="AE1748" s="39"/>
      <c r="AF1748" s="40"/>
      <c r="AG1748" s="41"/>
      <c r="AH1748" s="32"/>
      <c r="AI1748" s="32"/>
      <c r="AL1748" s="32"/>
      <c r="AM1748" s="32"/>
      <c r="AN1748" s="32"/>
      <c r="AO1748" s="32"/>
      <c r="AP1748" s="32"/>
      <c r="AQ1748" s="32"/>
      <c r="AR1748" s="32"/>
      <c r="AS1748" s="32"/>
      <c r="AT1748" s="32"/>
      <c r="AU1748" s="32"/>
      <c r="XEY1748" s="27"/>
      <c r="XEZ1748" s="27"/>
      <c r="XFA1748" s="27"/>
      <c r="XFB1748" s="27"/>
      <c r="XFC1748" s="27"/>
      <c r="XFD1748" s="27"/>
    </row>
    <row r="1749" s="42" customFormat="true" ht="14.15" hidden="false" customHeight="true" outlineLevel="0" collapsed="false">
      <c r="A1749" s="28" t="s">
        <v>9740</v>
      </c>
      <c r="B1749" s="29" t="s">
        <v>450</v>
      </c>
      <c r="C1749" s="29" t="s">
        <v>9741</v>
      </c>
      <c r="D1749" s="30" t="s">
        <v>172</v>
      </c>
      <c r="E1749" s="31"/>
      <c r="F1749" s="32" t="n">
        <v>35</v>
      </c>
      <c r="G1749" s="31"/>
      <c r="H1749" s="31" t="n">
        <v>1</v>
      </c>
      <c r="I1749" s="31" t="s">
        <v>77</v>
      </c>
      <c r="J1749" s="29" t="s">
        <v>246</v>
      </c>
      <c r="K1749" s="29" t="s">
        <v>247</v>
      </c>
      <c r="L1749" s="32" t="n">
        <v>36</v>
      </c>
      <c r="M1749" s="33" t="s">
        <v>248</v>
      </c>
      <c r="N1749" s="34" t="n">
        <v>92200</v>
      </c>
      <c r="O1749" s="35" t="s">
        <v>81</v>
      </c>
      <c r="P1749" s="36" t="s">
        <v>365</v>
      </c>
      <c r="Q1749" s="36" t="n">
        <v>49</v>
      </c>
      <c r="R1749" s="32" t="n">
        <v>44</v>
      </c>
      <c r="S1749" s="32" t="n">
        <v>1</v>
      </c>
      <c r="T1749" s="43" t="s">
        <v>316</v>
      </c>
      <c r="U1749" s="32"/>
      <c r="V1749" s="37"/>
      <c r="W1749" s="32"/>
      <c r="X1749" s="34"/>
      <c r="Y1749" s="34"/>
      <c r="Z1749" s="36"/>
      <c r="AA1749" s="32" t="s">
        <v>9742</v>
      </c>
      <c r="AB1749" s="32"/>
      <c r="AC1749" s="38" t="str">
        <f aca="false">HYPERLINK("https://biocodex6--c.vf.force.com/0014L00000KGBKRQA5", "BARBOTIN BENEDICTE")</f>
        <v>BARBOTIN BENEDICTE</v>
      </c>
      <c r="AD1749" s="38"/>
      <c r="AE1749" s="39"/>
      <c r="AF1749" s="40"/>
      <c r="AG1749" s="41"/>
      <c r="AH1749" s="32" t="s">
        <v>179</v>
      </c>
      <c r="AI1749" s="32"/>
      <c r="AL1749" s="32"/>
      <c r="AM1749" s="32"/>
      <c r="AN1749" s="32"/>
      <c r="AO1749" s="32"/>
      <c r="AP1749" s="32"/>
      <c r="AQ1749" s="32"/>
      <c r="AR1749" s="32"/>
      <c r="AS1749" s="32"/>
      <c r="AT1749" s="32"/>
      <c r="AU1749" s="32"/>
      <c r="XEY1749" s="27"/>
      <c r="XEZ1749" s="27"/>
      <c r="XFA1749" s="27"/>
      <c r="XFB1749" s="27"/>
      <c r="XFC1749" s="27"/>
      <c r="XFD1749" s="27"/>
    </row>
    <row r="1750" s="42" customFormat="true" ht="14.15" hidden="false" customHeight="true" outlineLevel="0" collapsed="false">
      <c r="A1750" s="28" t="s">
        <v>9743</v>
      </c>
      <c r="B1750" s="29" t="s">
        <v>142</v>
      </c>
      <c r="C1750" s="29" t="s">
        <v>9744</v>
      </c>
      <c r="D1750" s="30" t="s">
        <v>172</v>
      </c>
      <c r="E1750" s="30" t="s">
        <v>1103</v>
      </c>
      <c r="F1750" s="32" t="n">
        <v>64</v>
      </c>
      <c r="G1750" s="31"/>
      <c r="H1750" s="31" t="n">
        <v>2</v>
      </c>
      <c r="I1750" s="31" t="s">
        <v>387</v>
      </c>
      <c r="J1750" s="29"/>
      <c r="K1750" s="29" t="s">
        <v>9745</v>
      </c>
      <c r="L1750" s="32" t="n">
        <v>11</v>
      </c>
      <c r="M1750" s="33" t="s">
        <v>9746</v>
      </c>
      <c r="N1750" s="34" t="n">
        <v>75016</v>
      </c>
      <c r="O1750" s="35" t="s">
        <v>55</v>
      </c>
      <c r="P1750" s="36" t="s">
        <v>9747</v>
      </c>
      <c r="Q1750" s="36" t="n">
        <v>1</v>
      </c>
      <c r="R1750" s="32" t="n">
        <v>43</v>
      </c>
      <c r="S1750" s="42" t="n">
        <v>1</v>
      </c>
      <c r="T1750" s="43" t="s">
        <v>4813</v>
      </c>
      <c r="U1750" s="32"/>
      <c r="V1750" s="37"/>
      <c r="W1750" s="32"/>
      <c r="X1750" s="34"/>
      <c r="Y1750" s="34" t="n">
        <v>1</v>
      </c>
      <c r="Z1750" s="32" t="s">
        <v>9748</v>
      </c>
      <c r="AA1750" s="32" t="s">
        <v>9749</v>
      </c>
      <c r="AC1750" s="38" t="str">
        <f aca="false">HYPERLINK("https://biocodex6--c.vf.force.com/0014L00000KFmkTQAT", "LECENDREUX MICHEL")</f>
        <v>LECENDREUX MICHEL</v>
      </c>
      <c r="AD1750" s="38"/>
      <c r="AE1750" s="39"/>
      <c r="AF1750" s="40"/>
      <c r="AG1750" s="41"/>
      <c r="AH1750" s="32" t="s">
        <v>156</v>
      </c>
      <c r="AI1750" s="32" t="s">
        <v>180</v>
      </c>
      <c r="AK1750" s="42" t="s">
        <v>9750</v>
      </c>
      <c r="AL1750" s="32"/>
      <c r="AM1750" s="32"/>
      <c r="AN1750" s="32"/>
      <c r="AO1750" s="32"/>
      <c r="AP1750" s="32"/>
      <c r="AQ1750" s="32"/>
      <c r="AR1750" s="32"/>
      <c r="AS1750" s="32"/>
      <c r="AT1750" s="32"/>
      <c r="AU1750" s="32"/>
      <c r="XEY1750" s="27"/>
      <c r="XEZ1750" s="27"/>
      <c r="XFA1750" s="27"/>
      <c r="XFB1750" s="27"/>
      <c r="XFC1750" s="27"/>
      <c r="XFD1750" s="27"/>
    </row>
    <row r="1751" s="42" customFormat="true" ht="14.15" hidden="false" customHeight="true" outlineLevel="0" collapsed="false">
      <c r="A1751" s="28" t="s">
        <v>9751</v>
      </c>
      <c r="B1751" s="29" t="s">
        <v>2750</v>
      </c>
      <c r="C1751" s="29" t="s">
        <v>9752</v>
      </c>
      <c r="D1751" s="30" t="s">
        <v>172</v>
      </c>
      <c r="E1751" s="31"/>
      <c r="F1751" s="32" t="n">
        <v>57</v>
      </c>
      <c r="G1751" s="31"/>
      <c r="H1751" s="31" t="n">
        <v>1</v>
      </c>
      <c r="I1751" s="31" t="s">
        <v>119</v>
      </c>
      <c r="J1751" s="29" t="s">
        <v>9400</v>
      </c>
      <c r="K1751" s="29" t="s">
        <v>9401</v>
      </c>
      <c r="L1751" s="32" t="n">
        <v>39</v>
      </c>
      <c r="M1751" s="33" t="s">
        <v>6202</v>
      </c>
      <c r="N1751" s="34" t="n">
        <v>75007</v>
      </c>
      <c r="O1751" s="35" t="s">
        <v>55</v>
      </c>
      <c r="P1751" s="36" t="s">
        <v>9402</v>
      </c>
      <c r="Q1751" s="36" t="n">
        <v>5</v>
      </c>
      <c r="R1751" s="32" t="n">
        <v>43</v>
      </c>
      <c r="S1751" s="32" t="n">
        <v>1</v>
      </c>
      <c r="T1751" s="43" t="s">
        <v>316</v>
      </c>
      <c r="U1751" s="32"/>
      <c r="V1751" s="37"/>
      <c r="W1751" s="32"/>
      <c r="X1751" s="34"/>
      <c r="Y1751" s="34"/>
      <c r="Z1751" s="36"/>
      <c r="AA1751" s="32" t="s">
        <v>9753</v>
      </c>
      <c r="AB1751" s="32"/>
      <c r="AC1751" s="38" t="str">
        <f aca="false">HYPERLINK("https://biocodex6--c.vf.force.com/0014L00000KFQvNQAX", "ABERKANE FATIMA")</f>
        <v>ABERKANE FATIMA</v>
      </c>
      <c r="AD1751" s="38"/>
      <c r="AE1751" s="39"/>
      <c r="AF1751" s="40"/>
      <c r="AG1751" s="41"/>
      <c r="AH1751" s="32" t="s">
        <v>179</v>
      </c>
      <c r="AI1751" s="32"/>
      <c r="AL1751" s="32"/>
      <c r="AM1751" s="32"/>
      <c r="AN1751" s="32"/>
      <c r="AO1751" s="32"/>
      <c r="AP1751" s="32"/>
      <c r="AQ1751" s="32"/>
      <c r="AR1751" s="32"/>
      <c r="AS1751" s="32"/>
      <c r="AT1751" s="32"/>
      <c r="AU1751" s="32"/>
      <c r="XEY1751" s="27"/>
      <c r="XEZ1751" s="27"/>
      <c r="XFA1751" s="27"/>
      <c r="XFB1751" s="27"/>
      <c r="XFC1751" s="27"/>
      <c r="XFD1751" s="27"/>
    </row>
    <row r="1752" s="42" customFormat="true" ht="14.15" hidden="false" customHeight="true" outlineLevel="0" collapsed="false">
      <c r="A1752" s="28" t="s">
        <v>9754</v>
      </c>
      <c r="B1752" s="29" t="s">
        <v>1084</v>
      </c>
      <c r="C1752" s="29" t="s">
        <v>9755</v>
      </c>
      <c r="D1752" s="30" t="s">
        <v>172</v>
      </c>
      <c r="E1752" s="30" t="s">
        <v>818</v>
      </c>
      <c r="F1752" s="32" t="n">
        <v>62</v>
      </c>
      <c r="G1752" s="31"/>
      <c r="H1752" s="31" t="n">
        <v>3</v>
      </c>
      <c r="I1752" s="31" t="s">
        <v>119</v>
      </c>
      <c r="J1752" s="29" t="s">
        <v>9400</v>
      </c>
      <c r="K1752" s="29" t="s">
        <v>9401</v>
      </c>
      <c r="L1752" s="32" t="n">
        <v>39</v>
      </c>
      <c r="M1752" s="33" t="s">
        <v>6202</v>
      </c>
      <c r="N1752" s="34" t="n">
        <v>75007</v>
      </c>
      <c r="O1752" s="35" t="s">
        <v>55</v>
      </c>
      <c r="P1752" s="36" t="s">
        <v>9402</v>
      </c>
      <c r="Q1752" s="36" t="n">
        <v>5</v>
      </c>
      <c r="R1752" s="32" t="n">
        <v>43</v>
      </c>
      <c r="S1752" s="32" t="n">
        <v>1</v>
      </c>
      <c r="T1752" s="43" t="s">
        <v>316</v>
      </c>
      <c r="U1752" s="32"/>
      <c r="V1752" s="37"/>
      <c r="W1752" s="32"/>
      <c r="X1752" s="34"/>
      <c r="Y1752" s="34"/>
      <c r="Z1752" s="36"/>
      <c r="AA1752" s="32" t="s">
        <v>9756</v>
      </c>
      <c r="AB1752" s="32"/>
      <c r="AC1752" s="38" t="str">
        <f aca="false">HYPERLINK("https://biocodex6--c.vf.force.com/0014L00000KFz8HQAT", "RAHIOUI HASSAN")</f>
        <v>RAHIOUI HASSAN</v>
      </c>
      <c r="AD1752" s="38"/>
      <c r="AE1752" s="39"/>
      <c r="AF1752" s="40"/>
      <c r="AG1752" s="41"/>
      <c r="AH1752" s="32" t="s">
        <v>179</v>
      </c>
      <c r="AI1752" s="32"/>
      <c r="AL1752" s="32"/>
      <c r="AM1752" s="32"/>
      <c r="AN1752" s="32"/>
      <c r="AO1752" s="32"/>
      <c r="AP1752" s="32"/>
      <c r="AQ1752" s="32"/>
      <c r="AR1752" s="32"/>
      <c r="AS1752" s="32"/>
      <c r="AT1752" s="32"/>
      <c r="AU1752" s="32"/>
      <c r="XEY1752" s="27"/>
      <c r="XEZ1752" s="27"/>
      <c r="XFA1752" s="27"/>
      <c r="XFB1752" s="27"/>
      <c r="XFC1752" s="27"/>
      <c r="XFD1752" s="27"/>
    </row>
    <row r="1753" s="42" customFormat="true" ht="14.15" hidden="false" customHeight="true" outlineLevel="0" collapsed="false">
      <c r="A1753" s="28" t="s">
        <v>9115</v>
      </c>
      <c r="B1753" s="29" t="s">
        <v>2249</v>
      </c>
      <c r="C1753" s="29" t="s">
        <v>9757</v>
      </c>
      <c r="D1753" s="30" t="s">
        <v>172</v>
      </c>
      <c r="E1753" s="31"/>
      <c r="F1753" s="32" t="n">
        <v>45</v>
      </c>
      <c r="G1753" s="31"/>
      <c r="H1753" s="31" t="n">
        <v>1</v>
      </c>
      <c r="I1753" s="31" t="s">
        <v>435</v>
      </c>
      <c r="J1753" s="29"/>
      <c r="K1753" s="29" t="s">
        <v>9758</v>
      </c>
      <c r="L1753" s="32" t="n">
        <v>65</v>
      </c>
      <c r="M1753" s="33" t="s">
        <v>1450</v>
      </c>
      <c r="N1753" s="34" t="n">
        <v>75016</v>
      </c>
      <c r="O1753" s="35" t="s">
        <v>55</v>
      </c>
      <c r="P1753" s="36" t="s">
        <v>9759</v>
      </c>
      <c r="Q1753" s="36" t="n">
        <v>1</v>
      </c>
      <c r="R1753" s="32" t="n">
        <v>43</v>
      </c>
      <c r="S1753" s="32" t="n">
        <v>1</v>
      </c>
      <c r="T1753" s="43" t="s">
        <v>1107</v>
      </c>
      <c r="U1753" s="32"/>
      <c r="V1753" s="37" t="n">
        <v>3</v>
      </c>
      <c r="W1753" s="32"/>
      <c r="X1753" s="34"/>
      <c r="Y1753" s="34"/>
      <c r="Z1753" s="36"/>
      <c r="AA1753" s="32" t="s">
        <v>9760</v>
      </c>
      <c r="AB1753" s="32"/>
      <c r="AC1753" s="38" t="str">
        <f aca="false">HYPERLINK("https://biocodex6--c.vf.force.com/0014L00000KFUZQQA5", "BAUP EMILIE")</f>
        <v>BAUP EMILIE</v>
      </c>
      <c r="AD1753" s="38"/>
      <c r="AE1753" s="39"/>
      <c r="AF1753" s="40"/>
      <c r="AG1753" s="41"/>
      <c r="AH1753" s="32" t="s">
        <v>179</v>
      </c>
      <c r="AI1753" s="32"/>
      <c r="AL1753" s="32"/>
      <c r="AM1753" s="32"/>
      <c r="AN1753" s="32"/>
      <c r="AO1753" s="32"/>
      <c r="AP1753" s="32"/>
      <c r="AQ1753" s="32"/>
      <c r="AR1753" s="32"/>
      <c r="AS1753" s="32"/>
      <c r="AT1753" s="32"/>
      <c r="AU1753" s="32"/>
      <c r="XEY1753" s="27"/>
      <c r="XEZ1753" s="27"/>
      <c r="XFA1753" s="27"/>
      <c r="XFB1753" s="27"/>
      <c r="XFC1753" s="27"/>
      <c r="XFD1753" s="27"/>
    </row>
    <row r="1754" s="42" customFormat="true" ht="14.15" hidden="false" customHeight="true" outlineLevel="0" collapsed="false">
      <c r="A1754" s="28" t="s">
        <v>9761</v>
      </c>
      <c r="B1754" s="29" t="s">
        <v>1304</v>
      </c>
      <c r="C1754" s="29" t="s">
        <v>9762</v>
      </c>
      <c r="D1754" s="30" t="s">
        <v>244</v>
      </c>
      <c r="E1754" s="30" t="s">
        <v>245</v>
      </c>
      <c r="F1754" s="32" t="n">
        <v>37</v>
      </c>
      <c r="G1754" s="31"/>
      <c r="H1754" s="31" t="n">
        <v>2</v>
      </c>
      <c r="I1754" s="31" t="s">
        <v>77</v>
      </c>
      <c r="J1754" s="29" t="s">
        <v>580</v>
      </c>
      <c r="K1754" s="29" t="s">
        <v>581</v>
      </c>
      <c r="L1754" s="32" t="n">
        <v>63</v>
      </c>
      <c r="M1754" s="33" t="s">
        <v>80</v>
      </c>
      <c r="N1754" s="34" t="n">
        <v>92200</v>
      </c>
      <c r="O1754" s="35" t="s">
        <v>81</v>
      </c>
      <c r="P1754" s="36" t="s">
        <v>1189</v>
      </c>
      <c r="Q1754" s="36" t="n">
        <v>39</v>
      </c>
      <c r="R1754" s="32" t="n">
        <v>43</v>
      </c>
      <c r="S1754" s="32" t="n">
        <v>1</v>
      </c>
      <c r="T1754" s="32"/>
      <c r="U1754" s="32"/>
      <c r="V1754" s="37"/>
      <c r="W1754" s="32"/>
      <c r="X1754" s="34"/>
      <c r="Y1754" s="34"/>
      <c r="Z1754" s="36"/>
      <c r="AA1754" s="32" t="s">
        <v>9763</v>
      </c>
      <c r="AB1754" s="32"/>
      <c r="AC1754" s="38" t="str">
        <f aca="false">HYPERLINK("https://biocodex6--c.vf.force.com/0014L00000KFPP0QAP", "GEORGES PICOT PAULINE")</f>
        <v>GEORGES PICOT PAULINE</v>
      </c>
      <c r="AD1754" s="38"/>
      <c r="AE1754" s="39"/>
      <c r="AF1754" s="40"/>
      <c r="AG1754" s="41"/>
      <c r="AH1754" s="32" t="s">
        <v>179</v>
      </c>
      <c r="AI1754" s="32"/>
      <c r="AL1754" s="32"/>
      <c r="AM1754" s="32"/>
      <c r="AN1754" s="32"/>
      <c r="AO1754" s="32"/>
      <c r="AP1754" s="32"/>
      <c r="AQ1754" s="32"/>
      <c r="AR1754" s="32"/>
      <c r="AS1754" s="32"/>
      <c r="AT1754" s="32"/>
      <c r="AU1754" s="32"/>
      <c r="XEY1754" s="27"/>
      <c r="XEZ1754" s="27"/>
      <c r="XFA1754" s="27"/>
      <c r="XFB1754" s="27"/>
      <c r="XFC1754" s="27"/>
      <c r="XFD1754" s="27"/>
    </row>
    <row r="1755" s="42" customFormat="true" ht="14.15" hidden="false" customHeight="true" outlineLevel="0" collapsed="false">
      <c r="A1755" s="28" t="s">
        <v>9764</v>
      </c>
      <c r="B1755" s="29" t="s">
        <v>4691</v>
      </c>
      <c r="C1755" s="29" t="s">
        <v>9765</v>
      </c>
      <c r="D1755" s="30" t="s">
        <v>172</v>
      </c>
      <c r="E1755" s="31"/>
      <c r="F1755" s="32" t="n">
        <v>56</v>
      </c>
      <c r="G1755" s="31"/>
      <c r="H1755" s="31" t="n">
        <v>1</v>
      </c>
      <c r="I1755" s="31" t="s">
        <v>77</v>
      </c>
      <c r="J1755" s="29" t="s">
        <v>3704</v>
      </c>
      <c r="K1755" s="29" t="s">
        <v>3705</v>
      </c>
      <c r="L1755" s="32" t="n">
        <v>40</v>
      </c>
      <c r="M1755" s="33" t="s">
        <v>3706</v>
      </c>
      <c r="N1755" s="34" t="n">
        <v>92200</v>
      </c>
      <c r="O1755" s="35" t="s">
        <v>81</v>
      </c>
      <c r="P1755" s="36" t="s">
        <v>8809</v>
      </c>
      <c r="Q1755" s="36" t="n">
        <v>4</v>
      </c>
      <c r="R1755" s="32" t="n">
        <v>43</v>
      </c>
      <c r="S1755" s="32" t="n">
        <v>1</v>
      </c>
      <c r="T1755" s="43" t="s">
        <v>316</v>
      </c>
      <c r="U1755" s="32"/>
      <c r="V1755" s="37"/>
      <c r="W1755" s="32"/>
      <c r="X1755" s="34"/>
      <c r="Y1755" s="34"/>
      <c r="Z1755" s="36"/>
      <c r="AA1755" s="32" t="s">
        <v>9766</v>
      </c>
      <c r="AB1755" s="32"/>
      <c r="AC1755" s="38" t="str">
        <f aca="false">HYPERLINK("https://biocodex6--c.vf.force.com/0014L00000KFg5lQAD", "BACHA MOHAMED")</f>
        <v>BACHA MOHAMED</v>
      </c>
      <c r="AD1755" s="38"/>
      <c r="AE1755" s="39"/>
      <c r="AF1755" s="40"/>
      <c r="AG1755" s="41"/>
      <c r="AH1755" s="32" t="s">
        <v>179</v>
      </c>
      <c r="AI1755" s="32"/>
      <c r="AL1755" s="32"/>
      <c r="AM1755" s="32"/>
      <c r="AN1755" s="32"/>
      <c r="AO1755" s="32"/>
      <c r="AP1755" s="32"/>
      <c r="AQ1755" s="32"/>
      <c r="AR1755" s="32"/>
      <c r="AS1755" s="32"/>
      <c r="AT1755" s="32"/>
      <c r="AU1755" s="32"/>
      <c r="XEY1755" s="27"/>
      <c r="XEZ1755" s="27"/>
      <c r="XFA1755" s="27"/>
      <c r="XFB1755" s="27"/>
      <c r="XFC1755" s="27"/>
      <c r="XFD1755" s="27"/>
    </row>
    <row r="1756" s="42" customFormat="true" ht="14.15" hidden="false" customHeight="true" outlineLevel="0" collapsed="false">
      <c r="A1756" s="28" t="s">
        <v>9767</v>
      </c>
      <c r="B1756" s="29" t="s">
        <v>1270</v>
      </c>
      <c r="C1756" s="29" t="s">
        <v>9768</v>
      </c>
      <c r="D1756" s="30" t="s">
        <v>172</v>
      </c>
      <c r="E1756" s="31"/>
      <c r="F1756" s="32" t="n">
        <v>60</v>
      </c>
      <c r="G1756" s="31"/>
      <c r="H1756" s="31" t="n">
        <v>1</v>
      </c>
      <c r="I1756" s="31" t="s">
        <v>119</v>
      </c>
      <c r="J1756" s="29"/>
      <c r="K1756" s="29" t="s">
        <v>9769</v>
      </c>
      <c r="L1756" s="32" t="n">
        <v>12</v>
      </c>
      <c r="M1756" s="33" t="s">
        <v>9770</v>
      </c>
      <c r="N1756" s="34" t="n">
        <v>75007</v>
      </c>
      <c r="O1756" s="35" t="s">
        <v>55</v>
      </c>
      <c r="P1756" s="36" t="s">
        <v>9771</v>
      </c>
      <c r="Q1756" s="36" t="n">
        <v>2</v>
      </c>
      <c r="R1756" s="32" t="n">
        <v>42</v>
      </c>
      <c r="S1756" s="32" t="n">
        <v>1</v>
      </c>
      <c r="T1756" s="43" t="s">
        <v>316</v>
      </c>
      <c r="U1756" s="32"/>
      <c r="V1756" s="37"/>
      <c r="W1756" s="32"/>
      <c r="X1756" s="34"/>
      <c r="Y1756" s="34"/>
      <c r="Z1756" s="36"/>
      <c r="AA1756" s="32" t="s">
        <v>9772</v>
      </c>
      <c r="AB1756" s="32"/>
      <c r="AC1756" s="38" t="str">
        <f aca="false">HYPERLINK("https://biocodex6--c.vf.force.com/0014L00000KFZRuQAP", "DUMONT NOWAK ANNE MARIE")</f>
        <v>DUMONT NOWAK ANNE MARIE</v>
      </c>
      <c r="AD1756" s="38"/>
      <c r="AE1756" s="39"/>
      <c r="AF1756" s="40"/>
      <c r="AG1756" s="41"/>
      <c r="AH1756" s="32" t="s">
        <v>179</v>
      </c>
      <c r="AI1756" s="32"/>
      <c r="AL1756" s="32"/>
      <c r="AM1756" s="32"/>
      <c r="AN1756" s="32"/>
      <c r="AO1756" s="32"/>
      <c r="AP1756" s="32"/>
      <c r="AQ1756" s="32"/>
      <c r="AR1756" s="32"/>
      <c r="AS1756" s="32"/>
      <c r="AT1756" s="32"/>
      <c r="AU1756" s="32"/>
      <c r="XEY1756" s="27"/>
      <c r="XEZ1756" s="27"/>
      <c r="XFA1756" s="27"/>
      <c r="XFB1756" s="27"/>
      <c r="XFC1756" s="27"/>
      <c r="XFD1756" s="27"/>
    </row>
    <row r="1757" s="42" customFormat="true" ht="14.15" hidden="false" customHeight="true" outlineLevel="0" collapsed="false">
      <c r="A1757" s="28" t="s">
        <v>9773</v>
      </c>
      <c r="B1757" s="29" t="s">
        <v>3439</v>
      </c>
      <c r="C1757" s="29" t="s">
        <v>9774</v>
      </c>
      <c r="D1757" s="30" t="s">
        <v>172</v>
      </c>
      <c r="E1757" s="30" t="s">
        <v>818</v>
      </c>
      <c r="F1757" s="32" t="n">
        <v>65</v>
      </c>
      <c r="G1757" s="31"/>
      <c r="H1757" s="31" t="n">
        <v>1</v>
      </c>
      <c r="I1757" s="31" t="s">
        <v>119</v>
      </c>
      <c r="J1757" s="29" t="s">
        <v>9400</v>
      </c>
      <c r="K1757" s="29" t="s">
        <v>9401</v>
      </c>
      <c r="L1757" s="32" t="n">
        <v>39</v>
      </c>
      <c r="M1757" s="33" t="s">
        <v>6202</v>
      </c>
      <c r="N1757" s="34" t="n">
        <v>75007</v>
      </c>
      <c r="O1757" s="35" t="s">
        <v>55</v>
      </c>
      <c r="P1757" s="36" t="s">
        <v>9402</v>
      </c>
      <c r="Q1757" s="36" t="n">
        <v>5</v>
      </c>
      <c r="R1757" s="32" t="n">
        <v>42</v>
      </c>
      <c r="S1757" s="32" t="n">
        <v>1</v>
      </c>
      <c r="T1757" s="43" t="s">
        <v>316</v>
      </c>
      <c r="U1757" s="32"/>
      <c r="V1757" s="37"/>
      <c r="W1757" s="32"/>
      <c r="X1757" s="34"/>
      <c r="Y1757" s="34"/>
      <c r="Z1757" s="36"/>
      <c r="AA1757" s="32" t="s">
        <v>9775</v>
      </c>
      <c r="AB1757" s="32"/>
      <c r="AC1757" s="38" t="str">
        <f aca="false">HYPERLINK("https://biocodex6--c.vf.force.com/0014L00000KFsBuQAL", "MOINS PASCALE")</f>
        <v>MOINS PASCALE</v>
      </c>
      <c r="AD1757" s="38"/>
      <c r="AE1757" s="39"/>
      <c r="AF1757" s="40"/>
      <c r="AG1757" s="41"/>
      <c r="AH1757" s="32" t="s">
        <v>179</v>
      </c>
      <c r="AI1757" s="32"/>
      <c r="AL1757" s="32"/>
      <c r="AM1757" s="32"/>
      <c r="AN1757" s="32"/>
      <c r="AO1757" s="32"/>
      <c r="AP1757" s="32"/>
      <c r="AQ1757" s="32"/>
      <c r="AR1757" s="32"/>
      <c r="AS1757" s="32"/>
      <c r="AT1757" s="32"/>
      <c r="AU1757" s="32"/>
      <c r="XEY1757" s="27"/>
      <c r="XEZ1757" s="27"/>
      <c r="XFA1757" s="27"/>
      <c r="XFB1757" s="27"/>
      <c r="XFC1757" s="27"/>
      <c r="XFD1757" s="27"/>
    </row>
    <row r="1758" s="42" customFormat="true" ht="14.15" hidden="false" customHeight="true" outlineLevel="0" collapsed="false">
      <c r="A1758" s="28" t="s">
        <v>9776</v>
      </c>
      <c r="B1758" s="29" t="s">
        <v>619</v>
      </c>
      <c r="C1758" s="29" t="s">
        <v>9777</v>
      </c>
      <c r="D1758" s="30" t="s">
        <v>112</v>
      </c>
      <c r="E1758" s="30" t="s">
        <v>245</v>
      </c>
      <c r="F1758" s="32" t="n">
        <v>36</v>
      </c>
      <c r="G1758" s="31"/>
      <c r="H1758" s="31" t="n">
        <v>1</v>
      </c>
      <c r="I1758" s="31" t="s">
        <v>51</v>
      </c>
      <c r="J1758" s="29" t="s">
        <v>52</v>
      </c>
      <c r="K1758" s="29" t="s">
        <v>53</v>
      </c>
      <c r="L1758" s="32" t="n">
        <v>149</v>
      </c>
      <c r="M1758" s="33" t="s">
        <v>54</v>
      </c>
      <c r="N1758" s="34" t="n">
        <v>75015</v>
      </c>
      <c r="O1758" s="35" t="s">
        <v>55</v>
      </c>
      <c r="P1758" s="36" t="s">
        <v>4610</v>
      </c>
      <c r="Q1758" s="36" t="n">
        <v>236</v>
      </c>
      <c r="R1758" s="32" t="n">
        <v>42</v>
      </c>
      <c r="S1758" s="32" t="n">
        <v>1</v>
      </c>
      <c r="T1758" s="32"/>
      <c r="U1758" s="32"/>
      <c r="V1758" s="37"/>
      <c r="W1758" s="32"/>
      <c r="X1758" s="34"/>
      <c r="Y1758" s="34"/>
      <c r="Z1758" s="36"/>
      <c r="AA1758" s="32" t="s">
        <v>9778</v>
      </c>
      <c r="AB1758" s="32"/>
      <c r="AC1758" s="38" t="str">
        <f aca="false">HYPERLINK("https://biocodex6--c.vf.force.com/0014L00000KG9iHQAT", "DE MARCELLUS CHARLES")</f>
        <v>DE MARCELLUS CHARLES</v>
      </c>
      <c r="AD1758" s="38"/>
      <c r="AE1758" s="39"/>
      <c r="AF1758" s="40"/>
      <c r="AG1758" s="41"/>
      <c r="AH1758" s="32" t="s">
        <v>179</v>
      </c>
      <c r="AI1758" s="32"/>
      <c r="AL1758" s="32"/>
      <c r="AM1758" s="32"/>
      <c r="AN1758" s="32"/>
      <c r="AO1758" s="32"/>
      <c r="AP1758" s="32"/>
      <c r="AQ1758" s="32"/>
      <c r="AR1758" s="32"/>
      <c r="AS1758" s="32"/>
      <c r="AT1758" s="32"/>
      <c r="AU1758" s="32"/>
      <c r="XEY1758" s="27"/>
      <c r="XEZ1758" s="27"/>
      <c r="XFA1758" s="27"/>
      <c r="XFB1758" s="27"/>
      <c r="XFC1758" s="27"/>
      <c r="XFD1758" s="27"/>
    </row>
    <row r="1759" s="42" customFormat="true" ht="14.15" hidden="false" customHeight="true" outlineLevel="0" collapsed="false">
      <c r="A1759" s="28" t="s">
        <v>9779</v>
      </c>
      <c r="B1759" s="29" t="s">
        <v>9780</v>
      </c>
      <c r="C1759" s="29" t="s">
        <v>9781</v>
      </c>
      <c r="D1759" s="30" t="s">
        <v>1103</v>
      </c>
      <c r="E1759" s="31"/>
      <c r="F1759" s="32" t="n">
        <v>52</v>
      </c>
      <c r="G1759" s="31"/>
      <c r="H1759" s="31" t="n">
        <v>2</v>
      </c>
      <c r="I1759" s="31" t="s">
        <v>51</v>
      </c>
      <c r="J1759" s="29" t="s">
        <v>52</v>
      </c>
      <c r="K1759" s="29" t="s">
        <v>53</v>
      </c>
      <c r="L1759" s="32" t="n">
        <v>149</v>
      </c>
      <c r="M1759" s="33" t="s">
        <v>54</v>
      </c>
      <c r="N1759" s="34" t="n">
        <v>75015</v>
      </c>
      <c r="O1759" s="35" t="s">
        <v>55</v>
      </c>
      <c r="P1759" s="36" t="s">
        <v>1609</v>
      </c>
      <c r="Q1759" s="36" t="n">
        <v>236</v>
      </c>
      <c r="R1759" s="32" t="n">
        <v>42</v>
      </c>
      <c r="S1759" s="32" t="n">
        <v>1</v>
      </c>
      <c r="T1759" s="43" t="s">
        <v>316</v>
      </c>
      <c r="U1759" s="32" t="n">
        <v>3</v>
      </c>
      <c r="V1759" s="37"/>
      <c r="W1759" s="32" t="n">
        <v>3</v>
      </c>
      <c r="X1759" s="34"/>
      <c r="Y1759" s="34" t="n">
        <v>1</v>
      </c>
      <c r="Z1759" s="36" t="s">
        <v>9782</v>
      </c>
      <c r="AA1759" s="32" t="s">
        <v>9783</v>
      </c>
      <c r="AB1759" s="44"/>
      <c r="AC1759" s="38" t="str">
        <f aca="false">HYPERLINK("https://biocodex6--c.vf.force.com/0014L00000KFUgPQAX", "BEAUQUIER MACCOTTA BERANGERE")</f>
        <v>BEAUQUIER MACCOTTA BERANGERE</v>
      </c>
      <c r="AD1759" s="38"/>
      <c r="AE1759" s="39"/>
      <c r="AF1759" s="40"/>
      <c r="AG1759" s="41"/>
      <c r="AH1759" s="32" t="s">
        <v>179</v>
      </c>
      <c r="AI1759" s="32"/>
      <c r="AJ1759" s="42" t="s">
        <v>8695</v>
      </c>
      <c r="AL1759" s="32"/>
      <c r="AM1759" s="32"/>
      <c r="AN1759" s="32"/>
      <c r="AO1759" s="32"/>
      <c r="AP1759" s="32"/>
      <c r="AQ1759" s="32"/>
      <c r="AR1759" s="32"/>
      <c r="AS1759" s="32"/>
      <c r="AT1759" s="32"/>
      <c r="AU1759" s="32"/>
      <c r="XEY1759" s="27"/>
      <c r="XEZ1759" s="27"/>
      <c r="XFA1759" s="27"/>
      <c r="XFB1759" s="27"/>
      <c r="XFC1759" s="27"/>
      <c r="XFD1759" s="27"/>
    </row>
    <row r="1760" s="42" customFormat="true" ht="14.15" hidden="false" customHeight="true" outlineLevel="0" collapsed="false">
      <c r="A1760" s="28" t="s">
        <v>9784</v>
      </c>
      <c r="B1760" s="29" t="s">
        <v>560</v>
      </c>
      <c r="C1760" s="29" t="s">
        <v>9785</v>
      </c>
      <c r="D1760" s="30" t="s">
        <v>1103</v>
      </c>
      <c r="E1760" s="31"/>
      <c r="F1760" s="32" t="n">
        <v>64</v>
      </c>
      <c r="G1760" s="31"/>
      <c r="H1760" s="31" t="n">
        <v>1</v>
      </c>
      <c r="I1760" s="31" t="s">
        <v>51</v>
      </c>
      <c r="J1760" s="29" t="s">
        <v>52</v>
      </c>
      <c r="K1760" s="29" t="s">
        <v>53</v>
      </c>
      <c r="L1760" s="32" t="n">
        <v>149</v>
      </c>
      <c r="M1760" s="33" t="s">
        <v>54</v>
      </c>
      <c r="N1760" s="34" t="n">
        <v>75015</v>
      </c>
      <c r="O1760" s="35" t="s">
        <v>55</v>
      </c>
      <c r="P1760" s="36" t="s">
        <v>269</v>
      </c>
      <c r="Q1760" s="36" t="n">
        <v>236</v>
      </c>
      <c r="R1760" s="32" t="n">
        <v>42</v>
      </c>
      <c r="S1760" s="32" t="n">
        <v>1</v>
      </c>
      <c r="T1760" s="43" t="s">
        <v>316</v>
      </c>
      <c r="U1760" s="32" t="n">
        <v>3</v>
      </c>
      <c r="V1760" s="37"/>
      <c r="W1760" s="32" t="n">
        <v>3</v>
      </c>
      <c r="X1760" s="34"/>
      <c r="Y1760" s="34" t="n">
        <v>1</v>
      </c>
      <c r="Z1760" s="36" t="s">
        <v>9786</v>
      </c>
      <c r="AA1760" s="32" t="s">
        <v>9787</v>
      </c>
      <c r="AB1760" s="44"/>
      <c r="AC1760" s="38" t="str">
        <f aca="false">HYPERLINK("https://biocodex6--c.vf.force.com/0014L00000KFuIlQAL", "OUSS RYNGAERT ELISABETH")</f>
        <v>OUSS RYNGAERT ELISABETH</v>
      </c>
      <c r="AD1760" s="38"/>
      <c r="AE1760" s="39"/>
      <c r="AF1760" s="40"/>
      <c r="AG1760" s="41"/>
      <c r="AH1760" s="32" t="s">
        <v>179</v>
      </c>
      <c r="AI1760" s="32"/>
      <c r="AL1760" s="32"/>
      <c r="AM1760" s="32"/>
      <c r="AN1760" s="32"/>
      <c r="AO1760" s="32"/>
      <c r="AP1760" s="32"/>
      <c r="AQ1760" s="32"/>
      <c r="AR1760" s="32"/>
      <c r="AS1760" s="32"/>
      <c r="AT1760" s="32"/>
      <c r="AU1760" s="32"/>
      <c r="XEY1760" s="27"/>
      <c r="XEZ1760" s="27"/>
      <c r="XFA1760" s="27"/>
      <c r="XFB1760" s="27"/>
      <c r="XFC1760" s="27"/>
      <c r="XFD1760" s="27"/>
    </row>
    <row r="1761" s="42" customFormat="true" ht="14.15" hidden="false" customHeight="true" outlineLevel="0" collapsed="false">
      <c r="A1761" s="28" t="s">
        <v>9788</v>
      </c>
      <c r="B1761" s="29" t="s">
        <v>9789</v>
      </c>
      <c r="C1761" s="29" t="s">
        <v>9790</v>
      </c>
      <c r="D1761" s="30" t="s">
        <v>1103</v>
      </c>
      <c r="E1761" s="31"/>
      <c r="F1761" s="32" t="n">
        <v>51</v>
      </c>
      <c r="G1761" s="31"/>
      <c r="H1761" s="31" t="n">
        <v>1</v>
      </c>
      <c r="I1761" s="31" t="s">
        <v>51</v>
      </c>
      <c r="J1761" s="29" t="s">
        <v>52</v>
      </c>
      <c r="K1761" s="29" t="s">
        <v>53</v>
      </c>
      <c r="L1761" s="32" t="n">
        <v>149</v>
      </c>
      <c r="M1761" s="33" t="s">
        <v>54</v>
      </c>
      <c r="N1761" s="34" t="n">
        <v>75015</v>
      </c>
      <c r="O1761" s="35" t="s">
        <v>55</v>
      </c>
      <c r="P1761" s="36" t="s">
        <v>1609</v>
      </c>
      <c r="Q1761" s="36" t="n">
        <v>236</v>
      </c>
      <c r="R1761" s="32" t="n">
        <v>42</v>
      </c>
      <c r="S1761" s="32" t="n">
        <v>1</v>
      </c>
      <c r="T1761" s="43" t="s">
        <v>316</v>
      </c>
      <c r="U1761" s="32"/>
      <c r="V1761" s="37"/>
      <c r="W1761" s="32"/>
      <c r="X1761" s="34"/>
      <c r="Y1761" s="34"/>
      <c r="Z1761" s="36"/>
      <c r="AA1761" s="32" t="s">
        <v>9791</v>
      </c>
      <c r="AB1761" s="32"/>
      <c r="AC1761" s="38" t="str">
        <f aca="false">HYPERLINK("https://biocodex6--c.vf.force.com/0014L00000KG5A1QAL", "VELASQUEZ PAOLA")</f>
        <v>VELASQUEZ PAOLA</v>
      </c>
      <c r="AD1761" s="38"/>
      <c r="AE1761" s="39"/>
      <c r="AF1761" s="40"/>
      <c r="AG1761" s="41"/>
      <c r="AH1761" s="32" t="s">
        <v>179</v>
      </c>
      <c r="AI1761" s="32"/>
      <c r="AJ1761" s="42" t="s">
        <v>8695</v>
      </c>
      <c r="AL1761" s="32"/>
      <c r="AM1761" s="32"/>
      <c r="AN1761" s="32"/>
      <c r="AO1761" s="32"/>
      <c r="AP1761" s="32"/>
      <c r="AQ1761" s="32"/>
      <c r="AR1761" s="32"/>
      <c r="AS1761" s="32"/>
      <c r="AT1761" s="32"/>
      <c r="AU1761" s="32"/>
      <c r="XEY1761" s="27"/>
      <c r="XEZ1761" s="27"/>
      <c r="XFA1761" s="27"/>
      <c r="XFB1761" s="27"/>
      <c r="XFC1761" s="27"/>
      <c r="XFD1761" s="27"/>
    </row>
    <row r="1762" s="42" customFormat="true" ht="14.15" hidden="false" customHeight="true" outlineLevel="0" collapsed="false">
      <c r="A1762" s="28" t="s">
        <v>9792</v>
      </c>
      <c r="B1762" s="29" t="s">
        <v>1837</v>
      </c>
      <c r="C1762" s="29" t="s">
        <v>9793</v>
      </c>
      <c r="D1762" s="30" t="s">
        <v>1103</v>
      </c>
      <c r="E1762" s="31"/>
      <c r="F1762" s="32" t="n">
        <v>0</v>
      </c>
      <c r="G1762" s="31"/>
      <c r="H1762" s="31" t="n">
        <v>1</v>
      </c>
      <c r="I1762" s="31" t="s">
        <v>51</v>
      </c>
      <c r="J1762" s="29" t="s">
        <v>52</v>
      </c>
      <c r="K1762" s="29" t="s">
        <v>53</v>
      </c>
      <c r="L1762" s="32" t="n">
        <v>149</v>
      </c>
      <c r="M1762" s="33" t="s">
        <v>54</v>
      </c>
      <c r="N1762" s="34" t="n">
        <v>75015</v>
      </c>
      <c r="O1762" s="35" t="s">
        <v>55</v>
      </c>
      <c r="P1762" s="36" t="s">
        <v>1609</v>
      </c>
      <c r="Q1762" s="36" t="n">
        <v>236</v>
      </c>
      <c r="R1762" s="32" t="n">
        <v>42</v>
      </c>
      <c r="S1762" s="32" t="n">
        <v>1</v>
      </c>
      <c r="T1762" s="43" t="s">
        <v>1610</v>
      </c>
      <c r="U1762" s="32"/>
      <c r="V1762" s="37"/>
      <c r="W1762" s="32"/>
      <c r="X1762" s="34"/>
      <c r="Y1762" s="34"/>
      <c r="Z1762" s="32" t="s">
        <v>9794</v>
      </c>
      <c r="AA1762" s="32" t="s">
        <v>9795</v>
      </c>
      <c r="AB1762" s="32"/>
      <c r="AC1762" s="38" t="str">
        <f aca="false">HYPERLINK("https://biocodex6--c.vf.force.com/0014L00000KFvVYQA1", "PELLEGRIN TOUATI MARIE")</f>
        <v>PELLEGRIN TOUATI MARIE</v>
      </c>
      <c r="AD1762" s="38"/>
      <c r="AE1762" s="39"/>
      <c r="AF1762" s="40"/>
      <c r="AG1762" s="41"/>
      <c r="AH1762" s="32" t="s">
        <v>70</v>
      </c>
      <c r="AI1762" s="32"/>
      <c r="AK1762" s="42" t="s">
        <v>9796</v>
      </c>
      <c r="AL1762" s="32"/>
      <c r="AM1762" s="32"/>
      <c r="AN1762" s="32"/>
      <c r="AO1762" s="32"/>
      <c r="AP1762" s="32"/>
      <c r="AQ1762" s="32"/>
      <c r="AR1762" s="32"/>
      <c r="AS1762" s="32"/>
      <c r="AT1762" s="32"/>
      <c r="AU1762" s="32"/>
      <c r="XEY1762" s="27"/>
      <c r="XEZ1762" s="27"/>
      <c r="XFA1762" s="27"/>
      <c r="XFB1762" s="27"/>
      <c r="XFC1762" s="27"/>
      <c r="XFD1762" s="27"/>
    </row>
    <row r="1763" s="42" customFormat="true" ht="14.15" hidden="false" customHeight="true" outlineLevel="0" collapsed="false">
      <c r="A1763" s="28" t="s">
        <v>9797</v>
      </c>
      <c r="B1763" s="29" t="s">
        <v>1101</v>
      </c>
      <c r="C1763" s="29" t="s">
        <v>9798</v>
      </c>
      <c r="D1763" s="30" t="s">
        <v>172</v>
      </c>
      <c r="E1763" s="31"/>
      <c r="F1763" s="32" t="n">
        <v>66</v>
      </c>
      <c r="G1763" s="31"/>
      <c r="H1763" s="31" t="n">
        <v>1</v>
      </c>
      <c r="I1763" s="31" t="s">
        <v>51</v>
      </c>
      <c r="J1763" s="29" t="s">
        <v>850</v>
      </c>
      <c r="K1763" s="29" t="s">
        <v>851</v>
      </c>
      <c r="L1763" s="32" t="n">
        <v>178</v>
      </c>
      <c r="M1763" s="33" t="s">
        <v>852</v>
      </c>
      <c r="N1763" s="34" t="n">
        <v>75015</v>
      </c>
      <c r="O1763" s="35" t="s">
        <v>55</v>
      </c>
      <c r="P1763" s="36" t="s">
        <v>9325</v>
      </c>
      <c r="Q1763" s="36" t="n">
        <v>24</v>
      </c>
      <c r="R1763" s="32" t="n">
        <v>42</v>
      </c>
      <c r="S1763" s="32" t="n">
        <v>1</v>
      </c>
      <c r="T1763" s="43" t="s">
        <v>316</v>
      </c>
      <c r="U1763" s="32"/>
      <c r="V1763" s="37"/>
      <c r="W1763" s="32"/>
      <c r="X1763" s="34"/>
      <c r="Y1763" s="34"/>
      <c r="Z1763" s="36"/>
      <c r="AA1763" s="32" t="s">
        <v>9799</v>
      </c>
      <c r="AB1763" s="32"/>
      <c r="AC1763" s="38" t="str">
        <f aca="false">HYPERLINK("https://biocodex6--c.vf.force.com/0014L00000KFUd6QAH", "BRACHET ISABELLE")</f>
        <v>BRACHET ISABELLE</v>
      </c>
      <c r="AD1763" s="38"/>
      <c r="AE1763" s="39"/>
      <c r="AF1763" s="40"/>
      <c r="AG1763" s="41"/>
      <c r="AH1763" s="32" t="s">
        <v>179</v>
      </c>
      <c r="AI1763" s="32"/>
      <c r="AL1763" s="32"/>
      <c r="AM1763" s="32"/>
      <c r="AN1763" s="32"/>
      <c r="AO1763" s="32"/>
      <c r="AP1763" s="32"/>
      <c r="AQ1763" s="32"/>
      <c r="AR1763" s="32"/>
      <c r="AS1763" s="32"/>
      <c r="AT1763" s="32"/>
      <c r="AU1763" s="32"/>
      <c r="XEY1763" s="27"/>
      <c r="XEZ1763" s="27"/>
      <c r="XFA1763" s="27"/>
      <c r="XFB1763" s="27"/>
      <c r="XFC1763" s="27"/>
      <c r="XFD1763" s="27"/>
    </row>
    <row r="1764" s="42" customFormat="true" ht="14.15" hidden="false" customHeight="true" outlineLevel="0" collapsed="false">
      <c r="A1764" s="28" t="s">
        <v>9800</v>
      </c>
      <c r="B1764" s="29" t="s">
        <v>1502</v>
      </c>
      <c r="C1764" s="29" t="s">
        <v>9801</v>
      </c>
      <c r="D1764" s="30" t="s">
        <v>172</v>
      </c>
      <c r="E1764" s="31"/>
      <c r="F1764" s="32" t="n">
        <v>60</v>
      </c>
      <c r="G1764" s="31"/>
      <c r="H1764" s="31" t="n">
        <v>1</v>
      </c>
      <c r="I1764" s="31" t="s">
        <v>51</v>
      </c>
      <c r="J1764" s="29" t="s">
        <v>850</v>
      </c>
      <c r="K1764" s="29" t="s">
        <v>851</v>
      </c>
      <c r="L1764" s="32" t="n">
        <v>178</v>
      </c>
      <c r="M1764" s="33" t="s">
        <v>852</v>
      </c>
      <c r="N1764" s="34" t="n">
        <v>75015</v>
      </c>
      <c r="O1764" s="35" t="s">
        <v>55</v>
      </c>
      <c r="P1764" s="36" t="s">
        <v>9325</v>
      </c>
      <c r="Q1764" s="36" t="n">
        <v>24</v>
      </c>
      <c r="R1764" s="32" t="n">
        <v>42</v>
      </c>
      <c r="S1764" s="32" t="n">
        <v>1</v>
      </c>
      <c r="T1764" s="43" t="s">
        <v>316</v>
      </c>
      <c r="U1764" s="32"/>
      <c r="V1764" s="37"/>
      <c r="W1764" s="32"/>
      <c r="X1764" s="34"/>
      <c r="Y1764" s="34"/>
      <c r="Z1764" s="36"/>
      <c r="AA1764" s="32" t="s">
        <v>9802</v>
      </c>
      <c r="AB1764" s="32"/>
      <c r="AC1764" s="38" t="str">
        <f aca="false">HYPERLINK("https://biocodex6--c.vf.force.com/0014L00000KFdfbQAD", "GAUCI JEAN LUC")</f>
        <v>GAUCI JEAN LUC</v>
      </c>
      <c r="AD1764" s="38"/>
      <c r="AE1764" s="39"/>
      <c r="AF1764" s="40"/>
      <c r="AG1764" s="41"/>
      <c r="AH1764" s="32" t="s">
        <v>179</v>
      </c>
      <c r="AI1764" s="32"/>
      <c r="AL1764" s="32"/>
      <c r="AM1764" s="32"/>
      <c r="AN1764" s="32"/>
      <c r="AO1764" s="32"/>
      <c r="AP1764" s="32"/>
      <c r="AQ1764" s="32"/>
      <c r="AR1764" s="32"/>
      <c r="AS1764" s="32"/>
      <c r="AT1764" s="32"/>
      <c r="AU1764" s="32"/>
      <c r="XEY1764" s="27"/>
      <c r="XEZ1764" s="27"/>
      <c r="XFA1764" s="27"/>
      <c r="XFB1764" s="27"/>
      <c r="XFC1764" s="27"/>
      <c r="XFD1764" s="27"/>
    </row>
    <row r="1765" s="42" customFormat="true" ht="14.15" hidden="false" customHeight="true" outlineLevel="0" collapsed="false">
      <c r="A1765" s="28" t="s">
        <v>9803</v>
      </c>
      <c r="B1765" s="29" t="s">
        <v>3454</v>
      </c>
      <c r="C1765" s="29" t="s">
        <v>9804</v>
      </c>
      <c r="D1765" s="30" t="s">
        <v>172</v>
      </c>
      <c r="E1765" s="31"/>
      <c r="F1765" s="32" t="n">
        <v>57</v>
      </c>
      <c r="G1765" s="31"/>
      <c r="H1765" s="31" t="n">
        <v>1</v>
      </c>
      <c r="I1765" s="31" t="s">
        <v>51</v>
      </c>
      <c r="J1765" s="29" t="s">
        <v>850</v>
      </c>
      <c r="K1765" s="29" t="s">
        <v>851</v>
      </c>
      <c r="L1765" s="32" t="n">
        <v>178</v>
      </c>
      <c r="M1765" s="33" t="s">
        <v>852</v>
      </c>
      <c r="N1765" s="34" t="n">
        <v>75015</v>
      </c>
      <c r="O1765" s="35" t="s">
        <v>55</v>
      </c>
      <c r="P1765" s="36" t="s">
        <v>9325</v>
      </c>
      <c r="Q1765" s="36" t="n">
        <v>24</v>
      </c>
      <c r="R1765" s="32" t="n">
        <v>42</v>
      </c>
      <c r="S1765" s="32" t="n">
        <v>1</v>
      </c>
      <c r="T1765" s="43" t="s">
        <v>316</v>
      </c>
      <c r="U1765" s="32"/>
      <c r="V1765" s="37"/>
      <c r="W1765" s="32"/>
      <c r="X1765" s="34"/>
      <c r="Y1765" s="34"/>
      <c r="Z1765" s="36"/>
      <c r="AA1765" s="32" t="s">
        <v>9805</v>
      </c>
      <c r="AB1765" s="32"/>
      <c r="AC1765" s="38" t="str">
        <f aca="false">HYPERLINK("https://biocodex6--c.vf.force.com/0014L00000KFtK4QAL", "MIOCQUE DELPHINE")</f>
        <v>MIOCQUE DELPHINE</v>
      </c>
      <c r="AD1765" s="38"/>
      <c r="AE1765" s="39"/>
      <c r="AF1765" s="40"/>
      <c r="AG1765" s="41"/>
      <c r="AH1765" s="32" t="s">
        <v>179</v>
      </c>
      <c r="AI1765" s="32"/>
      <c r="AL1765" s="32"/>
      <c r="AM1765" s="32"/>
      <c r="AN1765" s="32"/>
      <c r="AO1765" s="32"/>
      <c r="AP1765" s="32"/>
      <c r="AQ1765" s="32"/>
      <c r="AR1765" s="32"/>
      <c r="AS1765" s="32"/>
      <c r="AT1765" s="32"/>
      <c r="AU1765" s="32"/>
      <c r="XEY1765" s="27"/>
      <c r="XEZ1765" s="27"/>
      <c r="XFA1765" s="27"/>
      <c r="XFB1765" s="27"/>
      <c r="XFC1765" s="27"/>
      <c r="XFD1765" s="27"/>
    </row>
    <row r="1766" s="42" customFormat="true" ht="14.15" hidden="false" customHeight="true" outlineLevel="0" collapsed="false">
      <c r="A1766" s="28" t="s">
        <v>9806</v>
      </c>
      <c r="B1766" s="29" t="s">
        <v>2505</v>
      </c>
      <c r="C1766" s="29" t="s">
        <v>9807</v>
      </c>
      <c r="D1766" s="30" t="s">
        <v>172</v>
      </c>
      <c r="E1766" s="31"/>
      <c r="F1766" s="32" t="n">
        <v>53</v>
      </c>
      <c r="G1766" s="31"/>
      <c r="H1766" s="31" t="n">
        <v>2</v>
      </c>
      <c r="I1766" s="31" t="s">
        <v>51</v>
      </c>
      <c r="J1766" s="29" t="s">
        <v>850</v>
      </c>
      <c r="K1766" s="29" t="s">
        <v>851</v>
      </c>
      <c r="L1766" s="32" t="n">
        <v>178</v>
      </c>
      <c r="M1766" s="33" t="s">
        <v>852</v>
      </c>
      <c r="N1766" s="34" t="n">
        <v>75015</v>
      </c>
      <c r="O1766" s="35" t="s">
        <v>55</v>
      </c>
      <c r="P1766" s="36" t="s">
        <v>9808</v>
      </c>
      <c r="Q1766" s="36" t="n">
        <v>24</v>
      </c>
      <c r="R1766" s="32" t="n">
        <v>42</v>
      </c>
      <c r="S1766" s="32" t="n">
        <v>1</v>
      </c>
      <c r="T1766" s="43" t="s">
        <v>316</v>
      </c>
      <c r="U1766" s="32"/>
      <c r="V1766" s="37"/>
      <c r="W1766" s="32"/>
      <c r="X1766" s="34"/>
      <c r="Y1766" s="34"/>
      <c r="Z1766" s="36"/>
      <c r="AA1766" s="32" t="s">
        <v>9809</v>
      </c>
      <c r="AB1766" s="32"/>
      <c r="AC1766" s="38" t="str">
        <f aca="false">HYPERLINK("https://biocodex6--c.vf.force.com/0014L00000KFvdiQAD", "PERDEREAU FABIENNE")</f>
        <v>PERDEREAU FABIENNE</v>
      </c>
      <c r="AD1766" s="38"/>
      <c r="AE1766" s="39"/>
      <c r="AF1766" s="40"/>
      <c r="AG1766" s="41"/>
      <c r="AH1766" s="32" t="s">
        <v>179</v>
      </c>
      <c r="AI1766" s="32"/>
      <c r="AL1766" s="32"/>
      <c r="AM1766" s="32"/>
      <c r="AN1766" s="32"/>
      <c r="AO1766" s="32"/>
      <c r="AP1766" s="32"/>
      <c r="AQ1766" s="32"/>
      <c r="AR1766" s="32"/>
      <c r="AS1766" s="32"/>
      <c r="AT1766" s="32"/>
      <c r="AU1766" s="32"/>
      <c r="XEY1766" s="27"/>
      <c r="XEZ1766" s="27"/>
      <c r="XFA1766" s="27"/>
      <c r="XFB1766" s="27"/>
      <c r="XFC1766" s="27"/>
      <c r="XFD1766" s="27"/>
    </row>
    <row r="1767" s="42" customFormat="true" ht="14.15" hidden="false" customHeight="true" outlineLevel="0" collapsed="false">
      <c r="A1767" s="28" t="s">
        <v>9810</v>
      </c>
      <c r="B1767" s="29" t="s">
        <v>1403</v>
      </c>
      <c r="C1767" s="29" t="s">
        <v>9811</v>
      </c>
      <c r="D1767" s="30" t="s">
        <v>172</v>
      </c>
      <c r="E1767" s="30" t="s">
        <v>818</v>
      </c>
      <c r="F1767" s="32" t="n">
        <v>72</v>
      </c>
      <c r="G1767" s="31"/>
      <c r="H1767" s="31" t="n">
        <v>1</v>
      </c>
      <c r="I1767" s="31" t="s">
        <v>51</v>
      </c>
      <c r="J1767" s="29" t="s">
        <v>850</v>
      </c>
      <c r="K1767" s="29" t="s">
        <v>851</v>
      </c>
      <c r="L1767" s="32" t="n">
        <v>178</v>
      </c>
      <c r="M1767" s="33" t="s">
        <v>852</v>
      </c>
      <c r="N1767" s="34" t="n">
        <v>75015</v>
      </c>
      <c r="O1767" s="35" t="s">
        <v>55</v>
      </c>
      <c r="P1767" s="36" t="s">
        <v>9325</v>
      </c>
      <c r="Q1767" s="36" t="n">
        <v>24</v>
      </c>
      <c r="R1767" s="32" t="n">
        <v>42</v>
      </c>
      <c r="S1767" s="32" t="n">
        <v>1</v>
      </c>
      <c r="T1767" s="43" t="s">
        <v>1107</v>
      </c>
      <c r="U1767" s="32" t="n">
        <v>3</v>
      </c>
      <c r="V1767" s="37"/>
      <c r="W1767" s="32"/>
      <c r="X1767" s="34"/>
      <c r="Y1767" s="34"/>
      <c r="Z1767" s="36"/>
      <c r="AA1767" s="32" t="s">
        <v>9812</v>
      </c>
      <c r="AB1767" s="32"/>
      <c r="AC1767" s="38" t="str">
        <f aca="false">HYPERLINK("https://biocodex6--c.vf.force.com/0014L00000KFy35QAD", "REMY LEVI STRAUSS BRIGITTE")</f>
        <v>REMY LEVI STRAUSS BRIGITTE</v>
      </c>
      <c r="AD1767" s="38"/>
      <c r="AE1767" s="39"/>
      <c r="AF1767" s="40"/>
      <c r="AG1767" s="41"/>
      <c r="AH1767" s="32" t="s">
        <v>179</v>
      </c>
      <c r="AI1767" s="32"/>
      <c r="AL1767" s="32"/>
      <c r="AM1767" s="32"/>
      <c r="AN1767" s="32"/>
      <c r="AO1767" s="32"/>
      <c r="AP1767" s="32"/>
      <c r="AQ1767" s="32"/>
      <c r="AR1767" s="32"/>
      <c r="AS1767" s="32"/>
      <c r="AT1767" s="32"/>
      <c r="AU1767" s="32"/>
      <c r="XEY1767" s="27"/>
      <c r="XEZ1767" s="27"/>
      <c r="XFA1767" s="27"/>
      <c r="XFB1767" s="27"/>
      <c r="XFC1767" s="27"/>
      <c r="XFD1767" s="27"/>
    </row>
    <row r="1768" s="42" customFormat="true" ht="14.15" hidden="false" customHeight="true" outlineLevel="0" collapsed="false">
      <c r="A1768" s="28" t="s">
        <v>9813</v>
      </c>
      <c r="B1768" s="29" t="s">
        <v>1736</v>
      </c>
      <c r="C1768" s="29" t="s">
        <v>9814</v>
      </c>
      <c r="D1768" s="30" t="s">
        <v>172</v>
      </c>
      <c r="E1768" s="31"/>
      <c r="F1768" s="32" t="n">
        <v>68</v>
      </c>
      <c r="G1768" s="31"/>
      <c r="H1768" s="31" t="n">
        <v>1</v>
      </c>
      <c r="I1768" s="31" t="s">
        <v>51</v>
      </c>
      <c r="J1768" s="29" t="s">
        <v>850</v>
      </c>
      <c r="K1768" s="29" t="s">
        <v>851</v>
      </c>
      <c r="L1768" s="32" t="n">
        <v>178</v>
      </c>
      <c r="M1768" s="33" t="s">
        <v>852</v>
      </c>
      <c r="N1768" s="34" t="n">
        <v>75015</v>
      </c>
      <c r="O1768" s="35" t="s">
        <v>55</v>
      </c>
      <c r="P1768" s="36" t="s">
        <v>9325</v>
      </c>
      <c r="Q1768" s="36" t="n">
        <v>24</v>
      </c>
      <c r="R1768" s="32" t="n">
        <v>42</v>
      </c>
      <c r="S1768" s="32" t="n">
        <v>1</v>
      </c>
      <c r="T1768" s="43" t="s">
        <v>316</v>
      </c>
      <c r="U1768" s="32"/>
      <c r="V1768" s="37"/>
      <c r="W1768" s="32"/>
      <c r="X1768" s="34"/>
      <c r="Y1768" s="34"/>
      <c r="Z1768" s="36"/>
      <c r="AA1768" s="32" t="s">
        <v>9815</v>
      </c>
      <c r="AB1768" s="32"/>
      <c r="AC1768" s="38" t="str">
        <f aca="false">HYPERLINK("https://biocodex6--c.vf.force.com/0014L00000KG6ASQA1", "ZERBIB JEAN PAUL")</f>
        <v>ZERBIB JEAN PAUL</v>
      </c>
      <c r="AD1768" s="38"/>
      <c r="AE1768" s="39"/>
      <c r="AF1768" s="40"/>
      <c r="AG1768" s="41"/>
      <c r="AH1768" s="32" t="s">
        <v>179</v>
      </c>
      <c r="AI1768" s="32"/>
      <c r="AL1768" s="32"/>
      <c r="AM1768" s="32"/>
      <c r="AN1768" s="32"/>
      <c r="AO1768" s="32"/>
      <c r="AP1768" s="32"/>
      <c r="AQ1768" s="32"/>
      <c r="AR1768" s="32"/>
      <c r="AS1768" s="32"/>
      <c r="AT1768" s="32"/>
      <c r="AU1768" s="32"/>
      <c r="XEY1768" s="27"/>
      <c r="XEZ1768" s="27"/>
      <c r="XFA1768" s="27"/>
      <c r="XFB1768" s="27"/>
      <c r="XFC1768" s="27"/>
      <c r="XFD1768" s="27"/>
    </row>
    <row r="1769" s="42" customFormat="true" ht="14.15" hidden="false" customHeight="true" outlineLevel="0" collapsed="false">
      <c r="A1769" s="28" t="s">
        <v>9816</v>
      </c>
      <c r="B1769" s="29" t="s">
        <v>1156</v>
      </c>
      <c r="C1769" s="29" t="s">
        <v>9817</v>
      </c>
      <c r="D1769" s="30" t="s">
        <v>172</v>
      </c>
      <c r="E1769" s="31"/>
      <c r="F1769" s="32" t="n">
        <v>39</v>
      </c>
      <c r="G1769" s="31"/>
      <c r="H1769" s="31" t="n">
        <v>1</v>
      </c>
      <c r="I1769" s="31" t="s">
        <v>99</v>
      </c>
      <c r="J1769" s="29"/>
      <c r="K1769" s="29" t="s">
        <v>9818</v>
      </c>
      <c r="L1769" s="32" t="n">
        <v>18</v>
      </c>
      <c r="M1769" s="33" t="s">
        <v>9819</v>
      </c>
      <c r="N1769" s="34" t="n">
        <v>75015</v>
      </c>
      <c r="O1769" s="35" t="s">
        <v>55</v>
      </c>
      <c r="P1769" s="36" t="s">
        <v>9820</v>
      </c>
      <c r="Q1769" s="36" t="n">
        <v>1</v>
      </c>
      <c r="R1769" s="32" t="n">
        <v>41</v>
      </c>
      <c r="S1769" s="32" t="n">
        <v>1</v>
      </c>
      <c r="T1769" s="43" t="s">
        <v>316</v>
      </c>
      <c r="U1769" s="32"/>
      <c r="V1769" s="37"/>
      <c r="W1769" s="32"/>
      <c r="X1769" s="34"/>
      <c r="Y1769" s="34"/>
      <c r="Z1769" s="36"/>
      <c r="AA1769" s="32" t="s">
        <v>9821</v>
      </c>
      <c r="AB1769" s="32"/>
      <c r="AC1769" s="38" t="str">
        <f aca="false">HYPERLINK("https://biocodex6--c.vf.force.com/0014L00000KFrE3QAL", "MARTINOT CELINE")</f>
        <v>MARTINOT CELINE</v>
      </c>
      <c r="AD1769" s="38"/>
      <c r="AE1769" s="39"/>
      <c r="AF1769" s="40"/>
      <c r="AG1769" s="41"/>
      <c r="AH1769" s="32" t="s">
        <v>179</v>
      </c>
      <c r="AI1769" s="32"/>
      <c r="AL1769" s="32"/>
      <c r="AM1769" s="32"/>
      <c r="AN1769" s="32"/>
      <c r="AO1769" s="32"/>
      <c r="AP1769" s="32"/>
      <c r="AQ1769" s="32"/>
      <c r="AR1769" s="32"/>
      <c r="AS1769" s="32"/>
      <c r="AT1769" s="32"/>
      <c r="AU1769" s="32"/>
      <c r="XEY1769" s="27"/>
      <c r="XEZ1769" s="27"/>
      <c r="XFA1769" s="27"/>
      <c r="XFB1769" s="27"/>
      <c r="XFC1769" s="27"/>
      <c r="XFD1769" s="27"/>
    </row>
    <row r="1770" s="42" customFormat="true" ht="14.15" hidden="false" customHeight="true" outlineLevel="0" collapsed="false">
      <c r="A1770" s="28" t="s">
        <v>5031</v>
      </c>
      <c r="B1770" s="29" t="s">
        <v>612</v>
      </c>
      <c r="C1770" s="29" t="s">
        <v>9822</v>
      </c>
      <c r="D1770" s="30" t="s">
        <v>172</v>
      </c>
      <c r="E1770" s="31"/>
      <c r="F1770" s="32" t="n">
        <v>60</v>
      </c>
      <c r="G1770" s="31"/>
      <c r="H1770" s="31" t="n">
        <v>1</v>
      </c>
      <c r="I1770" s="31" t="s">
        <v>435</v>
      </c>
      <c r="J1770" s="29" t="s">
        <v>2202</v>
      </c>
      <c r="K1770" s="29" t="s">
        <v>2203</v>
      </c>
      <c r="L1770" s="32" t="n">
        <v>2</v>
      </c>
      <c r="M1770" s="33" t="s">
        <v>2204</v>
      </c>
      <c r="N1770" s="34" t="n">
        <v>75016</v>
      </c>
      <c r="O1770" s="35" t="s">
        <v>55</v>
      </c>
      <c r="P1770" s="36" t="s">
        <v>2205</v>
      </c>
      <c r="Q1770" s="36" t="n">
        <v>5</v>
      </c>
      <c r="R1770" s="32" t="n">
        <v>40</v>
      </c>
      <c r="S1770" s="32" t="n">
        <v>1</v>
      </c>
      <c r="T1770" s="43" t="s">
        <v>316</v>
      </c>
      <c r="U1770" s="32"/>
      <c r="V1770" s="37"/>
      <c r="W1770" s="32"/>
      <c r="X1770" s="34"/>
      <c r="Y1770" s="34"/>
      <c r="Z1770" s="36"/>
      <c r="AA1770" s="32" t="s">
        <v>9823</v>
      </c>
      <c r="AB1770" s="32"/>
      <c r="AC1770" s="38" t="str">
        <f aca="false">HYPERLINK("https://biocodex6--c.vf.force.com/0014L00000KFmLNQA1", "LAUNAY CORINNE")</f>
        <v>LAUNAY CORINNE</v>
      </c>
      <c r="AD1770" s="38"/>
      <c r="AE1770" s="39"/>
      <c r="AF1770" s="40"/>
      <c r="AG1770" s="41"/>
      <c r="AH1770" s="32" t="s">
        <v>179</v>
      </c>
      <c r="AI1770" s="32"/>
      <c r="AL1770" s="32"/>
      <c r="AM1770" s="32"/>
      <c r="AN1770" s="32"/>
      <c r="AO1770" s="32"/>
      <c r="AP1770" s="32"/>
      <c r="AQ1770" s="32"/>
      <c r="AR1770" s="32"/>
      <c r="AS1770" s="32"/>
      <c r="AT1770" s="32"/>
      <c r="AU1770" s="32"/>
      <c r="XEY1770" s="27"/>
      <c r="XEZ1770" s="27"/>
      <c r="XFA1770" s="27"/>
      <c r="XFB1770" s="27"/>
      <c r="XFC1770" s="27"/>
      <c r="XFD1770" s="27"/>
    </row>
    <row r="1771" s="42" customFormat="true" ht="14.15" hidden="false" customHeight="true" outlineLevel="0" collapsed="false">
      <c r="A1771" s="28" t="s">
        <v>9824</v>
      </c>
      <c r="B1771" s="29" t="s">
        <v>811</v>
      </c>
      <c r="C1771" s="29" t="s">
        <v>9825</v>
      </c>
      <c r="D1771" s="30" t="s">
        <v>172</v>
      </c>
      <c r="E1771" s="30" t="s">
        <v>4862</v>
      </c>
      <c r="F1771" s="32" t="n">
        <v>67</v>
      </c>
      <c r="G1771" s="31"/>
      <c r="H1771" s="31" t="n">
        <v>3</v>
      </c>
      <c r="I1771" s="31" t="s">
        <v>572</v>
      </c>
      <c r="J1771" s="29"/>
      <c r="K1771" s="29" t="s">
        <v>9826</v>
      </c>
      <c r="L1771" s="32" t="n">
        <v>6</v>
      </c>
      <c r="M1771" s="33" t="s">
        <v>9150</v>
      </c>
      <c r="N1771" s="34" t="n">
        <v>75008</v>
      </c>
      <c r="O1771" s="35" t="s">
        <v>55</v>
      </c>
      <c r="P1771" s="36" t="s">
        <v>9827</v>
      </c>
      <c r="Q1771" s="36" t="n">
        <v>1</v>
      </c>
      <c r="R1771" s="32" t="n">
        <v>39</v>
      </c>
      <c r="S1771" s="32" t="n">
        <v>1</v>
      </c>
      <c r="T1771" s="43" t="s">
        <v>316</v>
      </c>
      <c r="U1771" s="32"/>
      <c r="V1771" s="37"/>
      <c r="W1771" s="32"/>
      <c r="X1771" s="34"/>
      <c r="Y1771" s="34"/>
      <c r="Z1771" s="36"/>
      <c r="AA1771" s="32" t="s">
        <v>9828</v>
      </c>
      <c r="AB1771" s="32"/>
      <c r="AC1771" s="38" t="str">
        <f aca="false">HYPERLINK("https://biocodex6--c.vf.force.com/0014L00000KG5NFQA1", "VIOT BLANC VERONIQUE")</f>
        <v>VIOT BLANC VERONIQUE</v>
      </c>
      <c r="AD1771" s="38"/>
      <c r="AE1771" s="39"/>
      <c r="AF1771" s="40"/>
      <c r="AG1771" s="41"/>
      <c r="AH1771" s="32" t="s">
        <v>179</v>
      </c>
      <c r="AI1771" s="32"/>
      <c r="AL1771" s="32"/>
      <c r="AM1771" s="32"/>
      <c r="AN1771" s="32"/>
      <c r="AO1771" s="32"/>
      <c r="AP1771" s="32"/>
      <c r="AQ1771" s="32"/>
      <c r="AR1771" s="32"/>
      <c r="AS1771" s="32"/>
      <c r="AT1771" s="32"/>
      <c r="AU1771" s="32"/>
      <c r="XEY1771" s="27"/>
      <c r="XEZ1771" s="27"/>
      <c r="XFA1771" s="27"/>
      <c r="XFB1771" s="27"/>
      <c r="XFC1771" s="27"/>
      <c r="XFD1771" s="27"/>
    </row>
    <row r="1772" s="42" customFormat="true" ht="14.15" hidden="false" customHeight="true" outlineLevel="0" collapsed="false">
      <c r="A1772" s="28" t="s">
        <v>9829</v>
      </c>
      <c r="B1772" s="29" t="s">
        <v>9830</v>
      </c>
      <c r="C1772" s="29" t="s">
        <v>9831</v>
      </c>
      <c r="D1772" s="30" t="s">
        <v>172</v>
      </c>
      <c r="E1772" s="31"/>
      <c r="F1772" s="32" t="n">
        <v>49</v>
      </c>
      <c r="G1772" s="31"/>
      <c r="H1772" s="31" t="n">
        <v>1</v>
      </c>
      <c r="I1772" s="31" t="s">
        <v>51</v>
      </c>
      <c r="J1772" s="29" t="s">
        <v>2010</v>
      </c>
      <c r="K1772" s="29" t="s">
        <v>2011</v>
      </c>
      <c r="L1772" s="32" t="n">
        <v>37</v>
      </c>
      <c r="M1772" s="33" t="s">
        <v>2012</v>
      </c>
      <c r="N1772" s="34" t="n">
        <v>75015</v>
      </c>
      <c r="O1772" s="35" t="s">
        <v>55</v>
      </c>
      <c r="P1772" s="36" t="s">
        <v>7251</v>
      </c>
      <c r="Q1772" s="36" t="n">
        <v>19</v>
      </c>
      <c r="R1772" s="32" t="n">
        <v>38</v>
      </c>
      <c r="S1772" s="32" t="n">
        <v>1</v>
      </c>
      <c r="T1772" s="43" t="s">
        <v>316</v>
      </c>
      <c r="U1772" s="32"/>
      <c r="V1772" s="37"/>
      <c r="W1772" s="32"/>
      <c r="X1772" s="34"/>
      <c r="Y1772" s="34"/>
      <c r="Z1772" s="36"/>
      <c r="AA1772" s="32" t="s">
        <v>9832</v>
      </c>
      <c r="AB1772" s="32"/>
      <c r="AC1772" s="38" t="str">
        <f aca="false">HYPERLINK("https://biocodex6--c.vf.force.com/0014L00000KFkkFQAT", "CRETU LAURA DANIELA")</f>
        <v>CRETU LAURA DANIELA</v>
      </c>
      <c r="AD1772" s="38"/>
      <c r="AE1772" s="39"/>
      <c r="AF1772" s="40"/>
      <c r="AG1772" s="41"/>
      <c r="AH1772" s="32" t="s">
        <v>179</v>
      </c>
      <c r="AI1772" s="32"/>
      <c r="AL1772" s="32"/>
      <c r="AM1772" s="32"/>
      <c r="AN1772" s="32"/>
      <c r="AO1772" s="32"/>
      <c r="AP1772" s="32"/>
      <c r="AQ1772" s="32"/>
      <c r="AR1772" s="32"/>
      <c r="AS1772" s="32"/>
      <c r="AT1772" s="32"/>
      <c r="AU1772" s="32"/>
      <c r="XEY1772" s="27"/>
      <c r="XEZ1772" s="27"/>
      <c r="XFA1772" s="27"/>
      <c r="XFB1772" s="27"/>
      <c r="XFC1772" s="27"/>
      <c r="XFD1772" s="27"/>
    </row>
    <row r="1773" s="42" customFormat="true" ht="14.15" hidden="false" customHeight="true" outlineLevel="0" collapsed="false">
      <c r="A1773" s="28" t="s">
        <v>9833</v>
      </c>
      <c r="B1773" s="29" t="s">
        <v>868</v>
      </c>
      <c r="C1773" s="29" t="s">
        <v>9834</v>
      </c>
      <c r="D1773" s="30" t="s">
        <v>172</v>
      </c>
      <c r="E1773" s="31"/>
      <c r="F1773" s="32" t="n">
        <v>60</v>
      </c>
      <c r="G1773" s="31"/>
      <c r="H1773" s="31" t="n">
        <v>2</v>
      </c>
      <c r="I1773" s="31" t="s">
        <v>62</v>
      </c>
      <c r="J1773" s="29"/>
      <c r="K1773" s="29" t="s">
        <v>9835</v>
      </c>
      <c r="L1773" s="32" t="n">
        <v>31</v>
      </c>
      <c r="M1773" s="33" t="s">
        <v>9836</v>
      </c>
      <c r="N1773" s="34" t="n">
        <v>75017</v>
      </c>
      <c r="O1773" s="35" t="s">
        <v>55</v>
      </c>
      <c r="P1773" s="36" t="s">
        <v>9837</v>
      </c>
      <c r="Q1773" s="36" t="n">
        <v>2</v>
      </c>
      <c r="R1773" s="32" t="n">
        <v>38</v>
      </c>
      <c r="S1773" s="32" t="n">
        <v>1</v>
      </c>
      <c r="T1773" s="43" t="s">
        <v>316</v>
      </c>
      <c r="U1773" s="32"/>
      <c r="V1773" s="37"/>
      <c r="W1773" s="32"/>
      <c r="X1773" s="34"/>
      <c r="Y1773" s="34"/>
      <c r="Z1773" s="36"/>
      <c r="AA1773" s="32" t="s">
        <v>9838</v>
      </c>
      <c r="AB1773" s="32"/>
      <c r="AC1773" s="38" t="str">
        <f aca="false">HYPERLINK("https://biocodex6--c.vf.force.com/0014L00000KFQ9JQAX", "ALCARAZ GEORGES")</f>
        <v>ALCARAZ GEORGES</v>
      </c>
      <c r="AD1773" s="38"/>
      <c r="AE1773" s="39"/>
      <c r="AF1773" s="40"/>
      <c r="AG1773" s="41"/>
      <c r="AH1773" s="32" t="s">
        <v>179</v>
      </c>
      <c r="AI1773" s="32"/>
      <c r="AL1773" s="32"/>
      <c r="AM1773" s="32"/>
      <c r="AN1773" s="32"/>
      <c r="AO1773" s="32"/>
      <c r="AP1773" s="32"/>
      <c r="AQ1773" s="32"/>
      <c r="AR1773" s="32"/>
      <c r="AS1773" s="32"/>
      <c r="AT1773" s="32"/>
      <c r="AU1773" s="32"/>
      <c r="XEY1773" s="27"/>
      <c r="XEZ1773" s="27"/>
      <c r="XFA1773" s="27"/>
      <c r="XFB1773" s="27"/>
      <c r="XFC1773" s="27"/>
      <c r="XFD1773" s="27"/>
    </row>
    <row r="1774" s="42" customFormat="true" ht="14.15" hidden="false" customHeight="true" outlineLevel="0" collapsed="false">
      <c r="A1774" s="28" t="s">
        <v>9839</v>
      </c>
      <c r="B1774" s="29" t="s">
        <v>3388</v>
      </c>
      <c r="C1774" s="29" t="s">
        <v>9840</v>
      </c>
      <c r="D1774" s="30" t="s">
        <v>172</v>
      </c>
      <c r="E1774" s="30" t="s">
        <v>1103</v>
      </c>
      <c r="F1774" s="32" t="n">
        <v>60</v>
      </c>
      <c r="G1774" s="31"/>
      <c r="H1774" s="31" t="n">
        <v>1</v>
      </c>
      <c r="I1774" s="31" t="s">
        <v>62</v>
      </c>
      <c r="J1774" s="29"/>
      <c r="K1774" s="29" t="s">
        <v>9835</v>
      </c>
      <c r="L1774" s="32" t="n">
        <v>31</v>
      </c>
      <c r="M1774" s="33" t="s">
        <v>9836</v>
      </c>
      <c r="N1774" s="34" t="n">
        <v>75017</v>
      </c>
      <c r="O1774" s="35" t="s">
        <v>55</v>
      </c>
      <c r="P1774" s="36" t="s">
        <v>9841</v>
      </c>
      <c r="Q1774" s="36" t="n">
        <v>2</v>
      </c>
      <c r="R1774" s="32" t="n">
        <v>38</v>
      </c>
      <c r="S1774" s="32" t="n">
        <v>1</v>
      </c>
      <c r="T1774" s="43" t="s">
        <v>316</v>
      </c>
      <c r="U1774" s="32"/>
      <c r="V1774" s="37"/>
      <c r="W1774" s="32"/>
      <c r="X1774" s="34"/>
      <c r="Y1774" s="34"/>
      <c r="Z1774" s="36"/>
      <c r="AA1774" s="32" t="s">
        <v>9842</v>
      </c>
      <c r="AB1774" s="32"/>
      <c r="AC1774" s="38" t="str">
        <f aca="false">HYPERLINK("https://biocodex6--c.vf.force.com/0014L00000KFnRDQA1", "LEFORT AGNES")</f>
        <v>LEFORT AGNES</v>
      </c>
      <c r="AD1774" s="38"/>
      <c r="AE1774" s="39"/>
      <c r="AF1774" s="40"/>
      <c r="AG1774" s="41"/>
      <c r="AH1774" s="32" t="s">
        <v>179</v>
      </c>
      <c r="AI1774" s="32"/>
      <c r="AL1774" s="32"/>
      <c r="AM1774" s="32"/>
      <c r="AN1774" s="32"/>
      <c r="AO1774" s="32"/>
      <c r="AP1774" s="32"/>
      <c r="AQ1774" s="32"/>
      <c r="AR1774" s="32"/>
      <c r="AS1774" s="32"/>
      <c r="AT1774" s="32"/>
      <c r="AU1774" s="32"/>
      <c r="XEY1774" s="27"/>
      <c r="XEZ1774" s="27"/>
      <c r="XFA1774" s="27"/>
      <c r="XFB1774" s="27"/>
      <c r="XFC1774" s="27"/>
      <c r="XFD1774" s="27"/>
    </row>
    <row r="1775" s="42" customFormat="true" ht="14.15" hidden="false" customHeight="true" outlineLevel="0" collapsed="false">
      <c r="A1775" s="28" t="s">
        <v>95</v>
      </c>
      <c r="B1775" s="29" t="s">
        <v>9843</v>
      </c>
      <c r="C1775" s="29" t="s">
        <v>9844</v>
      </c>
      <c r="D1775" s="30" t="s">
        <v>172</v>
      </c>
      <c r="E1775" s="31"/>
      <c r="F1775" s="32" t="n">
        <v>54</v>
      </c>
      <c r="G1775" s="31"/>
      <c r="H1775" s="31" t="n">
        <v>2</v>
      </c>
      <c r="I1775" s="31" t="s">
        <v>197</v>
      </c>
      <c r="J1775" s="29" t="s">
        <v>1915</v>
      </c>
      <c r="K1775" s="29" t="s">
        <v>1916</v>
      </c>
      <c r="L1775" s="32" t="n">
        <v>17</v>
      </c>
      <c r="M1775" s="33" t="s">
        <v>1917</v>
      </c>
      <c r="N1775" s="34" t="n">
        <v>75017</v>
      </c>
      <c r="O1775" s="35" t="s">
        <v>55</v>
      </c>
      <c r="P1775" s="36" t="s">
        <v>7525</v>
      </c>
      <c r="Q1775" s="36" t="n">
        <v>12</v>
      </c>
      <c r="R1775" s="32" t="n">
        <v>38</v>
      </c>
      <c r="S1775" s="32" t="n">
        <v>1</v>
      </c>
      <c r="T1775" s="43" t="s">
        <v>316</v>
      </c>
      <c r="U1775" s="32"/>
      <c r="V1775" s="37"/>
      <c r="W1775" s="32"/>
      <c r="X1775" s="34"/>
      <c r="Y1775" s="34"/>
      <c r="Z1775" s="36"/>
      <c r="AA1775" s="32" t="s">
        <v>9845</v>
      </c>
      <c r="AB1775" s="32"/>
      <c r="AC1775" s="38" t="str">
        <f aca="false">HYPERLINK("https://biocodex6--c.vf.force.com/0014L00000KFUOwQAP", "BLAISE MARIO")</f>
        <v>BLAISE MARIO</v>
      </c>
      <c r="AD1775" s="38"/>
      <c r="AE1775" s="39"/>
      <c r="AF1775" s="40"/>
      <c r="AG1775" s="41"/>
      <c r="AH1775" s="32" t="s">
        <v>179</v>
      </c>
      <c r="AI1775" s="32"/>
      <c r="AL1775" s="32"/>
      <c r="AM1775" s="32"/>
      <c r="AN1775" s="32"/>
      <c r="AO1775" s="32"/>
      <c r="AP1775" s="32"/>
      <c r="AQ1775" s="32"/>
      <c r="AR1775" s="32"/>
      <c r="AS1775" s="32"/>
      <c r="AT1775" s="32"/>
      <c r="AU1775" s="32"/>
      <c r="XEY1775" s="27"/>
      <c r="XEZ1775" s="27"/>
      <c r="XFA1775" s="27"/>
      <c r="XFB1775" s="27"/>
      <c r="XFC1775" s="27"/>
      <c r="XFD1775" s="27"/>
    </row>
    <row r="1776" s="42" customFormat="true" ht="14.15" hidden="false" customHeight="true" outlineLevel="0" collapsed="false">
      <c r="A1776" s="28" t="s">
        <v>9846</v>
      </c>
      <c r="B1776" s="29" t="s">
        <v>142</v>
      </c>
      <c r="C1776" s="29" t="s">
        <v>9847</v>
      </c>
      <c r="D1776" s="30" t="s">
        <v>172</v>
      </c>
      <c r="E1776" s="31"/>
      <c r="F1776" s="32" t="n">
        <v>72</v>
      </c>
      <c r="G1776" s="31"/>
      <c r="H1776" s="31" t="n">
        <v>1</v>
      </c>
      <c r="I1776" s="31" t="s">
        <v>197</v>
      </c>
      <c r="J1776" s="29" t="s">
        <v>1915</v>
      </c>
      <c r="K1776" s="29" t="s">
        <v>1916</v>
      </c>
      <c r="L1776" s="32" t="n">
        <v>17</v>
      </c>
      <c r="M1776" s="33" t="s">
        <v>1917</v>
      </c>
      <c r="N1776" s="34" t="n">
        <v>75017</v>
      </c>
      <c r="O1776" s="35" t="s">
        <v>55</v>
      </c>
      <c r="P1776" s="36" t="s">
        <v>7525</v>
      </c>
      <c r="Q1776" s="36" t="n">
        <v>12</v>
      </c>
      <c r="R1776" s="32" t="n">
        <v>38</v>
      </c>
      <c r="S1776" s="32" t="n">
        <v>1</v>
      </c>
      <c r="T1776" s="43" t="s">
        <v>316</v>
      </c>
      <c r="U1776" s="32"/>
      <c r="V1776" s="37"/>
      <c r="W1776" s="32"/>
      <c r="X1776" s="34"/>
      <c r="Y1776" s="34"/>
      <c r="Z1776" s="36"/>
      <c r="AA1776" s="32" t="s">
        <v>9848</v>
      </c>
      <c r="AB1776" s="32"/>
      <c r="AC1776" s="38" t="str">
        <f aca="false">HYPERLINK("https://biocodex6--c.vf.force.com/0014L00000KFvJDQA1", "HAUTEFEUILLE MICHEL")</f>
        <v>HAUTEFEUILLE MICHEL</v>
      </c>
      <c r="AD1776" s="38"/>
      <c r="AE1776" s="39"/>
      <c r="AF1776" s="40"/>
      <c r="AG1776" s="41"/>
      <c r="AH1776" s="32" t="s">
        <v>179</v>
      </c>
      <c r="AI1776" s="32"/>
      <c r="AL1776" s="32"/>
      <c r="AM1776" s="32"/>
      <c r="AN1776" s="32"/>
      <c r="AO1776" s="32"/>
      <c r="AP1776" s="32"/>
      <c r="AQ1776" s="32"/>
      <c r="AR1776" s="32"/>
      <c r="AS1776" s="32"/>
      <c r="AT1776" s="32"/>
      <c r="AU1776" s="32"/>
      <c r="XEY1776" s="27"/>
      <c r="XEZ1776" s="27"/>
      <c r="XFA1776" s="27"/>
      <c r="XFB1776" s="27"/>
      <c r="XFC1776" s="27"/>
      <c r="XFD1776" s="27"/>
    </row>
    <row r="1777" s="42" customFormat="true" ht="14.15" hidden="false" customHeight="true" outlineLevel="0" collapsed="false">
      <c r="A1777" s="28" t="s">
        <v>9849</v>
      </c>
      <c r="B1777" s="29" t="s">
        <v>429</v>
      </c>
      <c r="C1777" s="29" t="s">
        <v>9850</v>
      </c>
      <c r="D1777" s="30" t="s">
        <v>172</v>
      </c>
      <c r="E1777" s="31"/>
      <c r="F1777" s="32" t="n">
        <v>41</v>
      </c>
      <c r="G1777" s="31"/>
      <c r="H1777" s="31" t="n">
        <v>2</v>
      </c>
      <c r="I1777" s="31" t="s">
        <v>197</v>
      </c>
      <c r="J1777" s="29" t="s">
        <v>1915</v>
      </c>
      <c r="K1777" s="29" t="s">
        <v>1916</v>
      </c>
      <c r="L1777" s="32" t="n">
        <v>17</v>
      </c>
      <c r="M1777" s="33" t="s">
        <v>1917</v>
      </c>
      <c r="N1777" s="34" t="n">
        <v>75017</v>
      </c>
      <c r="O1777" s="35" t="s">
        <v>55</v>
      </c>
      <c r="P1777" s="36" t="s">
        <v>7525</v>
      </c>
      <c r="Q1777" s="36" t="n">
        <v>12</v>
      </c>
      <c r="R1777" s="32" t="n">
        <v>38</v>
      </c>
      <c r="S1777" s="32" t="n">
        <v>1</v>
      </c>
      <c r="T1777" s="43" t="s">
        <v>316</v>
      </c>
      <c r="U1777" s="32"/>
      <c r="V1777" s="37"/>
      <c r="W1777" s="32"/>
      <c r="X1777" s="34"/>
      <c r="Y1777" s="34"/>
      <c r="Z1777" s="36"/>
      <c r="AA1777" s="32" t="s">
        <v>9851</v>
      </c>
      <c r="AB1777" s="32"/>
      <c r="AC1777" s="38" t="str">
        <f aca="false">HYPERLINK("https://biocodex6--c.vf.force.com/0014L00000KFOv4QAH", "HECQUET GUILLAUME")</f>
        <v>HECQUET GUILLAUME</v>
      </c>
      <c r="AD1777" s="38"/>
      <c r="AE1777" s="39"/>
      <c r="AF1777" s="40"/>
      <c r="AG1777" s="41"/>
      <c r="AH1777" s="32" t="s">
        <v>179</v>
      </c>
      <c r="AI1777" s="32"/>
      <c r="AL1777" s="32"/>
      <c r="AM1777" s="32"/>
      <c r="AN1777" s="32"/>
      <c r="AO1777" s="32"/>
      <c r="AP1777" s="32"/>
      <c r="AQ1777" s="32"/>
      <c r="AR1777" s="32"/>
      <c r="AS1777" s="32"/>
      <c r="AT1777" s="32"/>
      <c r="AU1777" s="32"/>
      <c r="XEY1777" s="27"/>
      <c r="XEZ1777" s="27"/>
      <c r="XFA1777" s="27"/>
      <c r="XFB1777" s="27"/>
      <c r="XFC1777" s="27"/>
      <c r="XFD1777" s="27"/>
    </row>
    <row r="1778" s="42" customFormat="true" ht="14.15" hidden="false" customHeight="true" outlineLevel="0" collapsed="false">
      <c r="A1778" s="28" t="s">
        <v>9852</v>
      </c>
      <c r="B1778" s="29" t="s">
        <v>9853</v>
      </c>
      <c r="C1778" s="29" t="s">
        <v>9854</v>
      </c>
      <c r="D1778" s="30" t="s">
        <v>172</v>
      </c>
      <c r="E1778" s="31"/>
      <c r="F1778" s="32" t="n">
        <v>60</v>
      </c>
      <c r="G1778" s="31"/>
      <c r="H1778" s="31" t="n">
        <v>1</v>
      </c>
      <c r="I1778" s="31" t="s">
        <v>197</v>
      </c>
      <c r="J1778" s="29" t="s">
        <v>1915</v>
      </c>
      <c r="K1778" s="29" t="s">
        <v>1916</v>
      </c>
      <c r="L1778" s="32" t="n">
        <v>17</v>
      </c>
      <c r="M1778" s="33" t="s">
        <v>1917</v>
      </c>
      <c r="N1778" s="34" t="n">
        <v>75017</v>
      </c>
      <c r="O1778" s="35" t="s">
        <v>55</v>
      </c>
      <c r="P1778" s="36" t="s">
        <v>1918</v>
      </c>
      <c r="Q1778" s="36" t="n">
        <v>12</v>
      </c>
      <c r="R1778" s="32" t="n">
        <v>38</v>
      </c>
      <c r="S1778" s="32" t="n">
        <v>1</v>
      </c>
      <c r="T1778" s="43" t="s">
        <v>316</v>
      </c>
      <c r="U1778" s="32"/>
      <c r="V1778" s="37"/>
      <c r="W1778" s="32"/>
      <c r="X1778" s="34"/>
      <c r="Y1778" s="34"/>
      <c r="Z1778" s="32"/>
      <c r="AA1778" s="32" t="s">
        <v>9855</v>
      </c>
      <c r="AB1778" s="32"/>
      <c r="AC1778" s="38" t="str">
        <f aca="false">HYPERLINK("https://biocodex6--c.vf.force.com/0014L00000KG7L6QAL", "CHOUIK MEZRAR MESSAOUDA")</f>
        <v>CHOUIK MEZRAR MESSAOUDA</v>
      </c>
      <c r="AD1778" s="38"/>
      <c r="AE1778" s="39"/>
      <c r="AF1778" s="40"/>
      <c r="AG1778" s="41"/>
      <c r="AH1778" s="32"/>
      <c r="AI1778" s="32"/>
      <c r="AL1778" s="32"/>
      <c r="AM1778" s="32"/>
      <c r="AN1778" s="32"/>
      <c r="AO1778" s="32"/>
      <c r="AP1778" s="32"/>
      <c r="AQ1778" s="32"/>
      <c r="AR1778" s="32"/>
      <c r="AS1778" s="32"/>
      <c r="AT1778" s="32"/>
      <c r="AU1778" s="32"/>
      <c r="XEY1778" s="27"/>
      <c r="XEZ1778" s="27"/>
      <c r="XFA1778" s="27"/>
      <c r="XFB1778" s="27"/>
      <c r="XFC1778" s="27"/>
      <c r="XFD1778" s="27"/>
    </row>
    <row r="1779" s="42" customFormat="true" ht="14.15" hidden="false" customHeight="true" outlineLevel="0" collapsed="false">
      <c r="A1779" s="28" t="s">
        <v>9856</v>
      </c>
      <c r="B1779" s="29" t="s">
        <v>2827</v>
      </c>
      <c r="C1779" s="29" t="s">
        <v>9857</v>
      </c>
      <c r="D1779" s="30" t="s">
        <v>172</v>
      </c>
      <c r="E1779" s="31"/>
      <c r="F1779" s="32" t="n">
        <v>45</v>
      </c>
      <c r="G1779" s="31"/>
      <c r="H1779" s="31" t="n">
        <v>1</v>
      </c>
      <c r="I1779" s="31" t="s">
        <v>572</v>
      </c>
      <c r="J1779" s="29"/>
      <c r="K1779" s="29" t="s">
        <v>9479</v>
      </c>
      <c r="L1779" s="32" t="n">
        <v>8</v>
      </c>
      <c r="M1779" s="33" t="s">
        <v>9480</v>
      </c>
      <c r="N1779" s="34" t="n">
        <v>75008</v>
      </c>
      <c r="O1779" s="35" t="s">
        <v>55</v>
      </c>
      <c r="P1779" s="36"/>
      <c r="Q1779" s="36" t="n">
        <v>2</v>
      </c>
      <c r="R1779" s="32" t="n">
        <v>36</v>
      </c>
      <c r="S1779" s="32" t="n">
        <v>1</v>
      </c>
      <c r="T1779" s="43" t="s">
        <v>4813</v>
      </c>
      <c r="U1779" s="32" t="n">
        <v>3</v>
      </c>
      <c r="V1779" s="37"/>
      <c r="W1779" s="32"/>
      <c r="X1779" s="34"/>
      <c r="Y1779" s="56"/>
      <c r="Z1779" s="32"/>
      <c r="AA1779" s="32" t="s">
        <v>9858</v>
      </c>
      <c r="AB1779" s="28"/>
      <c r="AC1779" s="38" t="str">
        <f aca="false">HYPERLINK("https://biocodex6--c.vf.force.com/0014L00000KG4bEQAT", "TURPIN ELENA")</f>
        <v>TURPIN ELENA</v>
      </c>
      <c r="AD1779" s="38"/>
      <c r="AE1779" s="39"/>
      <c r="AF1779" s="40"/>
      <c r="AG1779" s="41"/>
      <c r="AH1779" s="32" t="s">
        <v>156</v>
      </c>
      <c r="AI1779" s="32" t="s">
        <v>180</v>
      </c>
      <c r="AJ1779" s="42" t="s">
        <v>8616</v>
      </c>
      <c r="AK1779" s="42" t="s">
        <v>4940</v>
      </c>
      <c r="AL1779" s="32"/>
      <c r="AM1779" s="32"/>
      <c r="AN1779" s="32"/>
      <c r="AO1779" s="32"/>
      <c r="AP1779" s="32"/>
      <c r="AQ1779" s="32"/>
      <c r="AR1779" s="32"/>
      <c r="AS1779" s="32"/>
      <c r="AT1779" s="32"/>
      <c r="AU1779" s="32"/>
      <c r="XEY1779" s="27"/>
      <c r="XEZ1779" s="27"/>
      <c r="XFA1779" s="27"/>
      <c r="XFB1779" s="27"/>
      <c r="XFC1779" s="27"/>
      <c r="XFD1779" s="27"/>
    </row>
    <row r="1780" s="42" customFormat="true" ht="14.15" hidden="false" customHeight="true" outlineLevel="0" collapsed="false">
      <c r="A1780" s="28" t="s">
        <v>9859</v>
      </c>
      <c r="B1780" s="29" t="s">
        <v>2827</v>
      </c>
      <c r="C1780" s="29" t="s">
        <v>9860</v>
      </c>
      <c r="D1780" s="30" t="s">
        <v>112</v>
      </c>
      <c r="E1780" s="31"/>
      <c r="F1780" s="32" t="n">
        <v>43</v>
      </c>
      <c r="G1780" s="31"/>
      <c r="H1780" s="31" t="n">
        <v>1</v>
      </c>
      <c r="I1780" s="31" t="s">
        <v>51</v>
      </c>
      <c r="J1780" s="29" t="s">
        <v>52</v>
      </c>
      <c r="K1780" s="29" t="s">
        <v>53</v>
      </c>
      <c r="L1780" s="32" t="n">
        <v>149</v>
      </c>
      <c r="M1780" s="33" t="s">
        <v>54</v>
      </c>
      <c r="N1780" s="34" t="n">
        <v>75015</v>
      </c>
      <c r="O1780" s="35" t="s">
        <v>55</v>
      </c>
      <c r="P1780" s="36" t="s">
        <v>9861</v>
      </c>
      <c r="Q1780" s="36" t="n">
        <v>236</v>
      </c>
      <c r="R1780" s="32" t="n">
        <v>36</v>
      </c>
      <c r="S1780" s="32" t="n">
        <v>1</v>
      </c>
      <c r="T1780" s="32"/>
      <c r="U1780" s="32"/>
      <c r="V1780" s="37"/>
      <c r="W1780" s="32"/>
      <c r="X1780" s="34"/>
      <c r="Y1780" s="34"/>
      <c r="Z1780" s="36"/>
      <c r="AA1780" s="32" t="s">
        <v>9862</v>
      </c>
      <c r="AB1780" s="32"/>
      <c r="AC1780" s="38" t="str">
        <f aca="false">HYPERLINK("https://biocodex6--c.vf.force.com/0014L00000KFckGQAT", "GARGAUN URSACHE ELENA")</f>
        <v>GARGAUN URSACHE ELENA</v>
      </c>
      <c r="AD1780" s="38"/>
      <c r="AE1780" s="39"/>
      <c r="AF1780" s="40"/>
      <c r="AG1780" s="41"/>
      <c r="AH1780" s="32" t="s">
        <v>179</v>
      </c>
      <c r="AI1780" s="32"/>
      <c r="AL1780" s="32"/>
      <c r="AM1780" s="32"/>
      <c r="AN1780" s="32"/>
      <c r="AO1780" s="32"/>
      <c r="AP1780" s="32"/>
      <c r="AQ1780" s="32"/>
      <c r="AR1780" s="32"/>
      <c r="AS1780" s="32"/>
      <c r="AT1780" s="32"/>
      <c r="AU1780" s="32"/>
      <c r="XEY1780" s="27"/>
      <c r="XEZ1780" s="27"/>
      <c r="XFA1780" s="27"/>
      <c r="XFB1780" s="27"/>
      <c r="XFC1780" s="27"/>
      <c r="XFD1780" s="27"/>
    </row>
    <row r="1781" s="42" customFormat="true" ht="14.15" hidden="false" customHeight="true" outlineLevel="0" collapsed="false">
      <c r="A1781" s="28" t="s">
        <v>9863</v>
      </c>
      <c r="B1781" s="29" t="s">
        <v>2033</v>
      </c>
      <c r="C1781" s="29" t="s">
        <v>9864</v>
      </c>
      <c r="D1781" s="30" t="s">
        <v>172</v>
      </c>
      <c r="E1781" s="31"/>
      <c r="F1781" s="32" t="n">
        <v>38</v>
      </c>
      <c r="G1781" s="31"/>
      <c r="H1781" s="31" t="n">
        <v>1</v>
      </c>
      <c r="I1781" s="31" t="s">
        <v>119</v>
      </c>
      <c r="J1781" s="29"/>
      <c r="K1781" s="29" t="s">
        <v>9538</v>
      </c>
      <c r="L1781" s="32" t="n">
        <v>4</v>
      </c>
      <c r="M1781" s="33" t="s">
        <v>7027</v>
      </c>
      <c r="N1781" s="34" t="n">
        <v>75007</v>
      </c>
      <c r="O1781" s="35" t="s">
        <v>55</v>
      </c>
      <c r="P1781" s="36" t="s">
        <v>9539</v>
      </c>
      <c r="Q1781" s="36" t="n">
        <v>2</v>
      </c>
      <c r="R1781" s="32" t="n">
        <v>34</v>
      </c>
      <c r="S1781" s="32" t="n">
        <v>1</v>
      </c>
      <c r="T1781" s="43" t="s">
        <v>316</v>
      </c>
      <c r="U1781" s="32"/>
      <c r="V1781" s="37"/>
      <c r="W1781" s="32"/>
      <c r="X1781" s="34"/>
      <c r="Y1781" s="34"/>
      <c r="Z1781" s="36"/>
      <c r="AA1781" s="32" t="s">
        <v>9865</v>
      </c>
      <c r="AB1781" s="32"/>
      <c r="AC1781" s="38" t="str">
        <f aca="false">HYPERLINK("https://biocodex6--c.vf.force.com/0014L00000KFPOSQA5", "DOURI ALEXANDRA")</f>
        <v>DOURI ALEXANDRA</v>
      </c>
      <c r="AD1781" s="38"/>
      <c r="AE1781" s="39"/>
      <c r="AF1781" s="40"/>
      <c r="AG1781" s="41"/>
      <c r="AH1781" s="32" t="s">
        <v>179</v>
      </c>
      <c r="AI1781" s="32"/>
      <c r="AL1781" s="32"/>
      <c r="AM1781" s="32"/>
      <c r="AN1781" s="32"/>
      <c r="AO1781" s="32"/>
      <c r="AP1781" s="32"/>
      <c r="AQ1781" s="32"/>
      <c r="AR1781" s="32"/>
      <c r="AS1781" s="32"/>
      <c r="AT1781" s="32"/>
      <c r="AU1781" s="32"/>
      <c r="XEY1781" s="27"/>
      <c r="XEZ1781" s="27"/>
      <c r="XFA1781" s="27"/>
      <c r="XFB1781" s="27"/>
      <c r="XFC1781" s="27"/>
      <c r="XFD1781" s="27"/>
    </row>
    <row r="1782" s="42" customFormat="true" ht="14.15" hidden="false" customHeight="true" outlineLevel="0" collapsed="false">
      <c r="A1782" s="28" t="s">
        <v>9866</v>
      </c>
      <c r="B1782" s="29" t="s">
        <v>9867</v>
      </c>
      <c r="C1782" s="29" t="s">
        <v>9868</v>
      </c>
      <c r="D1782" s="30" t="s">
        <v>244</v>
      </c>
      <c r="E1782" s="30" t="s">
        <v>76</v>
      </c>
      <c r="F1782" s="32" t="n">
        <v>70</v>
      </c>
      <c r="G1782" s="31"/>
      <c r="H1782" s="31" t="n">
        <v>3</v>
      </c>
      <c r="I1782" s="31" t="s">
        <v>197</v>
      </c>
      <c r="J1782" s="29"/>
      <c r="K1782" s="29" t="s">
        <v>3142</v>
      </c>
      <c r="L1782" s="32" t="n">
        <v>5</v>
      </c>
      <c r="M1782" s="33" t="s">
        <v>3143</v>
      </c>
      <c r="N1782" s="34" t="n">
        <v>75017</v>
      </c>
      <c r="O1782" s="35" t="s">
        <v>55</v>
      </c>
      <c r="P1782" s="36"/>
      <c r="Q1782" s="36" t="n">
        <v>2</v>
      </c>
      <c r="R1782" s="32" t="n">
        <v>33</v>
      </c>
      <c r="S1782" s="32" t="n">
        <v>1</v>
      </c>
      <c r="T1782" s="32"/>
      <c r="U1782" s="32"/>
      <c r="V1782" s="37"/>
      <c r="W1782" s="32"/>
      <c r="X1782" s="34"/>
      <c r="Y1782" s="34"/>
      <c r="Z1782" s="32" t="s">
        <v>9869</v>
      </c>
      <c r="AA1782" s="32" t="s">
        <v>9870</v>
      </c>
      <c r="AB1782" s="32"/>
      <c r="AC1782" s="38" t="str">
        <f aca="false">HYPERLINK("https://biocodex6--c.vf.force.com/0014L00000KFVHkQAP", "CALLET AFDJEI NASRINE")</f>
        <v>CALLET AFDJEI NASRINE</v>
      </c>
      <c r="AD1782" s="38"/>
      <c r="AE1782" s="39"/>
      <c r="AF1782" s="40"/>
      <c r="AG1782" s="41"/>
      <c r="AH1782" s="32"/>
      <c r="AI1782" s="32"/>
      <c r="AL1782" s="32"/>
      <c r="AM1782" s="32"/>
      <c r="AN1782" s="32"/>
      <c r="AO1782" s="32"/>
      <c r="AP1782" s="32"/>
      <c r="AQ1782" s="32"/>
      <c r="AR1782" s="32"/>
      <c r="AS1782" s="32"/>
      <c r="AT1782" s="32"/>
      <c r="AU1782" s="32"/>
      <c r="XEY1782" s="27"/>
      <c r="XEZ1782" s="27"/>
      <c r="XFA1782" s="27"/>
      <c r="XFB1782" s="27"/>
      <c r="XFC1782" s="27"/>
      <c r="XFD1782" s="27"/>
    </row>
    <row r="1783" s="42" customFormat="true" ht="14.15" hidden="false" customHeight="true" outlineLevel="0" collapsed="false">
      <c r="A1783" s="28" t="s">
        <v>9871</v>
      </c>
      <c r="B1783" s="51" t="s">
        <v>6800</v>
      </c>
      <c r="C1783" s="51" t="s">
        <v>9872</v>
      </c>
      <c r="D1783" s="30" t="s">
        <v>172</v>
      </c>
      <c r="E1783" s="30" t="s">
        <v>545</v>
      </c>
      <c r="F1783" s="32" t="n">
        <v>63</v>
      </c>
      <c r="G1783" s="31"/>
      <c r="H1783" s="31" t="n">
        <v>1</v>
      </c>
      <c r="I1783" s="31" t="s">
        <v>173</v>
      </c>
      <c r="J1783" s="29"/>
      <c r="K1783" s="29" t="s">
        <v>9873</v>
      </c>
      <c r="L1783" s="32" t="n">
        <v>25</v>
      </c>
      <c r="M1783" s="33" t="s">
        <v>6772</v>
      </c>
      <c r="N1783" s="34" t="n">
        <v>75116</v>
      </c>
      <c r="O1783" s="35" t="s">
        <v>55</v>
      </c>
      <c r="P1783" s="36" t="s">
        <v>9874</v>
      </c>
      <c r="Q1783" s="36" t="n">
        <v>1</v>
      </c>
      <c r="R1783" s="32" t="n">
        <v>33</v>
      </c>
      <c r="S1783" s="32" t="n">
        <v>1</v>
      </c>
      <c r="T1783" s="32"/>
      <c r="U1783" s="32"/>
      <c r="V1783" s="37"/>
      <c r="W1783" s="32"/>
      <c r="X1783" s="34"/>
      <c r="Y1783" s="34"/>
      <c r="Z1783" s="32"/>
      <c r="AA1783" s="32" t="s">
        <v>9875</v>
      </c>
      <c r="AB1783" s="44"/>
      <c r="AC1783" s="38" t="str">
        <f aca="false">HYPERLINK("https://biocodex6--c.vf.force.com/0014L00000KFZRFQA5", "DEBRUN REMY")</f>
        <v>DEBRUN REMY</v>
      </c>
      <c r="AD1783" s="38"/>
      <c r="AE1783" s="39"/>
      <c r="AF1783" s="40"/>
      <c r="AG1783" s="41"/>
      <c r="AH1783" s="32" t="s">
        <v>2191</v>
      </c>
      <c r="AI1783" s="32" t="s">
        <v>2191</v>
      </c>
      <c r="AJ1783" s="42" t="s">
        <v>9876</v>
      </c>
      <c r="AL1783" s="32"/>
      <c r="AM1783" s="32"/>
      <c r="AN1783" s="32"/>
      <c r="AO1783" s="32"/>
      <c r="AP1783" s="32"/>
      <c r="AQ1783" s="32"/>
      <c r="AR1783" s="32"/>
      <c r="AS1783" s="32"/>
      <c r="AT1783" s="32"/>
      <c r="AU1783" s="32"/>
      <c r="XEY1783" s="27"/>
      <c r="XEZ1783" s="27"/>
      <c r="XFA1783" s="27"/>
      <c r="XFB1783" s="27"/>
      <c r="XFC1783" s="27"/>
      <c r="XFD1783" s="27"/>
    </row>
    <row r="1784" s="42" customFormat="true" ht="14.15" hidden="false" customHeight="true" outlineLevel="0" collapsed="false">
      <c r="A1784" s="28" t="s">
        <v>9877</v>
      </c>
      <c r="B1784" s="29" t="s">
        <v>593</v>
      </c>
      <c r="C1784" s="29" t="s">
        <v>9878</v>
      </c>
      <c r="D1784" s="30" t="s">
        <v>172</v>
      </c>
      <c r="E1784" s="31"/>
      <c r="F1784" s="32" t="n">
        <v>48</v>
      </c>
      <c r="G1784" s="31"/>
      <c r="H1784" s="31" t="n">
        <v>1</v>
      </c>
      <c r="I1784" s="31" t="s">
        <v>99</v>
      </c>
      <c r="J1784" s="29"/>
      <c r="K1784" s="29" t="s">
        <v>9879</v>
      </c>
      <c r="L1784" s="32" t="n">
        <v>18</v>
      </c>
      <c r="M1784" s="33" t="s">
        <v>6948</v>
      </c>
      <c r="N1784" s="58" t="n">
        <v>75015</v>
      </c>
      <c r="O1784" s="35" t="s">
        <v>55</v>
      </c>
      <c r="P1784" s="36" t="s">
        <v>9880</v>
      </c>
      <c r="Q1784" s="36" t="n">
        <v>1</v>
      </c>
      <c r="R1784" s="32" t="n">
        <v>32</v>
      </c>
      <c r="S1784" s="32" t="n">
        <v>1</v>
      </c>
      <c r="T1784" s="43" t="s">
        <v>177</v>
      </c>
      <c r="U1784" s="32"/>
      <c r="V1784" s="37" t="n">
        <v>3</v>
      </c>
      <c r="W1784" s="32"/>
      <c r="X1784" s="34"/>
      <c r="Y1784" s="34"/>
      <c r="Z1784" s="32"/>
      <c r="AA1784" s="32" t="s">
        <v>9881</v>
      </c>
      <c r="AB1784" s="44"/>
      <c r="AC1784" s="38" t="str">
        <f aca="false">HYPERLINK("https://biocodex6--c.vf.force.com/0014L00000KFWdSQAX", "DEL CUL ANTOINE")</f>
        <v>DEL CUL ANTOINE</v>
      </c>
      <c r="AD1784" s="38"/>
      <c r="AE1784" s="39"/>
      <c r="AF1784" s="40"/>
      <c r="AG1784" s="41"/>
      <c r="AH1784" s="32" t="s">
        <v>156</v>
      </c>
      <c r="AI1784" s="32" t="s">
        <v>180</v>
      </c>
      <c r="AK1784" s="42" t="s">
        <v>9882</v>
      </c>
      <c r="AL1784" s="32"/>
      <c r="AM1784" s="32"/>
      <c r="AN1784" s="32"/>
      <c r="AO1784" s="32"/>
      <c r="AP1784" s="32"/>
      <c r="AQ1784" s="32"/>
      <c r="AR1784" s="32"/>
      <c r="AS1784" s="32"/>
      <c r="AT1784" s="32"/>
      <c r="AU1784" s="32"/>
      <c r="XEY1784" s="27"/>
      <c r="XEZ1784" s="27"/>
      <c r="XFA1784" s="27"/>
      <c r="XFB1784" s="27"/>
      <c r="XFC1784" s="27"/>
      <c r="XFD1784" s="27"/>
    </row>
    <row r="1785" s="42" customFormat="true" ht="14.15" hidden="false" customHeight="true" outlineLevel="0" collapsed="false">
      <c r="A1785" s="28" t="s">
        <v>9883</v>
      </c>
      <c r="B1785" s="29" t="s">
        <v>2153</v>
      </c>
      <c r="C1785" s="29" t="s">
        <v>9884</v>
      </c>
      <c r="D1785" s="30" t="s">
        <v>172</v>
      </c>
      <c r="E1785" s="31"/>
      <c r="F1785" s="32" t="n">
        <v>36</v>
      </c>
      <c r="G1785" s="31"/>
      <c r="H1785" s="31" t="n">
        <v>1</v>
      </c>
      <c r="I1785" s="31" t="s">
        <v>99</v>
      </c>
      <c r="J1785" s="29" t="s">
        <v>595</v>
      </c>
      <c r="K1785" s="29" t="s">
        <v>596</v>
      </c>
      <c r="L1785" s="32" t="n">
        <v>20</v>
      </c>
      <c r="M1785" s="33" t="s">
        <v>597</v>
      </c>
      <c r="N1785" s="34" t="n">
        <v>75015</v>
      </c>
      <c r="O1785" s="35" t="s">
        <v>55</v>
      </c>
      <c r="P1785" s="36" t="s">
        <v>9720</v>
      </c>
      <c r="Q1785" s="36" t="n">
        <v>90</v>
      </c>
      <c r="R1785" s="32" t="n">
        <v>31</v>
      </c>
      <c r="S1785" s="32" t="n">
        <v>1</v>
      </c>
      <c r="T1785" s="43" t="s">
        <v>316</v>
      </c>
      <c r="U1785" s="32"/>
      <c r="V1785" s="37"/>
      <c r="W1785" s="32"/>
      <c r="X1785" s="34"/>
      <c r="Y1785" s="34"/>
      <c r="Z1785" s="36"/>
      <c r="AA1785" s="32" t="s">
        <v>9885</v>
      </c>
      <c r="AB1785" s="32"/>
      <c r="AC1785" s="38" t="str">
        <f aca="false">HYPERLINK("https://biocodex6--c.vf.force.com/0014L00000KGBlaQAH", "VINANT VICTOIRE")</f>
        <v>VINANT VICTOIRE</v>
      </c>
      <c r="AD1785" s="38"/>
      <c r="AE1785" s="39"/>
      <c r="AF1785" s="40"/>
      <c r="AG1785" s="41"/>
      <c r="AH1785" s="32" t="s">
        <v>179</v>
      </c>
      <c r="AI1785" s="32"/>
      <c r="AL1785" s="32"/>
      <c r="AM1785" s="32"/>
      <c r="AN1785" s="32"/>
      <c r="AO1785" s="32"/>
      <c r="AP1785" s="32"/>
      <c r="AQ1785" s="32"/>
      <c r="AR1785" s="32"/>
      <c r="AS1785" s="32"/>
      <c r="AT1785" s="32"/>
      <c r="AU1785" s="32"/>
      <c r="XEY1785" s="27"/>
      <c r="XEZ1785" s="27"/>
      <c r="XFA1785" s="27"/>
      <c r="XFB1785" s="27"/>
      <c r="XFC1785" s="27"/>
      <c r="XFD1785" s="27"/>
    </row>
    <row r="1786" s="42" customFormat="true" ht="14.15" hidden="false" customHeight="true" outlineLevel="0" collapsed="false">
      <c r="A1786" s="28" t="s">
        <v>9886</v>
      </c>
      <c r="B1786" s="29" t="s">
        <v>9887</v>
      </c>
      <c r="C1786" s="29" t="s">
        <v>9888</v>
      </c>
      <c r="D1786" s="30" t="s">
        <v>172</v>
      </c>
      <c r="E1786" s="31"/>
      <c r="F1786" s="32" t="n">
        <v>45</v>
      </c>
      <c r="G1786" s="31"/>
      <c r="H1786" s="31" t="n">
        <v>1</v>
      </c>
      <c r="I1786" s="31" t="s">
        <v>435</v>
      </c>
      <c r="J1786" s="29"/>
      <c r="K1786" s="29" t="s">
        <v>9889</v>
      </c>
      <c r="L1786" s="32" t="n">
        <v>7</v>
      </c>
      <c r="M1786" s="33" t="s">
        <v>9890</v>
      </c>
      <c r="N1786" s="34" t="n">
        <v>75016</v>
      </c>
      <c r="O1786" s="35" t="s">
        <v>55</v>
      </c>
      <c r="P1786" s="50" t="s">
        <v>9891</v>
      </c>
      <c r="Q1786" s="36" t="n">
        <v>1</v>
      </c>
      <c r="R1786" s="32" t="n">
        <v>31</v>
      </c>
      <c r="S1786" s="32" t="n">
        <v>1</v>
      </c>
      <c r="T1786" s="43" t="s">
        <v>316</v>
      </c>
      <c r="U1786" s="32"/>
      <c r="V1786" s="37"/>
      <c r="W1786" s="32"/>
      <c r="X1786" s="34"/>
      <c r="Y1786" s="34"/>
      <c r="Z1786" s="36"/>
      <c r="AA1786" s="32" t="s">
        <v>9892</v>
      </c>
      <c r="AB1786" s="32"/>
      <c r="AC1786" s="38" t="str">
        <f aca="false">HYPERLINK("https://biocodex6--c.vf.force.com/0014L00000KFXysQAH", "DAMMAK AMIRA")</f>
        <v>DAMMAK AMIRA</v>
      </c>
      <c r="AD1786" s="38"/>
      <c r="AE1786" s="39"/>
      <c r="AF1786" s="40"/>
      <c r="AG1786" s="41"/>
      <c r="AH1786" s="32" t="s">
        <v>179</v>
      </c>
      <c r="AI1786" s="32"/>
      <c r="AL1786" s="32"/>
      <c r="AM1786" s="32"/>
      <c r="AN1786" s="32"/>
      <c r="AO1786" s="32"/>
      <c r="AP1786" s="32"/>
      <c r="AQ1786" s="32"/>
      <c r="AR1786" s="32"/>
      <c r="AS1786" s="32"/>
      <c r="AT1786" s="32"/>
      <c r="AU1786" s="32"/>
      <c r="XEY1786" s="27"/>
      <c r="XEZ1786" s="27"/>
      <c r="XFA1786" s="27"/>
      <c r="XFB1786" s="27"/>
      <c r="XFC1786" s="27"/>
      <c r="XFD1786" s="27"/>
    </row>
    <row r="1787" s="42" customFormat="true" ht="14.15" hidden="false" customHeight="true" outlineLevel="0" collapsed="false">
      <c r="A1787" s="28" t="s">
        <v>9893</v>
      </c>
      <c r="B1787" s="29" t="s">
        <v>3063</v>
      </c>
      <c r="C1787" s="29" t="s">
        <v>9894</v>
      </c>
      <c r="D1787" s="30" t="s">
        <v>172</v>
      </c>
      <c r="E1787" s="30" t="s">
        <v>818</v>
      </c>
      <c r="F1787" s="32" t="n">
        <v>71</v>
      </c>
      <c r="G1787" s="31"/>
      <c r="H1787" s="31" t="n">
        <v>1</v>
      </c>
      <c r="I1787" s="31" t="s">
        <v>62</v>
      </c>
      <c r="J1787" s="29"/>
      <c r="K1787" s="29" t="s">
        <v>9609</v>
      </c>
      <c r="L1787" s="32" t="n">
        <v>27</v>
      </c>
      <c r="M1787" s="33" t="s">
        <v>5980</v>
      </c>
      <c r="N1787" s="34" t="n">
        <v>75017</v>
      </c>
      <c r="O1787" s="35" t="s">
        <v>55</v>
      </c>
      <c r="P1787" s="36" t="s">
        <v>9895</v>
      </c>
      <c r="Q1787" s="36" t="n">
        <v>3</v>
      </c>
      <c r="R1787" s="32" t="n">
        <v>31</v>
      </c>
      <c r="S1787" s="32" t="n">
        <v>1</v>
      </c>
      <c r="T1787" s="43" t="s">
        <v>316</v>
      </c>
      <c r="U1787" s="32"/>
      <c r="V1787" s="37"/>
      <c r="W1787" s="32"/>
      <c r="X1787" s="34"/>
      <c r="Y1787" s="34"/>
      <c r="Z1787" s="32"/>
      <c r="AA1787" s="32" t="s">
        <v>9896</v>
      </c>
      <c r="AB1787" s="32"/>
      <c r="AC1787" s="38" t="str">
        <f aca="false">HYPERLINK("https://biocodex6--c.vf.force.com/0014L00000KG3LeQAL", "TISSERAND LUC")</f>
        <v>TISSERAND LUC</v>
      </c>
      <c r="AD1787" s="38"/>
      <c r="AE1787" s="39"/>
      <c r="AF1787" s="40"/>
      <c r="AG1787" s="41"/>
      <c r="AH1787" s="32" t="s">
        <v>156</v>
      </c>
      <c r="AI1787" s="32" t="s">
        <v>180</v>
      </c>
      <c r="AK1787" s="42" t="s">
        <v>5497</v>
      </c>
      <c r="AL1787" s="32"/>
      <c r="AM1787" s="32"/>
      <c r="AN1787" s="32"/>
      <c r="AO1787" s="32"/>
      <c r="AP1787" s="32"/>
      <c r="AQ1787" s="32"/>
      <c r="AR1787" s="32"/>
      <c r="AS1787" s="32"/>
      <c r="AT1787" s="32"/>
      <c r="AU1787" s="32"/>
      <c r="XEY1787" s="27"/>
      <c r="XEZ1787" s="27"/>
      <c r="XFA1787" s="27"/>
      <c r="XFB1787" s="27"/>
      <c r="XFC1787" s="27"/>
      <c r="XFD1787" s="27"/>
    </row>
    <row r="1788" s="42" customFormat="true" ht="14.15" hidden="false" customHeight="true" outlineLevel="0" collapsed="false">
      <c r="A1788" s="28" t="s">
        <v>9897</v>
      </c>
      <c r="B1788" s="29" t="s">
        <v>2481</v>
      </c>
      <c r="C1788" s="29" t="s">
        <v>9898</v>
      </c>
      <c r="D1788" s="30" t="s">
        <v>1103</v>
      </c>
      <c r="E1788" s="31"/>
      <c r="F1788" s="32" t="n">
        <v>50</v>
      </c>
      <c r="G1788" s="31"/>
      <c r="H1788" s="31" t="n">
        <v>1</v>
      </c>
      <c r="I1788" s="31" t="s">
        <v>387</v>
      </c>
      <c r="J1788" s="29"/>
      <c r="K1788" s="29" t="s">
        <v>9899</v>
      </c>
      <c r="L1788" s="32" t="n">
        <v>11</v>
      </c>
      <c r="M1788" s="33" t="s">
        <v>9900</v>
      </c>
      <c r="N1788" s="34" t="n">
        <v>75016</v>
      </c>
      <c r="O1788" s="35" t="s">
        <v>55</v>
      </c>
      <c r="P1788" s="36" t="s">
        <v>9901</v>
      </c>
      <c r="Q1788" s="36" t="n">
        <v>1</v>
      </c>
      <c r="R1788" s="32" t="n">
        <v>30</v>
      </c>
      <c r="S1788" s="32" t="n">
        <v>1</v>
      </c>
      <c r="T1788" s="43" t="s">
        <v>316</v>
      </c>
      <c r="U1788" s="32"/>
      <c r="V1788" s="37"/>
      <c r="W1788" s="32"/>
      <c r="X1788" s="34"/>
      <c r="Y1788" s="34"/>
      <c r="Z1788" s="36" t="s">
        <v>9902</v>
      </c>
      <c r="AA1788" s="32" t="s">
        <v>9903</v>
      </c>
      <c r="AB1788" s="32"/>
      <c r="AC1788" s="38" t="str">
        <f aca="false">HYPERLINK("https://biocodex6--c.vf.force.com/0014L00000KFvDuQAL", "HORREARD ANNE SOPHIE")</f>
        <v>HORREARD ANNE SOPHIE</v>
      </c>
      <c r="AD1788" s="38"/>
      <c r="AE1788" s="39"/>
      <c r="AF1788" s="40"/>
      <c r="AG1788" s="41"/>
      <c r="AH1788" s="32" t="s">
        <v>179</v>
      </c>
      <c r="AI1788" s="32"/>
      <c r="AL1788" s="32"/>
      <c r="AM1788" s="32"/>
      <c r="AN1788" s="32"/>
      <c r="AO1788" s="32"/>
      <c r="AP1788" s="32"/>
      <c r="AQ1788" s="32"/>
      <c r="AR1788" s="32"/>
      <c r="AS1788" s="32"/>
      <c r="AT1788" s="32"/>
      <c r="AU1788" s="32"/>
      <c r="XEY1788" s="27"/>
      <c r="XEZ1788" s="27"/>
      <c r="XFA1788" s="27"/>
      <c r="XFB1788" s="27"/>
      <c r="XFC1788" s="27"/>
      <c r="XFD1788" s="27"/>
    </row>
    <row r="1789" s="42" customFormat="true" ht="14.15" hidden="false" customHeight="true" outlineLevel="0" collapsed="false">
      <c r="A1789" s="28" t="s">
        <v>9904</v>
      </c>
      <c r="B1789" s="29" t="s">
        <v>4463</v>
      </c>
      <c r="C1789" s="29" t="s">
        <v>9905</v>
      </c>
      <c r="D1789" s="30" t="s">
        <v>172</v>
      </c>
      <c r="E1789" s="31"/>
      <c r="F1789" s="32" t="n">
        <v>36</v>
      </c>
      <c r="G1789" s="31"/>
      <c r="H1789" s="31" t="n">
        <v>1</v>
      </c>
      <c r="I1789" s="31" t="s">
        <v>119</v>
      </c>
      <c r="J1789" s="29"/>
      <c r="K1789" s="29" t="s">
        <v>9906</v>
      </c>
      <c r="L1789" s="32" t="n">
        <v>4</v>
      </c>
      <c r="M1789" s="33" t="s">
        <v>9770</v>
      </c>
      <c r="N1789" s="34" t="n">
        <v>75007</v>
      </c>
      <c r="O1789" s="35" t="s">
        <v>55</v>
      </c>
      <c r="P1789" s="36" t="s">
        <v>9907</v>
      </c>
      <c r="Q1789" s="36" t="n">
        <v>1</v>
      </c>
      <c r="R1789" s="32" t="n">
        <v>29</v>
      </c>
      <c r="S1789" s="32" t="n">
        <v>1</v>
      </c>
      <c r="T1789" s="43" t="s">
        <v>316</v>
      </c>
      <c r="U1789" s="32"/>
      <c r="V1789" s="37"/>
      <c r="W1789" s="32"/>
      <c r="X1789" s="34"/>
      <c r="Y1789" s="34"/>
      <c r="Z1789" s="36"/>
      <c r="AA1789" s="32" t="s">
        <v>9908</v>
      </c>
      <c r="AB1789" s="32"/>
      <c r="AC1789" s="38" t="str">
        <f aca="false">HYPERLINK("https://biocodex6--c.vf.force.com/0014L00000KGBMiQAP", "BONFILS NICOLAS")</f>
        <v>BONFILS NICOLAS</v>
      </c>
      <c r="AD1789" s="38"/>
      <c r="AE1789" s="39"/>
      <c r="AF1789" s="40"/>
      <c r="AG1789" s="41"/>
      <c r="AH1789" s="32" t="s">
        <v>179</v>
      </c>
      <c r="AI1789" s="32"/>
      <c r="AL1789" s="32"/>
      <c r="AM1789" s="32"/>
      <c r="AN1789" s="32"/>
      <c r="AO1789" s="32"/>
      <c r="AP1789" s="32"/>
      <c r="AQ1789" s="32"/>
      <c r="AR1789" s="32"/>
      <c r="AS1789" s="32"/>
      <c r="AT1789" s="32"/>
      <c r="AU1789" s="32"/>
      <c r="XEY1789" s="27"/>
      <c r="XEZ1789" s="27"/>
      <c r="XFA1789" s="27"/>
      <c r="XFB1789" s="27"/>
      <c r="XFC1789" s="27"/>
      <c r="XFD1789" s="27"/>
    </row>
    <row r="1790" s="42" customFormat="true" ht="14.15" hidden="false" customHeight="true" outlineLevel="0" collapsed="false">
      <c r="A1790" s="28" t="s">
        <v>9909</v>
      </c>
      <c r="B1790" s="29" t="s">
        <v>1584</v>
      </c>
      <c r="C1790" s="29" t="s">
        <v>9910</v>
      </c>
      <c r="D1790" s="30" t="s">
        <v>244</v>
      </c>
      <c r="E1790" s="30" t="s">
        <v>245</v>
      </c>
      <c r="F1790" s="32" t="n">
        <v>52</v>
      </c>
      <c r="G1790" s="31" t="s">
        <v>61</v>
      </c>
      <c r="H1790" s="31" t="n">
        <v>3</v>
      </c>
      <c r="I1790" s="31" t="s">
        <v>62</v>
      </c>
      <c r="J1790" s="29"/>
      <c r="K1790" s="29" t="s">
        <v>8620</v>
      </c>
      <c r="L1790" s="32" t="n">
        <v>187</v>
      </c>
      <c r="M1790" s="33" t="s">
        <v>1138</v>
      </c>
      <c r="N1790" s="34" t="n">
        <v>75017</v>
      </c>
      <c r="O1790" s="35" t="s">
        <v>55</v>
      </c>
      <c r="P1790" s="36" t="s">
        <v>9911</v>
      </c>
      <c r="Q1790" s="36" t="n">
        <v>2</v>
      </c>
      <c r="R1790" s="32" t="n">
        <v>28</v>
      </c>
      <c r="S1790" s="32" t="n">
        <v>1</v>
      </c>
      <c r="T1790" s="32"/>
      <c r="U1790" s="32"/>
      <c r="V1790" s="37"/>
      <c r="W1790" s="32"/>
      <c r="X1790" s="34"/>
      <c r="Y1790" s="34"/>
      <c r="Z1790" s="36"/>
      <c r="AA1790" s="32" t="s">
        <v>9912</v>
      </c>
      <c r="AB1790" s="32" t="s">
        <v>9913</v>
      </c>
      <c r="AC1790" s="38" t="str">
        <f aca="false">HYPERLINK("https://biocodex6--c.vf.force.com/0014L00000KG4F1QAL", "TRESOR LAURENCE")</f>
        <v>TRESOR LAURENCE</v>
      </c>
      <c r="AD1790" s="38" t="str">
        <f aca="false">HYPERLINK("https://annuairesante.ameli.fr/professionnels-de-sante/recherche/fiche-detaillee-B7c1kjc3MjG3.html", "TRESOR LAURENCE")</f>
        <v>TRESOR LAURENCE</v>
      </c>
      <c r="AE1790" s="39"/>
      <c r="AF1790" s="40"/>
      <c r="AG1790" s="41"/>
      <c r="AH1790" s="32" t="s">
        <v>179</v>
      </c>
      <c r="AI1790" s="32"/>
      <c r="AL1790" s="32"/>
      <c r="AM1790" s="32"/>
      <c r="AN1790" s="32"/>
      <c r="AO1790" s="32"/>
      <c r="AP1790" s="32"/>
      <c r="AQ1790" s="32"/>
      <c r="AR1790" s="32"/>
      <c r="AS1790" s="32"/>
      <c r="AT1790" s="32"/>
      <c r="AU1790" s="32"/>
      <c r="XEY1790" s="27"/>
      <c r="XEZ1790" s="27"/>
      <c r="XFA1790" s="27"/>
      <c r="XFB1790" s="27"/>
      <c r="XFC1790" s="27"/>
      <c r="XFD1790" s="27"/>
    </row>
    <row r="1791" s="42" customFormat="true" ht="14.15" hidden="false" customHeight="true" outlineLevel="0" collapsed="false">
      <c r="A1791" s="28" t="s">
        <v>9914</v>
      </c>
      <c r="B1791" s="29" t="s">
        <v>1294</v>
      </c>
      <c r="C1791" s="29" t="s">
        <v>9915</v>
      </c>
      <c r="D1791" s="30" t="s">
        <v>172</v>
      </c>
      <c r="E1791" s="30" t="s">
        <v>545</v>
      </c>
      <c r="F1791" s="32" t="n">
        <v>43</v>
      </c>
      <c r="G1791" s="31"/>
      <c r="H1791" s="31" t="n">
        <v>1</v>
      </c>
      <c r="I1791" s="46" t="s">
        <v>435</v>
      </c>
      <c r="J1791" s="29"/>
      <c r="K1791" s="29" t="s">
        <v>8993</v>
      </c>
      <c r="L1791" s="32" t="n">
        <v>17</v>
      </c>
      <c r="M1791" s="33" t="s">
        <v>8994</v>
      </c>
      <c r="N1791" s="34" t="n">
        <v>75016</v>
      </c>
      <c r="O1791" s="35" t="s">
        <v>55</v>
      </c>
      <c r="P1791" s="36" t="s">
        <v>8995</v>
      </c>
      <c r="Q1791" s="36" t="n">
        <v>4</v>
      </c>
      <c r="R1791" s="36" t="n">
        <v>26</v>
      </c>
      <c r="S1791" s="32" t="n">
        <v>1</v>
      </c>
      <c r="T1791" s="43" t="s">
        <v>2189</v>
      </c>
      <c r="U1791" s="32" t="n">
        <v>3</v>
      </c>
      <c r="V1791" s="37" t="n">
        <v>3</v>
      </c>
      <c r="W1791" s="32"/>
      <c r="X1791" s="34"/>
      <c r="Y1791" s="34"/>
      <c r="Z1791" s="32"/>
      <c r="AA1791" s="32" t="s">
        <v>9916</v>
      </c>
      <c r="AB1791" s="44"/>
      <c r="AC1791" s="38" t="str">
        <f aca="false">HYPERLINK("https://biocodex6--c.vf.force.com/0014L00000KFcyJQAT", "GAILLARD ADELINE")</f>
        <v>GAILLARD ADELINE</v>
      </c>
      <c r="AD1791" s="38"/>
      <c r="AE1791" s="39"/>
      <c r="AF1791" s="40"/>
      <c r="AG1791" s="41"/>
      <c r="AH1791" s="32" t="s">
        <v>2191</v>
      </c>
      <c r="AI1791" s="32" t="s">
        <v>2191</v>
      </c>
      <c r="AJ1791" s="42" t="s">
        <v>8997</v>
      </c>
      <c r="AL1791" s="32"/>
      <c r="AM1791" s="32"/>
      <c r="AN1791" s="32"/>
      <c r="AO1791" s="32"/>
      <c r="AP1791" s="32"/>
      <c r="AQ1791" s="32"/>
      <c r="AR1791" s="32"/>
      <c r="AS1791" s="32"/>
      <c r="AT1791" s="32"/>
      <c r="AU1791" s="32"/>
      <c r="XEY1791" s="27"/>
      <c r="XEZ1791" s="27"/>
      <c r="XFA1791" s="27"/>
      <c r="XFB1791" s="27"/>
      <c r="XFC1791" s="27"/>
      <c r="XFD1791" s="27"/>
    </row>
    <row r="1792" s="42" customFormat="true" ht="14.15" hidden="false" customHeight="true" outlineLevel="0" collapsed="false">
      <c r="A1792" s="28" t="s">
        <v>9917</v>
      </c>
      <c r="B1792" s="29" t="s">
        <v>1101</v>
      </c>
      <c r="C1792" s="29" t="s">
        <v>9918</v>
      </c>
      <c r="D1792" s="30" t="s">
        <v>244</v>
      </c>
      <c r="E1792" s="31"/>
      <c r="F1792" s="32" t="n">
        <v>71</v>
      </c>
      <c r="G1792" s="31"/>
      <c r="H1792" s="31" t="n">
        <v>1</v>
      </c>
      <c r="I1792" s="31" t="s">
        <v>51</v>
      </c>
      <c r="J1792" s="29"/>
      <c r="K1792" s="29" t="s">
        <v>3258</v>
      </c>
      <c r="L1792" s="32" t="n">
        <v>4</v>
      </c>
      <c r="M1792" s="33" t="s">
        <v>3259</v>
      </c>
      <c r="N1792" s="34" t="n">
        <v>75015</v>
      </c>
      <c r="O1792" s="35" t="s">
        <v>55</v>
      </c>
      <c r="P1792" s="36"/>
      <c r="Q1792" s="36" t="n">
        <v>3</v>
      </c>
      <c r="R1792" s="32" t="n">
        <v>22</v>
      </c>
      <c r="S1792" s="32" t="n">
        <v>1</v>
      </c>
      <c r="T1792" s="32"/>
      <c r="U1792" s="32"/>
      <c r="V1792" s="37"/>
      <c r="W1792" s="32"/>
      <c r="X1792" s="34"/>
      <c r="Y1792" s="34"/>
      <c r="Z1792" s="36"/>
      <c r="AA1792" s="32" t="s">
        <v>9919</v>
      </c>
      <c r="AB1792" s="32"/>
      <c r="AC1792" s="38" t="str">
        <f aca="false">HYPERLINK("https://biocodex6--c.vf.force.com/0014L00000KFX1wQAH", "COHEN SOURDILLE ISABELLE")</f>
        <v>COHEN SOURDILLE ISABELLE</v>
      </c>
      <c r="AD1792" s="38"/>
      <c r="AE1792" s="39"/>
      <c r="AF1792" s="40"/>
      <c r="AG1792" s="41"/>
      <c r="AH1792" s="32" t="s">
        <v>179</v>
      </c>
      <c r="AI1792" s="32"/>
      <c r="AL1792" s="32"/>
      <c r="AM1792" s="32"/>
      <c r="AN1792" s="32"/>
      <c r="AO1792" s="32"/>
      <c r="AP1792" s="32"/>
      <c r="AQ1792" s="32"/>
      <c r="AR1792" s="32"/>
      <c r="AS1792" s="32"/>
      <c r="AT1792" s="32"/>
      <c r="AU1792" s="32"/>
      <c r="XEY1792" s="27"/>
      <c r="XEZ1792" s="27"/>
      <c r="XFA1792" s="27"/>
      <c r="XFB1792" s="27"/>
      <c r="XFC1792" s="27"/>
      <c r="XFD1792" s="27"/>
    </row>
    <row r="1793" s="42" customFormat="true" ht="14.15" hidden="false" customHeight="true" outlineLevel="0" collapsed="false">
      <c r="A1793" s="28" t="s">
        <v>9920</v>
      </c>
      <c r="B1793" s="29" t="s">
        <v>9921</v>
      </c>
      <c r="C1793" s="29" t="s">
        <v>9922</v>
      </c>
      <c r="D1793" s="30" t="s">
        <v>50</v>
      </c>
      <c r="E1793" s="30" t="s">
        <v>2401</v>
      </c>
      <c r="F1793" s="32" t="n">
        <v>67</v>
      </c>
      <c r="G1793" s="31"/>
      <c r="H1793" s="31" t="n">
        <v>1</v>
      </c>
      <c r="I1793" s="31" t="s">
        <v>435</v>
      </c>
      <c r="J1793" s="29"/>
      <c r="K1793" s="29" t="s">
        <v>9923</v>
      </c>
      <c r="L1793" s="32" t="n">
        <v>8</v>
      </c>
      <c r="M1793" s="33" t="s">
        <v>1239</v>
      </c>
      <c r="N1793" s="34" t="n">
        <v>75016</v>
      </c>
      <c r="O1793" s="35" t="s">
        <v>55</v>
      </c>
      <c r="P1793" s="36"/>
      <c r="Q1793" s="36" t="n">
        <v>1</v>
      </c>
      <c r="R1793" s="32" t="n">
        <v>20</v>
      </c>
      <c r="S1793" s="32" t="n">
        <v>1</v>
      </c>
      <c r="T1793" s="32"/>
      <c r="U1793" s="32"/>
      <c r="V1793" s="37"/>
      <c r="W1793" s="32"/>
      <c r="X1793" s="34"/>
      <c r="Y1793" s="34"/>
      <c r="Z1793" s="36"/>
      <c r="AA1793" s="32" t="s">
        <v>9924</v>
      </c>
      <c r="AB1793" s="32"/>
      <c r="AC1793" s="38" t="str">
        <f aca="false">HYPERLINK("https://biocodex6--c.vf.force.com/001Py000001m85yIAA", "RADUSZYNSKI IVAN")</f>
        <v>RADUSZYNSKI IVAN</v>
      </c>
      <c r="AD1793" s="38"/>
      <c r="AE1793" s="39"/>
      <c r="AF1793" s="40"/>
      <c r="AG1793" s="41"/>
      <c r="AH1793" s="32" t="s">
        <v>179</v>
      </c>
      <c r="AI1793" s="32"/>
      <c r="AL1793" s="32"/>
      <c r="AM1793" s="32"/>
      <c r="AN1793" s="32"/>
      <c r="AO1793" s="32"/>
      <c r="AP1793" s="32"/>
      <c r="AQ1793" s="32"/>
      <c r="AR1793" s="32"/>
      <c r="AS1793" s="32"/>
      <c r="AT1793" s="32"/>
      <c r="AU1793" s="32"/>
      <c r="XEY1793" s="27"/>
      <c r="XEZ1793" s="27"/>
      <c r="XFA1793" s="27"/>
      <c r="XFB1793" s="27"/>
      <c r="XFC1793" s="27"/>
      <c r="XFD1793" s="27"/>
    </row>
    <row r="1794" s="42" customFormat="true" ht="14.15" hidden="false" customHeight="true" outlineLevel="0" collapsed="false">
      <c r="A1794" s="28" t="s">
        <v>9925</v>
      </c>
      <c r="B1794" s="29" t="s">
        <v>9926</v>
      </c>
      <c r="C1794" s="29" t="s">
        <v>9927</v>
      </c>
      <c r="D1794" s="30" t="s">
        <v>50</v>
      </c>
      <c r="E1794" s="31"/>
      <c r="F1794" s="32" t="n">
        <v>53</v>
      </c>
      <c r="G1794" s="31"/>
      <c r="H1794" s="31" t="n">
        <v>1</v>
      </c>
      <c r="I1794" s="31" t="s">
        <v>572</v>
      </c>
      <c r="J1794" s="29" t="s">
        <v>678</v>
      </c>
      <c r="K1794" s="29" t="s">
        <v>679</v>
      </c>
      <c r="L1794" s="32" t="n">
        <v>6</v>
      </c>
      <c r="M1794" s="33" t="s">
        <v>680</v>
      </c>
      <c r="N1794" s="34" t="n">
        <v>75008</v>
      </c>
      <c r="O1794" s="35" t="s">
        <v>55</v>
      </c>
      <c r="P1794" s="36" t="s">
        <v>870</v>
      </c>
      <c r="Q1794" s="36" t="n">
        <v>43</v>
      </c>
      <c r="R1794" s="32" t="n">
        <v>11</v>
      </c>
      <c r="S1794" s="32" t="n">
        <v>1</v>
      </c>
      <c r="T1794" s="32"/>
      <c r="U1794" s="32"/>
      <c r="V1794" s="37"/>
      <c r="W1794" s="32"/>
      <c r="X1794" s="34"/>
      <c r="Y1794" s="34"/>
      <c r="Z1794" s="36"/>
      <c r="AA1794" s="32" t="s">
        <v>9928</v>
      </c>
      <c r="AB1794" s="32"/>
      <c r="AC1794" s="38" t="str">
        <f aca="false">HYPERLINK("https://biocodex6--c.vf.force.com/0014L00000bOm2oQAC", "CHADLI ABDALLAH")</f>
        <v>CHADLI ABDALLAH</v>
      </c>
      <c r="AD1794" s="38"/>
      <c r="AE1794" s="39"/>
      <c r="AF1794" s="40"/>
      <c r="AG1794" s="41"/>
      <c r="AH1794" s="32" t="s">
        <v>179</v>
      </c>
      <c r="AI1794" s="32"/>
      <c r="AL1794" s="32"/>
      <c r="AM1794" s="32"/>
      <c r="AN1794" s="32"/>
      <c r="AO1794" s="32"/>
      <c r="AP1794" s="32"/>
      <c r="AQ1794" s="32"/>
      <c r="AR1794" s="32"/>
      <c r="AS1794" s="32"/>
      <c r="AT1794" s="32"/>
      <c r="AU1794" s="32"/>
      <c r="XEY1794" s="27"/>
      <c r="XEZ1794" s="27"/>
      <c r="XFA1794" s="27"/>
      <c r="XFB1794" s="27"/>
      <c r="XFC1794" s="27"/>
      <c r="XFD1794" s="27"/>
    </row>
    <row r="1795" s="42" customFormat="true" ht="14.15" hidden="false" customHeight="true" outlineLevel="0" collapsed="false">
      <c r="A1795" s="28" t="s">
        <v>9929</v>
      </c>
      <c r="B1795" s="29" t="s">
        <v>1365</v>
      </c>
      <c r="C1795" s="29" t="s">
        <v>9930</v>
      </c>
      <c r="D1795" s="30" t="s">
        <v>112</v>
      </c>
      <c r="E1795" s="30" t="s">
        <v>1820</v>
      </c>
      <c r="F1795" s="32" t="n">
        <v>52</v>
      </c>
      <c r="G1795" s="31"/>
      <c r="H1795" s="31" t="n">
        <v>2</v>
      </c>
      <c r="I1795" s="31" t="s">
        <v>51</v>
      </c>
      <c r="J1795" s="29" t="s">
        <v>52</v>
      </c>
      <c r="K1795" s="29" t="s">
        <v>53</v>
      </c>
      <c r="L1795" s="32" t="n">
        <v>149</v>
      </c>
      <c r="M1795" s="33" t="s">
        <v>54</v>
      </c>
      <c r="N1795" s="34" t="n">
        <v>75015</v>
      </c>
      <c r="O1795" s="35" t="s">
        <v>55</v>
      </c>
      <c r="P1795" s="36" t="s">
        <v>1821</v>
      </c>
      <c r="Q1795" s="36" t="n">
        <v>236</v>
      </c>
      <c r="R1795" s="32" t="n">
        <v>11</v>
      </c>
      <c r="S1795" s="32" t="n">
        <v>1</v>
      </c>
      <c r="T1795" s="32"/>
      <c r="U1795" s="32"/>
      <c r="V1795" s="37"/>
      <c r="W1795" s="32"/>
      <c r="X1795" s="34"/>
      <c r="Y1795" s="34"/>
      <c r="Z1795" s="36"/>
      <c r="AA1795" s="32" t="s">
        <v>9931</v>
      </c>
      <c r="AB1795" s="32"/>
      <c r="AC1795" s="38" t="str">
        <f aca="false">HYPERLINK("https://biocodex6--c.vf.force.com/0014L00000KFwq0QAD", "PICARD CAPUCINE")</f>
        <v>PICARD CAPUCINE</v>
      </c>
      <c r="AD1795" s="38"/>
      <c r="AE1795" s="39"/>
      <c r="AF1795" s="40"/>
      <c r="AG1795" s="41"/>
      <c r="AH1795" s="32" t="s">
        <v>179</v>
      </c>
      <c r="AI1795" s="32"/>
      <c r="AL1795" s="32"/>
      <c r="AM1795" s="32"/>
      <c r="AN1795" s="32"/>
      <c r="AO1795" s="32"/>
      <c r="AP1795" s="32"/>
      <c r="AQ1795" s="32"/>
      <c r="AR1795" s="32"/>
      <c r="AS1795" s="32"/>
      <c r="AT1795" s="32"/>
      <c r="AU1795" s="32"/>
      <c r="XEY1795" s="27"/>
      <c r="XEZ1795" s="27"/>
      <c r="XFA1795" s="27"/>
      <c r="XFB1795" s="27"/>
      <c r="XFC1795" s="27"/>
      <c r="XFD1795" s="27"/>
    </row>
    <row r="1796" s="42" customFormat="true" ht="14.15" hidden="false" customHeight="true" outlineLevel="0" collapsed="false">
      <c r="A1796" s="28" t="s">
        <v>9932</v>
      </c>
      <c r="B1796" s="29" t="s">
        <v>304</v>
      </c>
      <c r="C1796" s="29" t="s">
        <v>9933</v>
      </c>
      <c r="D1796" s="30" t="s">
        <v>50</v>
      </c>
      <c r="E1796" s="31"/>
      <c r="F1796" s="32" t="n">
        <v>45</v>
      </c>
      <c r="G1796" s="31" t="s">
        <v>98</v>
      </c>
      <c r="H1796" s="31" t="n">
        <v>1</v>
      </c>
      <c r="I1796" s="31" t="s">
        <v>435</v>
      </c>
      <c r="J1796" s="29"/>
      <c r="K1796" s="29" t="s">
        <v>9934</v>
      </c>
      <c r="L1796" s="32" t="n">
        <v>3</v>
      </c>
      <c r="M1796" s="33" t="s">
        <v>9935</v>
      </c>
      <c r="N1796" s="34" t="n">
        <v>75016</v>
      </c>
      <c r="O1796" s="35" t="s">
        <v>55</v>
      </c>
      <c r="P1796" s="36" t="s">
        <v>9936</v>
      </c>
      <c r="Q1796" s="36" t="n">
        <v>1</v>
      </c>
      <c r="R1796" s="32" t="n">
        <v>11</v>
      </c>
      <c r="S1796" s="32" t="n">
        <v>1</v>
      </c>
      <c r="T1796" s="32"/>
      <c r="U1796" s="32"/>
      <c r="V1796" s="37"/>
      <c r="W1796" s="32"/>
      <c r="X1796" s="34"/>
      <c r="Y1796" s="34"/>
      <c r="Z1796" s="36"/>
      <c r="AA1796" s="32" t="s">
        <v>9937</v>
      </c>
      <c r="AB1796" s="32" t="s">
        <v>9938</v>
      </c>
      <c r="AC1796" s="38" t="str">
        <f aca="false">HYPERLINK("https://biocodex6--c.vf.force.com/0014L00000KFRFGQA5", "ACHE SANDRINE")</f>
        <v>ACHE SANDRINE</v>
      </c>
      <c r="AD1796" s="38" t="str">
        <f aca="false">HYPERLINK("https://annuairesante.ameli.fr/professionnels-de-sante/recherche/fiche-detaillee-B7c1mzY4MDS0.html", "ACHE SANDRINE")</f>
        <v>ACHE SANDRINE</v>
      </c>
      <c r="AE1796" s="39"/>
      <c r="AF1796" s="40"/>
      <c r="AG1796" s="41"/>
      <c r="AH1796" s="32" t="s">
        <v>179</v>
      </c>
      <c r="AI1796" s="32"/>
      <c r="AL1796" s="43" t="s">
        <v>657</v>
      </c>
      <c r="AM1796" s="43" t="s">
        <v>262</v>
      </c>
      <c r="AN1796" s="43" t="s">
        <v>639</v>
      </c>
      <c r="AO1796" s="43" t="s">
        <v>262</v>
      </c>
      <c r="AP1796" s="43" t="s">
        <v>1067</v>
      </c>
      <c r="AQ1796" s="32"/>
      <c r="AR1796" s="43" t="s">
        <v>263</v>
      </c>
      <c r="AS1796" s="43" t="s">
        <v>262</v>
      </c>
      <c r="AT1796" s="43" t="s">
        <v>263</v>
      </c>
      <c r="AU1796" s="43" t="s">
        <v>518</v>
      </c>
      <c r="XEY1796" s="27"/>
      <c r="XEZ1796" s="27"/>
      <c r="XFA1796" s="27"/>
      <c r="XFB1796" s="27"/>
      <c r="XFC1796" s="27"/>
      <c r="XFD1796" s="27"/>
    </row>
    <row r="1797" s="42" customFormat="true" ht="14.15" hidden="false" customHeight="true" outlineLevel="0" collapsed="false">
      <c r="A1797" s="28" t="s">
        <v>9939</v>
      </c>
      <c r="B1797" s="29" t="s">
        <v>2033</v>
      </c>
      <c r="C1797" s="29" t="s">
        <v>9940</v>
      </c>
      <c r="D1797" s="30" t="s">
        <v>50</v>
      </c>
      <c r="E1797" s="31"/>
      <c r="F1797" s="32" t="n">
        <v>46</v>
      </c>
      <c r="G1797" s="31" t="s">
        <v>215</v>
      </c>
      <c r="H1797" s="31" t="n">
        <v>1</v>
      </c>
      <c r="I1797" s="31" t="s">
        <v>173</v>
      </c>
      <c r="J1797" s="29"/>
      <c r="K1797" s="29" t="s">
        <v>9941</v>
      </c>
      <c r="L1797" s="32" t="n">
        <v>129</v>
      </c>
      <c r="M1797" s="33" t="s">
        <v>6504</v>
      </c>
      <c r="N1797" s="34" t="n">
        <v>75016</v>
      </c>
      <c r="O1797" s="35" t="s">
        <v>55</v>
      </c>
      <c r="P1797" s="36"/>
      <c r="Q1797" s="36" t="n">
        <v>1</v>
      </c>
      <c r="R1797" s="32" t="n">
        <v>11</v>
      </c>
      <c r="S1797" s="32" t="n">
        <v>1</v>
      </c>
      <c r="T1797" s="32"/>
      <c r="U1797" s="32"/>
      <c r="V1797" s="37"/>
      <c r="W1797" s="32"/>
      <c r="X1797" s="34"/>
      <c r="Y1797" s="34"/>
      <c r="Z1797" s="36"/>
      <c r="AA1797" s="32" t="s">
        <v>9942</v>
      </c>
      <c r="AB1797" s="32" t="s">
        <v>9943</v>
      </c>
      <c r="AC1797" s="38" t="str">
        <f aca="false">HYPERLINK("https://biocodex6--c.vf.force.com/0014L00000KFSHwQAP", "ATLAN ALEXANDRA")</f>
        <v>ATLAN ALEXANDRA</v>
      </c>
      <c r="AD1797" s="38" t="str">
        <f aca="false">HYPERLINK("https://annuairesante.ameli.fr/professionnels-de-sante/recherche/fiche-detaillee-B7c1mzY5NDa7.html", "ATLAN ALEXANDRA")</f>
        <v>ATLAN ALEXANDRA</v>
      </c>
      <c r="AE1797" s="39"/>
      <c r="AF1797" s="40"/>
      <c r="AG1797" s="41"/>
      <c r="AH1797" s="32" t="s">
        <v>179</v>
      </c>
      <c r="AI1797" s="32"/>
      <c r="AL1797" s="43" t="s">
        <v>1054</v>
      </c>
      <c r="AM1797" s="43" t="s">
        <v>476</v>
      </c>
      <c r="AN1797" s="43" t="s">
        <v>2503</v>
      </c>
      <c r="AO1797" s="43" t="s">
        <v>518</v>
      </c>
      <c r="AP1797" s="43" t="s">
        <v>263</v>
      </c>
      <c r="AQ1797" s="43" t="s">
        <v>1671</v>
      </c>
      <c r="AR1797" s="32"/>
      <c r="AS1797" s="32"/>
      <c r="AT1797" s="43" t="s">
        <v>263</v>
      </c>
      <c r="AU1797" s="43" t="s">
        <v>518</v>
      </c>
      <c r="XEY1797" s="27"/>
      <c r="XEZ1797" s="27"/>
      <c r="XFA1797" s="27"/>
      <c r="XFB1797" s="27"/>
      <c r="XFC1797" s="27"/>
      <c r="XFD1797" s="27"/>
    </row>
    <row r="1798" s="42" customFormat="true" ht="14.15" hidden="false" customHeight="true" outlineLevel="0" collapsed="false">
      <c r="A1798" s="28" t="s">
        <v>9944</v>
      </c>
      <c r="B1798" s="29" t="s">
        <v>643</v>
      </c>
      <c r="C1798" s="29" t="s">
        <v>9945</v>
      </c>
      <c r="D1798" s="30" t="s">
        <v>50</v>
      </c>
      <c r="E1798" s="31"/>
      <c r="F1798" s="32" t="n">
        <v>68</v>
      </c>
      <c r="G1798" s="31"/>
      <c r="H1798" s="31" t="n">
        <v>1</v>
      </c>
      <c r="I1798" s="31" t="s">
        <v>173</v>
      </c>
      <c r="J1798" s="29"/>
      <c r="K1798" s="29" t="s">
        <v>7786</v>
      </c>
      <c r="L1798" s="32" t="n">
        <v>11</v>
      </c>
      <c r="M1798" s="33" t="s">
        <v>7787</v>
      </c>
      <c r="N1798" s="34" t="n">
        <v>75016</v>
      </c>
      <c r="O1798" s="35" t="s">
        <v>55</v>
      </c>
      <c r="P1798" s="36" t="s">
        <v>7788</v>
      </c>
      <c r="Q1798" s="36" t="n">
        <v>2</v>
      </c>
      <c r="R1798" s="32" t="n">
        <v>11</v>
      </c>
      <c r="S1798" s="32" t="n">
        <v>1</v>
      </c>
      <c r="T1798" s="32"/>
      <c r="U1798" s="32"/>
      <c r="V1798" s="37"/>
      <c r="W1798" s="32"/>
      <c r="X1798" s="34"/>
      <c r="Y1798" s="34"/>
      <c r="Z1798" s="36"/>
      <c r="AA1798" s="32" t="s">
        <v>9946</v>
      </c>
      <c r="AB1798" s="32"/>
      <c r="AC1798" s="38" t="str">
        <f aca="false">HYPERLINK("https://biocodex6--c.vf.force.com/0014L00000YtsWeQAJ", "DESVAUX PIERRE")</f>
        <v>DESVAUX PIERRE</v>
      </c>
      <c r="AD1798" s="38"/>
      <c r="AE1798" s="39"/>
      <c r="AF1798" s="40"/>
      <c r="AG1798" s="41"/>
      <c r="AH1798" s="32" t="s">
        <v>179</v>
      </c>
      <c r="AI1798" s="32"/>
      <c r="AL1798" s="32"/>
      <c r="AM1798" s="32"/>
      <c r="AN1798" s="32"/>
      <c r="AO1798" s="32"/>
      <c r="AP1798" s="32"/>
      <c r="AQ1798" s="32"/>
      <c r="AR1798" s="32"/>
      <c r="AS1798" s="32"/>
      <c r="AT1798" s="32"/>
      <c r="AU1798" s="32"/>
      <c r="XEY1798" s="27"/>
      <c r="XEZ1798" s="27"/>
      <c r="XFA1798" s="27"/>
      <c r="XFB1798" s="27"/>
      <c r="XFC1798" s="27"/>
      <c r="XFD1798" s="27"/>
    </row>
    <row r="1799" s="42" customFormat="true" ht="14.15" hidden="false" customHeight="true" outlineLevel="0" collapsed="false">
      <c r="A1799" s="28" t="s">
        <v>9947</v>
      </c>
      <c r="B1799" s="29" t="s">
        <v>1135</v>
      </c>
      <c r="C1799" s="29" t="s">
        <v>9948</v>
      </c>
      <c r="D1799" s="30" t="s">
        <v>50</v>
      </c>
      <c r="E1799" s="31"/>
      <c r="F1799" s="32" t="n">
        <v>34</v>
      </c>
      <c r="G1799" s="31"/>
      <c r="H1799" s="31" t="n">
        <v>1</v>
      </c>
      <c r="I1799" s="31" t="s">
        <v>233</v>
      </c>
      <c r="J1799" s="29" t="s">
        <v>3777</v>
      </c>
      <c r="K1799" s="29" t="s">
        <v>3778</v>
      </c>
      <c r="L1799" s="32" t="n">
        <v>15</v>
      </c>
      <c r="M1799" s="33" t="s">
        <v>2823</v>
      </c>
      <c r="N1799" s="34" t="n">
        <v>75015</v>
      </c>
      <c r="O1799" s="35" t="s">
        <v>55</v>
      </c>
      <c r="P1799" s="36" t="s">
        <v>9949</v>
      </c>
      <c r="Q1799" s="36" t="n">
        <v>4</v>
      </c>
      <c r="R1799" s="32" t="n">
        <v>11</v>
      </c>
      <c r="S1799" s="32" t="n">
        <v>1</v>
      </c>
      <c r="T1799" s="32"/>
      <c r="U1799" s="32"/>
      <c r="V1799" s="37"/>
      <c r="W1799" s="32"/>
      <c r="X1799" s="34"/>
      <c r="Y1799" s="34"/>
      <c r="Z1799" s="32"/>
      <c r="AA1799" s="32" t="s">
        <v>9950</v>
      </c>
      <c r="AB1799" s="32"/>
      <c r="AC1799" s="38" t="str">
        <f aca="false">HYPERLINK("https://biocodex6--c.vf.force.com/0014L00000KGGfHQAX", "CHANTALAT LAURA")</f>
        <v>CHANTALAT LAURA</v>
      </c>
      <c r="AD1799" s="38"/>
      <c r="AE1799" s="39"/>
      <c r="AF1799" s="40"/>
      <c r="AG1799" s="41"/>
      <c r="AH1799" s="32"/>
      <c r="AI1799" s="32"/>
      <c r="AL1799" s="32"/>
      <c r="AM1799" s="32"/>
      <c r="AN1799" s="32"/>
      <c r="AO1799" s="32"/>
      <c r="AP1799" s="32"/>
      <c r="AQ1799" s="32"/>
      <c r="AR1799" s="32"/>
      <c r="AS1799" s="32"/>
      <c r="AT1799" s="32"/>
      <c r="AU1799" s="32"/>
      <c r="XEY1799" s="27"/>
      <c r="XEZ1799" s="27"/>
      <c r="XFA1799" s="27"/>
      <c r="XFB1799" s="27"/>
      <c r="XFC1799" s="27"/>
      <c r="XFD1799" s="27"/>
    </row>
    <row r="1800" s="42" customFormat="true" ht="14.15" hidden="false" customHeight="true" outlineLevel="0" collapsed="false">
      <c r="A1800" s="28" t="s">
        <v>230</v>
      </c>
      <c r="B1800" s="29" t="s">
        <v>1600</v>
      </c>
      <c r="C1800" s="29" t="s">
        <v>9951</v>
      </c>
      <c r="D1800" s="30" t="s">
        <v>50</v>
      </c>
      <c r="E1800" s="31"/>
      <c r="F1800" s="32" t="n">
        <v>0</v>
      </c>
      <c r="G1800" s="31"/>
      <c r="H1800" s="31" t="n">
        <v>1</v>
      </c>
      <c r="I1800" s="31" t="s">
        <v>119</v>
      </c>
      <c r="J1800" s="29" t="s">
        <v>286</v>
      </c>
      <c r="K1800" s="29" t="s">
        <v>287</v>
      </c>
      <c r="L1800" s="32" t="n">
        <v>20</v>
      </c>
      <c r="M1800" s="33" t="s">
        <v>946</v>
      </c>
      <c r="N1800" s="34" t="n">
        <v>75007</v>
      </c>
      <c r="O1800" s="35" t="s">
        <v>55</v>
      </c>
      <c r="P1800" s="36" t="s">
        <v>7129</v>
      </c>
      <c r="Q1800" s="36" t="n">
        <v>2</v>
      </c>
      <c r="R1800" s="32"/>
      <c r="S1800" s="32" t="n">
        <v>1</v>
      </c>
      <c r="T1800" s="32"/>
      <c r="U1800" s="32"/>
      <c r="V1800" s="37"/>
      <c r="W1800" s="32"/>
      <c r="X1800" s="34"/>
      <c r="Y1800" s="34"/>
      <c r="Z1800" s="32"/>
      <c r="AA1800" s="32"/>
      <c r="AB1800" s="32"/>
      <c r="AC1800" s="38"/>
      <c r="AD1800" s="38"/>
      <c r="AE1800" s="39" t="n">
        <v>45328.6041666667</v>
      </c>
      <c r="AF1800" s="40"/>
      <c r="AG1800" s="41"/>
      <c r="AH1800" s="32"/>
      <c r="AI1800" s="32"/>
      <c r="AL1800" s="32"/>
      <c r="AM1800" s="32"/>
      <c r="AN1800" s="32"/>
      <c r="AO1800" s="32"/>
      <c r="AP1800" s="32"/>
      <c r="AQ1800" s="32"/>
      <c r="AR1800" s="32"/>
      <c r="AS1800" s="32"/>
      <c r="AT1800" s="32"/>
      <c r="AU1800" s="32"/>
      <c r="XEY1800" s="27"/>
      <c r="XEZ1800" s="27"/>
      <c r="XFA1800" s="27"/>
      <c r="XFB1800" s="27"/>
      <c r="XFC1800" s="27"/>
      <c r="XFD1800" s="27"/>
    </row>
    <row r="1801" s="42" customFormat="true" ht="14.15" hidden="false" customHeight="true" outlineLevel="0" collapsed="false">
      <c r="A1801" s="28" t="s">
        <v>230</v>
      </c>
      <c r="B1801" s="29" t="s">
        <v>1600</v>
      </c>
      <c r="C1801" s="29" t="s">
        <v>9951</v>
      </c>
      <c r="D1801" s="30" t="s">
        <v>50</v>
      </c>
      <c r="E1801" s="31"/>
      <c r="F1801" s="32" t="n">
        <v>0</v>
      </c>
      <c r="G1801" s="31"/>
      <c r="H1801" s="31" t="n">
        <v>1</v>
      </c>
      <c r="I1801" s="31" t="s">
        <v>51</v>
      </c>
      <c r="J1801" s="29" t="s">
        <v>286</v>
      </c>
      <c r="K1801" s="29" t="s">
        <v>287</v>
      </c>
      <c r="L1801" s="32" t="n">
        <v>12</v>
      </c>
      <c r="M1801" s="33" t="s">
        <v>288</v>
      </c>
      <c r="N1801" s="34" t="n">
        <v>75015</v>
      </c>
      <c r="O1801" s="35" t="s">
        <v>55</v>
      </c>
      <c r="P1801" s="36" t="s">
        <v>289</v>
      </c>
      <c r="Q1801" s="36" t="n">
        <v>14</v>
      </c>
      <c r="R1801" s="32"/>
      <c r="S1801" s="32" t="n">
        <v>1</v>
      </c>
      <c r="T1801" s="32"/>
      <c r="U1801" s="32"/>
      <c r="V1801" s="37"/>
      <c r="W1801" s="32"/>
      <c r="X1801" s="34"/>
      <c r="Y1801" s="34"/>
      <c r="Z1801" s="32"/>
      <c r="AA1801" s="32"/>
      <c r="AB1801" s="32"/>
      <c r="AC1801" s="38"/>
      <c r="AD1801" s="38"/>
      <c r="AE1801" s="39" t="n">
        <v>45328.6041666667</v>
      </c>
      <c r="AF1801" s="40"/>
      <c r="AG1801" s="41"/>
      <c r="AH1801" s="32"/>
      <c r="AI1801" s="32"/>
      <c r="AL1801" s="32"/>
      <c r="AM1801" s="32"/>
      <c r="AN1801" s="32"/>
      <c r="AO1801" s="32"/>
      <c r="AP1801" s="32"/>
      <c r="AQ1801" s="32"/>
      <c r="AR1801" s="32"/>
      <c r="AS1801" s="32"/>
      <c r="AT1801" s="32"/>
      <c r="AU1801" s="32"/>
      <c r="XEY1801" s="27"/>
      <c r="XEZ1801" s="27"/>
      <c r="XFA1801" s="27"/>
      <c r="XFB1801" s="27"/>
      <c r="XFC1801" s="27"/>
      <c r="XFD1801" s="27"/>
    </row>
    <row r="1802" s="42" customFormat="true" ht="14.15" hidden="false" customHeight="true" outlineLevel="0" collapsed="false">
      <c r="A1802" s="28" t="s">
        <v>9952</v>
      </c>
      <c r="B1802" s="29" t="s">
        <v>9953</v>
      </c>
      <c r="C1802" s="29" t="s">
        <v>9954</v>
      </c>
      <c r="D1802" s="30" t="s">
        <v>50</v>
      </c>
      <c r="E1802" s="31"/>
      <c r="F1802" s="32" t="n">
        <v>35</v>
      </c>
      <c r="G1802" s="31"/>
      <c r="H1802" s="31" t="n">
        <v>2</v>
      </c>
      <c r="I1802" s="31" t="s">
        <v>572</v>
      </c>
      <c r="J1802" s="29"/>
      <c r="K1802" s="29" t="s">
        <v>4458</v>
      </c>
      <c r="L1802" s="32" t="n">
        <v>29</v>
      </c>
      <c r="M1802" s="33" t="s">
        <v>4459</v>
      </c>
      <c r="N1802" s="34" t="n">
        <v>75008</v>
      </c>
      <c r="O1802" s="35" t="s">
        <v>55</v>
      </c>
      <c r="P1802" s="36" t="s">
        <v>9955</v>
      </c>
      <c r="Q1802" s="36" t="n">
        <v>2</v>
      </c>
      <c r="R1802" s="32"/>
      <c r="S1802" s="32" t="n">
        <v>1</v>
      </c>
      <c r="T1802" s="32"/>
      <c r="U1802" s="32"/>
      <c r="V1802" s="37"/>
      <c r="W1802" s="32"/>
      <c r="X1802" s="34"/>
      <c r="Y1802" s="34"/>
      <c r="Z1802" s="32"/>
      <c r="AA1802" s="32" t="s">
        <v>9956</v>
      </c>
      <c r="AB1802" s="32"/>
      <c r="AC1802" s="38" t="str">
        <f aca="false">HYPERLINK("https://biocodex6--c.vf.force.com/0014L00000KGC1DQAX", "LAMBOURION ARTHUR")</f>
        <v>LAMBOURION ARTHUR</v>
      </c>
      <c r="AD1802" s="38"/>
      <c r="AE1802" s="39" t="n">
        <v>45254.5625</v>
      </c>
      <c r="AF1802" s="40"/>
      <c r="AG1802" s="41"/>
      <c r="AH1802" s="32"/>
      <c r="AI1802" s="32"/>
      <c r="AL1802" s="32"/>
      <c r="AM1802" s="32"/>
      <c r="AN1802" s="32"/>
      <c r="AO1802" s="32"/>
      <c r="AP1802" s="32"/>
      <c r="AQ1802" s="32"/>
      <c r="AR1802" s="32"/>
      <c r="AS1802" s="32"/>
      <c r="AT1802" s="32"/>
      <c r="AU1802" s="32"/>
      <c r="XEY1802" s="27"/>
      <c r="XEZ1802" s="27"/>
      <c r="XFA1802" s="27"/>
      <c r="XFB1802" s="27"/>
      <c r="XFC1802" s="27"/>
      <c r="XFD1802" s="27"/>
    </row>
    <row r="1803" s="42" customFormat="true" ht="14.15" hidden="false" customHeight="true" outlineLevel="0" collapsed="false">
      <c r="A1803" s="28" t="s">
        <v>9957</v>
      </c>
      <c r="B1803" s="29" t="s">
        <v>9958</v>
      </c>
      <c r="C1803" s="29" t="s">
        <v>9959</v>
      </c>
      <c r="D1803" s="30" t="s">
        <v>112</v>
      </c>
      <c r="E1803" s="31"/>
      <c r="F1803" s="32" t="n">
        <v>37</v>
      </c>
      <c r="G1803" s="31" t="s">
        <v>215</v>
      </c>
      <c r="H1803" s="31" t="n">
        <v>1</v>
      </c>
      <c r="I1803" s="31" t="s">
        <v>173</v>
      </c>
      <c r="J1803" s="29"/>
      <c r="K1803" s="29" t="s">
        <v>1831</v>
      </c>
      <c r="L1803" s="32" t="n">
        <v>57</v>
      </c>
      <c r="M1803" s="33" t="s">
        <v>1832</v>
      </c>
      <c r="N1803" s="34" t="n">
        <v>75016</v>
      </c>
      <c r="O1803" s="35" t="s">
        <v>55</v>
      </c>
      <c r="P1803" s="36" t="s">
        <v>9960</v>
      </c>
      <c r="Q1803" s="36" t="n">
        <v>2</v>
      </c>
      <c r="R1803" s="32"/>
      <c r="S1803" s="32" t="n">
        <v>1</v>
      </c>
      <c r="T1803" s="32"/>
      <c r="U1803" s="32"/>
      <c r="V1803" s="37"/>
      <c r="W1803" s="32"/>
      <c r="X1803" s="34"/>
      <c r="Y1803" s="34"/>
      <c r="Z1803" s="32"/>
      <c r="AA1803" s="32" t="s">
        <v>9961</v>
      </c>
      <c r="AB1803" s="32" t="s">
        <v>9962</v>
      </c>
      <c r="AC1803" s="38" t="str">
        <f aca="false">HYPERLINK("https://biocodex6--c.vf.force.com/0014L00000KJNHGQA5", "OULD RABAH MELISSA")</f>
        <v>OULD RABAH MELISSA</v>
      </c>
      <c r="AD1803" s="38" t="str">
        <f aca="false">HYPERLINK("https://annuairesante.ameli.fr/professionnels-de-sante/recherche/fiche-detaillee-B7c1kjc4MDqy.html", "OULD RABAH MELISSA")</f>
        <v>OULD RABAH MELISSA</v>
      </c>
      <c r="AE1803" s="39" t="n">
        <v>45210.3958333333</v>
      </c>
      <c r="AF1803" s="40"/>
      <c r="AG1803" s="41"/>
      <c r="AH1803" s="32"/>
      <c r="AI1803" s="32"/>
      <c r="AL1803" s="32"/>
      <c r="AM1803" s="32"/>
      <c r="AN1803" s="32"/>
      <c r="AO1803" s="43" t="s">
        <v>137</v>
      </c>
      <c r="AP1803" s="32"/>
      <c r="AQ1803" s="32"/>
      <c r="AR1803" s="32"/>
      <c r="AS1803" s="32"/>
      <c r="AT1803" s="43" t="s">
        <v>338</v>
      </c>
      <c r="AU1803" s="32"/>
      <c r="XEY1803" s="27"/>
      <c r="XEZ1803" s="27"/>
      <c r="XFA1803" s="27"/>
      <c r="XFB1803" s="27"/>
      <c r="XFC1803" s="27"/>
      <c r="XFD1803" s="27"/>
    </row>
    <row r="1804" s="42" customFormat="true" ht="14.15" hidden="false" customHeight="true" outlineLevel="0" collapsed="false">
      <c r="A1804" s="28" t="s">
        <v>9963</v>
      </c>
      <c r="B1804" s="29" t="s">
        <v>4463</v>
      </c>
      <c r="C1804" s="29" t="s">
        <v>9964</v>
      </c>
      <c r="D1804" s="30" t="s">
        <v>50</v>
      </c>
      <c r="E1804" s="31"/>
      <c r="F1804" s="32" t="n">
        <v>0</v>
      </c>
      <c r="G1804" s="31" t="s">
        <v>61</v>
      </c>
      <c r="H1804" s="31" t="n">
        <v>3</v>
      </c>
      <c r="I1804" s="31" t="s">
        <v>387</v>
      </c>
      <c r="J1804" s="29"/>
      <c r="K1804" s="29" t="s">
        <v>5794</v>
      </c>
      <c r="L1804" s="32" t="n">
        <v>130</v>
      </c>
      <c r="M1804" s="33" t="s">
        <v>1627</v>
      </c>
      <c r="N1804" s="34" t="n">
        <v>75016</v>
      </c>
      <c r="O1804" s="35" t="s">
        <v>55</v>
      </c>
      <c r="P1804" s="36" t="s">
        <v>165</v>
      </c>
      <c r="Q1804" s="36" t="n">
        <v>2</v>
      </c>
      <c r="R1804" s="32"/>
      <c r="S1804" s="32" t="n">
        <v>1</v>
      </c>
      <c r="T1804" s="32"/>
      <c r="U1804" s="32"/>
      <c r="V1804" s="37"/>
      <c r="W1804" s="32"/>
      <c r="X1804" s="34"/>
      <c r="Y1804" s="34"/>
      <c r="Z1804" s="32"/>
      <c r="AA1804" s="32" t="s">
        <v>9965</v>
      </c>
      <c r="AB1804" s="32" t="s">
        <v>9966</v>
      </c>
      <c r="AC1804" s="38" t="str">
        <f aca="false">HYPERLINK("https://biocodex6--c.vf.force.com/0014L00000efAjQQAU", "SOUSSY NICOLAS")</f>
        <v>SOUSSY NICOLAS</v>
      </c>
      <c r="AD1804" s="38" t="str">
        <f aca="false">HYPERLINK("https://annuairesante.ameli.fr/professionnels-de-sante/recherche/fiche-detaillee-B7c1kjoyODGx.html", "SOUSSY NICOLAS")</f>
        <v>SOUSSY NICOLAS</v>
      </c>
      <c r="AE1804" s="39"/>
      <c r="AF1804" s="40"/>
      <c r="AG1804" s="41"/>
      <c r="AH1804" s="32"/>
      <c r="AI1804" s="32"/>
      <c r="AL1804" s="43" t="s">
        <v>9967</v>
      </c>
      <c r="AM1804" s="43" t="s">
        <v>192</v>
      </c>
      <c r="AN1804" s="43" t="s">
        <v>9967</v>
      </c>
      <c r="AO1804" s="43" t="s">
        <v>192</v>
      </c>
      <c r="AP1804" s="43" t="s">
        <v>9967</v>
      </c>
      <c r="AQ1804" s="43" t="s">
        <v>192</v>
      </c>
      <c r="AR1804" s="32"/>
      <c r="AS1804" s="32"/>
      <c r="AT1804" s="32"/>
      <c r="AU1804" s="32"/>
      <c r="XEY1804" s="27"/>
      <c r="XEZ1804" s="27"/>
      <c r="XFA1804" s="27"/>
      <c r="XFB1804" s="27"/>
      <c r="XFC1804" s="27"/>
      <c r="XFD1804" s="27"/>
    </row>
    <row r="1805" s="42" customFormat="true" ht="14.15" hidden="false" customHeight="true" outlineLevel="0" collapsed="false">
      <c r="A1805" s="28" t="s">
        <v>9968</v>
      </c>
      <c r="B1805" s="29" t="s">
        <v>1766</v>
      </c>
      <c r="C1805" s="29" t="s">
        <v>9969</v>
      </c>
      <c r="D1805" s="30" t="s">
        <v>50</v>
      </c>
      <c r="E1805" s="31"/>
      <c r="F1805" s="32" t="n">
        <v>33</v>
      </c>
      <c r="G1805" s="31" t="s">
        <v>98</v>
      </c>
      <c r="H1805" s="31" t="n">
        <v>1</v>
      </c>
      <c r="I1805" s="31" t="s">
        <v>387</v>
      </c>
      <c r="J1805" s="29"/>
      <c r="K1805" s="29" t="s">
        <v>9970</v>
      </c>
      <c r="L1805" s="32" t="n">
        <v>59</v>
      </c>
      <c r="M1805" s="33" t="s">
        <v>3244</v>
      </c>
      <c r="N1805" s="34" t="n">
        <v>75016</v>
      </c>
      <c r="O1805" s="35" t="s">
        <v>55</v>
      </c>
      <c r="P1805" s="36" t="s">
        <v>667</v>
      </c>
      <c r="Q1805" s="36" t="n">
        <v>1</v>
      </c>
      <c r="R1805" s="32"/>
      <c r="S1805" s="32" t="n">
        <v>1</v>
      </c>
      <c r="T1805" s="32"/>
      <c r="U1805" s="32"/>
      <c r="V1805" s="37"/>
      <c r="W1805" s="32"/>
      <c r="X1805" s="34"/>
      <c r="Y1805" s="34"/>
      <c r="Z1805" s="36"/>
      <c r="AA1805" s="32" t="s">
        <v>9971</v>
      </c>
      <c r="AB1805" s="32" t="s">
        <v>9972</v>
      </c>
      <c r="AC1805" s="38" t="str">
        <f aca="false">HYPERLINK("https://biocodex6--c.vf.force.com/0014L00000fcEBZQA2", "FORGERIT FRANCOIS")</f>
        <v>FORGERIT FRANCOIS</v>
      </c>
      <c r="AD1805" s="38" t="str">
        <f aca="false">HYPERLINK("https://annuairesante.ameli.fr/professionnels-de-sante/recherche/fiche-detaillee-B7c1lTE5NDC6.html", "FORGERIT FRANCOIS")</f>
        <v>FORGERIT FRANCOIS</v>
      </c>
      <c r="AE1805" s="39"/>
      <c r="AF1805" s="40"/>
      <c r="AG1805" s="41"/>
      <c r="AH1805" s="32" t="s">
        <v>179</v>
      </c>
      <c r="AI1805" s="32"/>
      <c r="AL1805" s="32"/>
      <c r="AM1805" s="32"/>
      <c r="AN1805" s="32"/>
      <c r="AO1805" s="32"/>
      <c r="AP1805" s="32"/>
      <c r="AQ1805" s="32"/>
      <c r="AR1805" s="32"/>
      <c r="AS1805" s="32"/>
      <c r="AT1805" s="32"/>
      <c r="AU1805" s="32"/>
      <c r="XEY1805" s="27"/>
      <c r="XEZ1805" s="27"/>
      <c r="XFA1805" s="27"/>
      <c r="XFB1805" s="27"/>
      <c r="XFC1805" s="27"/>
      <c r="XFD1805" s="27"/>
    </row>
    <row r="1806" s="42" customFormat="true" ht="14.15" hidden="false" customHeight="true" outlineLevel="0" collapsed="false">
      <c r="A1806" s="28" t="s">
        <v>9973</v>
      </c>
      <c r="B1806" s="29" t="s">
        <v>9974</v>
      </c>
      <c r="C1806" s="29" t="s">
        <v>9975</v>
      </c>
      <c r="D1806" s="30" t="s">
        <v>50</v>
      </c>
      <c r="E1806" s="31"/>
      <c r="F1806" s="32" t="n">
        <v>34</v>
      </c>
      <c r="G1806" s="31"/>
      <c r="H1806" s="31" t="n">
        <v>1</v>
      </c>
      <c r="I1806" s="31" t="s">
        <v>387</v>
      </c>
      <c r="J1806" s="29" t="s">
        <v>777</v>
      </c>
      <c r="K1806" s="29" t="s">
        <v>3138</v>
      </c>
      <c r="L1806" s="32" t="n">
        <v>95</v>
      </c>
      <c r="M1806" s="33" t="s">
        <v>2778</v>
      </c>
      <c r="N1806" s="34" t="n">
        <v>75016</v>
      </c>
      <c r="O1806" s="35" t="s">
        <v>55</v>
      </c>
      <c r="P1806" s="36" t="s">
        <v>6022</v>
      </c>
      <c r="Q1806" s="36" t="n">
        <v>7</v>
      </c>
      <c r="R1806" s="32"/>
      <c r="S1806" s="32" t="n">
        <v>1</v>
      </c>
      <c r="T1806" s="32"/>
      <c r="U1806" s="32"/>
      <c r="V1806" s="37"/>
      <c r="W1806" s="32"/>
      <c r="X1806" s="34"/>
      <c r="Y1806" s="34"/>
      <c r="Z1806" s="36"/>
      <c r="AA1806" s="32" t="s">
        <v>9976</v>
      </c>
      <c r="AB1806" s="32"/>
      <c r="AC1806" s="38" t="str">
        <f aca="false">HYPERLINK("https://biocodex6--c.vf.force.com/0014L00000kS3LqQAK", "SQUILLACE GIULIA")</f>
        <v>SQUILLACE GIULIA</v>
      </c>
      <c r="AD1806" s="38"/>
      <c r="AE1806" s="39"/>
      <c r="AF1806" s="40"/>
      <c r="AG1806" s="41"/>
      <c r="AH1806" s="32" t="s">
        <v>179</v>
      </c>
      <c r="AI1806" s="32"/>
      <c r="AL1806" s="32"/>
      <c r="AM1806" s="32"/>
      <c r="AN1806" s="32"/>
      <c r="AO1806" s="32"/>
      <c r="AP1806" s="32"/>
      <c r="AQ1806" s="32"/>
      <c r="AR1806" s="32"/>
      <c r="AS1806" s="32"/>
      <c r="AT1806" s="32"/>
      <c r="AU1806" s="32"/>
      <c r="XEY1806" s="27"/>
      <c r="XEZ1806" s="27"/>
      <c r="XFA1806" s="27"/>
      <c r="XFB1806" s="27"/>
      <c r="XFC1806" s="27"/>
      <c r="XFD1806" s="27"/>
    </row>
    <row r="1807" s="42" customFormat="true" ht="14.15" hidden="false" customHeight="true" outlineLevel="0" collapsed="false">
      <c r="A1807" s="28" t="s">
        <v>59</v>
      </c>
      <c r="B1807" s="29" t="s">
        <v>9977</v>
      </c>
      <c r="C1807" s="29" t="s">
        <v>9978</v>
      </c>
      <c r="D1807" s="30" t="s">
        <v>50</v>
      </c>
      <c r="E1807" s="31"/>
      <c r="F1807" s="32" t="n">
        <v>31</v>
      </c>
      <c r="G1807" s="31"/>
      <c r="H1807" s="31" t="n">
        <v>1</v>
      </c>
      <c r="I1807" s="31" t="s">
        <v>572</v>
      </c>
      <c r="J1807" s="29" t="s">
        <v>678</v>
      </c>
      <c r="K1807" s="29" t="s">
        <v>679</v>
      </c>
      <c r="L1807" s="32" t="n">
        <v>6</v>
      </c>
      <c r="M1807" s="33" t="s">
        <v>680</v>
      </c>
      <c r="N1807" s="34" t="n">
        <v>75008</v>
      </c>
      <c r="O1807" s="35" t="s">
        <v>55</v>
      </c>
      <c r="P1807" s="36" t="s">
        <v>870</v>
      </c>
      <c r="Q1807" s="36" t="n">
        <v>43</v>
      </c>
      <c r="R1807" s="32"/>
      <c r="S1807" s="32" t="n">
        <v>1</v>
      </c>
      <c r="T1807" s="32"/>
      <c r="U1807" s="32"/>
      <c r="V1807" s="37"/>
      <c r="W1807" s="32"/>
      <c r="X1807" s="34"/>
      <c r="Y1807" s="34"/>
      <c r="Z1807" s="36"/>
      <c r="AA1807" s="32" t="s">
        <v>9979</v>
      </c>
      <c r="AB1807" s="32"/>
      <c r="AC1807" s="38" t="str">
        <f aca="false">HYPERLINK("https://biocodex6--c.vf.force.com/0014L00000hvdv7QAA", "RICHARD BASTIEN")</f>
        <v>RICHARD BASTIEN</v>
      </c>
      <c r="AD1807" s="38"/>
      <c r="AE1807" s="39"/>
      <c r="AF1807" s="40"/>
      <c r="AG1807" s="41"/>
      <c r="AH1807" s="32" t="s">
        <v>179</v>
      </c>
      <c r="AI1807" s="32"/>
      <c r="AL1807" s="32"/>
      <c r="AM1807" s="32"/>
      <c r="AN1807" s="32"/>
      <c r="AO1807" s="32"/>
      <c r="AP1807" s="32"/>
      <c r="AQ1807" s="32"/>
      <c r="AR1807" s="32"/>
      <c r="AS1807" s="32"/>
      <c r="AT1807" s="32"/>
      <c r="AU1807" s="32"/>
      <c r="XEY1807" s="27"/>
      <c r="XEZ1807" s="27"/>
      <c r="XFA1807" s="27"/>
      <c r="XFB1807" s="27"/>
      <c r="XFC1807" s="27"/>
      <c r="XFD1807" s="27"/>
    </row>
    <row r="1808" s="42" customFormat="true" ht="14.15" hidden="false" customHeight="true" outlineLevel="0" collapsed="false">
      <c r="A1808" s="28" t="s">
        <v>9980</v>
      </c>
      <c r="B1808" s="29" t="s">
        <v>9981</v>
      </c>
      <c r="C1808" s="29" t="s">
        <v>9982</v>
      </c>
      <c r="D1808" s="30" t="s">
        <v>50</v>
      </c>
      <c r="E1808" s="31"/>
      <c r="F1808" s="32" t="n">
        <v>33</v>
      </c>
      <c r="G1808" s="31"/>
      <c r="H1808" s="31" t="n">
        <v>1</v>
      </c>
      <c r="I1808" s="31" t="s">
        <v>572</v>
      </c>
      <c r="J1808" s="29" t="s">
        <v>678</v>
      </c>
      <c r="K1808" s="29" t="s">
        <v>679</v>
      </c>
      <c r="L1808" s="32" t="n">
        <v>6</v>
      </c>
      <c r="M1808" s="33" t="s">
        <v>680</v>
      </c>
      <c r="N1808" s="34" t="n">
        <v>75008</v>
      </c>
      <c r="O1808" s="35" t="s">
        <v>55</v>
      </c>
      <c r="P1808" s="36" t="s">
        <v>870</v>
      </c>
      <c r="Q1808" s="36" t="n">
        <v>43</v>
      </c>
      <c r="R1808" s="32"/>
      <c r="S1808" s="32" t="n">
        <v>1</v>
      </c>
      <c r="T1808" s="32"/>
      <c r="U1808" s="32"/>
      <c r="V1808" s="37"/>
      <c r="W1808" s="32"/>
      <c r="X1808" s="34"/>
      <c r="Y1808" s="34"/>
      <c r="Z1808" s="32"/>
      <c r="AA1808" s="32" t="s">
        <v>9983</v>
      </c>
      <c r="AB1808" s="32"/>
      <c r="AC1808" s="38" t="str">
        <f aca="false">HYPERLINK("https://biocodex6--c.vf.force.com/0014L00000KGIZjQAP", "GIANNINI MARIE CAMILLE")</f>
        <v>GIANNINI MARIE CAMILLE</v>
      </c>
      <c r="AD1808" s="38"/>
      <c r="AE1808" s="39"/>
      <c r="AF1808" s="40"/>
      <c r="AG1808" s="41"/>
      <c r="AH1808" s="32"/>
      <c r="AI1808" s="32"/>
      <c r="AL1808" s="32"/>
      <c r="AM1808" s="32"/>
      <c r="AN1808" s="32"/>
      <c r="AO1808" s="32"/>
      <c r="AP1808" s="32"/>
      <c r="AQ1808" s="32"/>
      <c r="AR1808" s="32"/>
      <c r="AS1808" s="32"/>
      <c r="AT1808" s="32"/>
      <c r="AU1808" s="32"/>
      <c r="XEY1808" s="27"/>
      <c r="XEZ1808" s="27"/>
      <c r="XFA1808" s="27"/>
      <c r="XFB1808" s="27"/>
      <c r="XFC1808" s="27"/>
      <c r="XFD1808" s="27"/>
    </row>
    <row r="1809" s="42" customFormat="true" ht="14.15" hidden="false" customHeight="true" outlineLevel="0" collapsed="false">
      <c r="A1809" s="28" t="s">
        <v>9984</v>
      </c>
      <c r="B1809" s="29" t="s">
        <v>1396</v>
      </c>
      <c r="C1809" s="29" t="s">
        <v>9985</v>
      </c>
      <c r="D1809" s="30" t="s">
        <v>50</v>
      </c>
      <c r="E1809" s="30" t="s">
        <v>255</v>
      </c>
      <c r="F1809" s="32" t="n">
        <v>0</v>
      </c>
      <c r="G1809" s="31"/>
      <c r="H1809" s="31" t="n">
        <v>1</v>
      </c>
      <c r="I1809" s="31" t="s">
        <v>572</v>
      </c>
      <c r="J1809" s="29"/>
      <c r="K1809" s="29" t="s">
        <v>9986</v>
      </c>
      <c r="L1809" s="32" t="n">
        <v>17</v>
      </c>
      <c r="M1809" s="33" t="s">
        <v>5340</v>
      </c>
      <c r="N1809" s="34" t="n">
        <v>75008</v>
      </c>
      <c r="O1809" s="35" t="s">
        <v>55</v>
      </c>
      <c r="P1809" s="36" t="s">
        <v>9987</v>
      </c>
      <c r="Q1809" s="36" t="n">
        <v>1</v>
      </c>
      <c r="R1809" s="32"/>
      <c r="S1809" s="32" t="n">
        <v>1</v>
      </c>
      <c r="T1809" s="32"/>
      <c r="U1809" s="32"/>
      <c r="V1809" s="37"/>
      <c r="W1809" s="32"/>
      <c r="X1809" s="34"/>
      <c r="Y1809" s="34"/>
      <c r="Z1809" s="32"/>
      <c r="AA1809" s="32"/>
      <c r="AB1809" s="32"/>
      <c r="AC1809" s="38"/>
      <c r="AD1809" s="38"/>
      <c r="AE1809" s="39"/>
      <c r="AF1809" s="40"/>
      <c r="AG1809" s="45"/>
      <c r="AH1809" s="32"/>
      <c r="AI1809" s="32"/>
      <c r="AL1809" s="32"/>
      <c r="AM1809" s="32"/>
      <c r="AN1809" s="32"/>
      <c r="AO1809" s="32"/>
      <c r="AP1809" s="32"/>
      <c r="AQ1809" s="32"/>
      <c r="AR1809" s="32"/>
      <c r="AS1809" s="32"/>
      <c r="AT1809" s="32"/>
      <c r="AU1809" s="32"/>
      <c r="XEY1809" s="27"/>
      <c r="XEZ1809" s="27"/>
      <c r="XFA1809" s="27"/>
      <c r="XFB1809" s="27"/>
      <c r="XFC1809" s="27"/>
      <c r="XFD1809" s="27"/>
    </row>
    <row r="1810" s="42" customFormat="true" ht="14.15" hidden="false" customHeight="true" outlineLevel="0" collapsed="false">
      <c r="A1810" s="28" t="s">
        <v>9988</v>
      </c>
      <c r="B1810" s="29" t="s">
        <v>231</v>
      </c>
      <c r="C1810" s="29" t="s">
        <v>9989</v>
      </c>
      <c r="D1810" s="30" t="s">
        <v>50</v>
      </c>
      <c r="E1810" s="30" t="s">
        <v>344</v>
      </c>
      <c r="F1810" s="32" t="n">
        <v>31</v>
      </c>
      <c r="G1810" s="31"/>
      <c r="H1810" s="31" t="n">
        <v>1</v>
      </c>
      <c r="I1810" s="31" t="s">
        <v>572</v>
      </c>
      <c r="J1810" s="29"/>
      <c r="K1810" s="29" t="s">
        <v>9990</v>
      </c>
      <c r="L1810" s="32" t="n">
        <v>12</v>
      </c>
      <c r="M1810" s="33" t="s">
        <v>4514</v>
      </c>
      <c r="N1810" s="34" t="n">
        <v>75008</v>
      </c>
      <c r="O1810" s="35" t="s">
        <v>55</v>
      </c>
      <c r="P1810" s="36" t="s">
        <v>9991</v>
      </c>
      <c r="Q1810" s="36" t="n">
        <v>1</v>
      </c>
      <c r="R1810" s="32"/>
      <c r="S1810" s="32" t="n">
        <v>1</v>
      </c>
      <c r="T1810" s="32"/>
      <c r="U1810" s="32"/>
      <c r="V1810" s="37"/>
      <c r="W1810" s="32"/>
      <c r="X1810" s="34"/>
      <c r="Y1810" s="34"/>
      <c r="Z1810" s="36"/>
      <c r="AA1810" s="32" t="s">
        <v>9992</v>
      </c>
      <c r="AB1810" s="32"/>
      <c r="AC1810" s="38" t="str">
        <f aca="false">HYPERLINK("https://biocodex6--c.vf.force.com/0014L00000KGIn4QAH", "TRAN NGOC ANNE")</f>
        <v>TRAN NGOC ANNE</v>
      </c>
      <c r="AD1810" s="38"/>
      <c r="AE1810" s="39"/>
      <c r="AF1810" s="40"/>
      <c r="AG1810" s="41"/>
      <c r="AH1810" s="32" t="s">
        <v>179</v>
      </c>
      <c r="AI1810" s="32"/>
      <c r="AL1810" s="32"/>
      <c r="AM1810" s="32"/>
      <c r="AN1810" s="32"/>
      <c r="AO1810" s="32"/>
      <c r="AP1810" s="32"/>
      <c r="AQ1810" s="32"/>
      <c r="AR1810" s="32"/>
      <c r="AS1810" s="32"/>
      <c r="AT1810" s="32"/>
      <c r="AU1810" s="32"/>
      <c r="XEY1810" s="27"/>
      <c r="XEZ1810" s="27"/>
      <c r="XFA1810" s="27"/>
      <c r="XFB1810" s="27"/>
      <c r="XFC1810" s="27"/>
      <c r="XFD1810" s="27"/>
    </row>
    <row r="1811" s="42" customFormat="true" ht="14.15" hidden="false" customHeight="true" outlineLevel="0" collapsed="false">
      <c r="A1811" s="28" t="s">
        <v>9993</v>
      </c>
      <c r="B1811" s="29" t="s">
        <v>2532</v>
      </c>
      <c r="C1811" s="29" t="s">
        <v>9994</v>
      </c>
      <c r="D1811" s="30" t="s">
        <v>172</v>
      </c>
      <c r="E1811" s="31"/>
      <c r="F1811" s="32" t="n">
        <v>0</v>
      </c>
      <c r="G1811" s="31"/>
      <c r="H1811" s="31" t="n">
        <v>1</v>
      </c>
      <c r="I1811" s="31" t="s">
        <v>572</v>
      </c>
      <c r="J1811" s="29"/>
      <c r="K1811" s="29" t="s">
        <v>4873</v>
      </c>
      <c r="L1811" s="32" t="n">
        <v>11</v>
      </c>
      <c r="M1811" s="33" t="s">
        <v>4874</v>
      </c>
      <c r="N1811" s="52" t="n">
        <v>75008</v>
      </c>
      <c r="O1811" s="35" t="s">
        <v>55</v>
      </c>
      <c r="P1811" s="36"/>
      <c r="Q1811" s="36" t="n">
        <v>2</v>
      </c>
      <c r="R1811" s="32"/>
      <c r="S1811" s="32" t="n">
        <v>1</v>
      </c>
      <c r="T1811" s="32"/>
      <c r="U1811" s="32"/>
      <c r="V1811" s="37"/>
      <c r="W1811" s="32"/>
      <c r="X1811" s="34"/>
      <c r="Y1811" s="34"/>
      <c r="Z1811" s="32"/>
      <c r="AA1811" s="32"/>
      <c r="AB1811" s="44"/>
      <c r="AC1811" s="38"/>
      <c r="AD1811" s="38"/>
      <c r="AE1811" s="39"/>
      <c r="AF1811" s="40"/>
      <c r="AG1811" s="45"/>
      <c r="AH1811" s="32" t="s">
        <v>2191</v>
      </c>
      <c r="AI1811" s="32" t="s">
        <v>2191</v>
      </c>
      <c r="AJ1811" s="42" t="s">
        <v>9995</v>
      </c>
      <c r="AL1811" s="32"/>
      <c r="AM1811" s="32"/>
      <c r="AN1811" s="32"/>
      <c r="AO1811" s="32"/>
      <c r="AP1811" s="32"/>
      <c r="AQ1811" s="32"/>
      <c r="AR1811" s="32"/>
      <c r="AS1811" s="32"/>
      <c r="AT1811" s="32"/>
      <c r="AU1811" s="32"/>
      <c r="XEY1811" s="27"/>
      <c r="XEZ1811" s="27"/>
      <c r="XFA1811" s="27"/>
      <c r="XFB1811" s="27"/>
      <c r="XFC1811" s="27"/>
      <c r="XFD1811" s="27"/>
    </row>
    <row r="1812" s="42" customFormat="true" ht="14.15" hidden="false" customHeight="true" outlineLevel="0" collapsed="false">
      <c r="A1812" s="28" t="s">
        <v>9996</v>
      </c>
      <c r="B1812" s="29" t="s">
        <v>9997</v>
      </c>
      <c r="C1812" s="29" t="s">
        <v>9998</v>
      </c>
      <c r="D1812" s="30" t="s">
        <v>50</v>
      </c>
      <c r="E1812" s="31"/>
      <c r="F1812" s="32" t="n">
        <v>29</v>
      </c>
      <c r="G1812" s="31"/>
      <c r="H1812" s="31" t="n">
        <v>1</v>
      </c>
      <c r="I1812" s="31" t="s">
        <v>99</v>
      </c>
      <c r="J1812" s="29"/>
      <c r="K1812" s="29" t="s">
        <v>1264</v>
      </c>
      <c r="L1812" s="32" t="n">
        <v>60</v>
      </c>
      <c r="M1812" s="33" t="s">
        <v>469</v>
      </c>
      <c r="N1812" s="34" t="n">
        <v>75015</v>
      </c>
      <c r="O1812" s="35" t="s">
        <v>55</v>
      </c>
      <c r="P1812" s="36" t="s">
        <v>1265</v>
      </c>
      <c r="Q1812" s="36" t="n">
        <v>3</v>
      </c>
      <c r="R1812" s="32"/>
      <c r="S1812" s="32" t="n">
        <v>1</v>
      </c>
      <c r="T1812" s="32"/>
      <c r="U1812" s="32"/>
      <c r="V1812" s="37"/>
      <c r="W1812" s="32"/>
      <c r="X1812" s="34"/>
      <c r="Y1812" s="34"/>
      <c r="Z1812" s="36"/>
      <c r="AA1812" s="32" t="s">
        <v>9999</v>
      </c>
      <c r="AB1812" s="32"/>
      <c r="AC1812" s="38" t="str">
        <f aca="false">HYPERLINK("https://biocodex6--c.vf.force.com/0014L00000NAineQAD", "HABRARD CLAIRE LISE")</f>
        <v>HABRARD CLAIRE LISE</v>
      </c>
      <c r="AD1812" s="38"/>
      <c r="AE1812" s="39"/>
      <c r="AF1812" s="40"/>
      <c r="AG1812" s="41"/>
      <c r="AH1812" s="32" t="s">
        <v>179</v>
      </c>
      <c r="AI1812" s="32"/>
      <c r="AL1812" s="32"/>
      <c r="AM1812" s="32"/>
      <c r="AN1812" s="32"/>
      <c r="AO1812" s="32"/>
      <c r="AP1812" s="32"/>
      <c r="AQ1812" s="32"/>
      <c r="AR1812" s="32"/>
      <c r="AS1812" s="32"/>
      <c r="AT1812" s="32"/>
      <c r="AU1812" s="32"/>
      <c r="XEY1812" s="27"/>
      <c r="XEZ1812" s="27"/>
      <c r="XFA1812" s="27"/>
      <c r="XFB1812" s="27"/>
      <c r="XFC1812" s="27"/>
      <c r="XFD1812" s="27"/>
    </row>
    <row r="1813" s="42" customFormat="true" ht="14.15" hidden="false" customHeight="true" outlineLevel="0" collapsed="false">
      <c r="A1813" s="28" t="s">
        <v>10000</v>
      </c>
      <c r="B1813" s="29" t="s">
        <v>10001</v>
      </c>
      <c r="C1813" s="29" t="s">
        <v>10002</v>
      </c>
      <c r="D1813" s="30" t="s">
        <v>50</v>
      </c>
      <c r="E1813" s="31"/>
      <c r="F1813" s="32" t="n">
        <v>0</v>
      </c>
      <c r="G1813" s="31"/>
      <c r="H1813" s="31" t="n">
        <v>1</v>
      </c>
      <c r="I1813" s="31" t="s">
        <v>99</v>
      </c>
      <c r="J1813" s="29" t="s">
        <v>162</v>
      </c>
      <c r="K1813" s="29" t="s">
        <v>163</v>
      </c>
      <c r="L1813" s="32" t="n">
        <v>66</v>
      </c>
      <c r="M1813" s="33" t="s">
        <v>164</v>
      </c>
      <c r="N1813" s="34" t="n">
        <v>75015</v>
      </c>
      <c r="O1813" s="35" t="s">
        <v>55</v>
      </c>
      <c r="P1813" s="36" t="s">
        <v>165</v>
      </c>
      <c r="Q1813" s="36" t="n">
        <v>5</v>
      </c>
      <c r="R1813" s="32"/>
      <c r="S1813" s="32" t="n">
        <v>1</v>
      </c>
      <c r="T1813" s="32"/>
      <c r="U1813" s="32"/>
      <c r="V1813" s="37"/>
      <c r="W1813" s="32"/>
      <c r="X1813" s="34"/>
      <c r="Y1813" s="34"/>
      <c r="Z1813" s="36"/>
      <c r="AA1813" s="32" t="s">
        <v>10003</v>
      </c>
      <c r="AB1813" s="32"/>
      <c r="AC1813" s="38" t="str">
        <f aca="false">HYPERLINK("https://biocodex6--c.vf.force.com/0014L00000UgG6aQAF", "ABAD FLORA")</f>
        <v>ABAD FLORA</v>
      </c>
      <c r="AD1813" s="38"/>
      <c r="AE1813" s="39"/>
      <c r="AF1813" s="40"/>
      <c r="AG1813" s="41"/>
      <c r="AH1813" s="32" t="s">
        <v>179</v>
      </c>
      <c r="AI1813" s="32"/>
      <c r="AL1813" s="32"/>
      <c r="AM1813" s="32"/>
      <c r="AN1813" s="32"/>
      <c r="AO1813" s="32"/>
      <c r="AP1813" s="32"/>
      <c r="AQ1813" s="32"/>
      <c r="AR1813" s="32"/>
      <c r="AS1813" s="32"/>
      <c r="AT1813" s="32"/>
      <c r="AU1813" s="32"/>
      <c r="XEY1813" s="27"/>
      <c r="XEZ1813" s="27"/>
      <c r="XFA1813" s="27"/>
      <c r="XFB1813" s="27"/>
      <c r="XFC1813" s="27"/>
      <c r="XFD1813" s="27"/>
    </row>
    <row r="1814" s="42" customFormat="true" ht="14.15" hidden="false" customHeight="true" outlineLevel="0" collapsed="false">
      <c r="A1814" s="28" t="s">
        <v>271</v>
      </c>
      <c r="B1814" s="29" t="s">
        <v>10004</v>
      </c>
      <c r="C1814" s="29" t="s">
        <v>10005</v>
      </c>
      <c r="D1814" s="30" t="s">
        <v>50</v>
      </c>
      <c r="E1814" s="31"/>
      <c r="F1814" s="32" t="n">
        <v>34</v>
      </c>
      <c r="G1814" s="31"/>
      <c r="H1814" s="31" t="n">
        <v>1</v>
      </c>
      <c r="I1814" s="31" t="s">
        <v>99</v>
      </c>
      <c r="J1814" s="29"/>
      <c r="K1814" s="29" t="s">
        <v>1935</v>
      </c>
      <c r="L1814" s="32" t="n">
        <v>10</v>
      </c>
      <c r="M1814" s="33" t="s">
        <v>1474</v>
      </c>
      <c r="N1814" s="34" t="n">
        <v>75015</v>
      </c>
      <c r="O1814" s="35" t="s">
        <v>55</v>
      </c>
      <c r="P1814" s="36" t="s">
        <v>1936</v>
      </c>
      <c r="Q1814" s="36" t="n">
        <v>5</v>
      </c>
      <c r="R1814" s="32"/>
      <c r="S1814" s="32" t="n">
        <v>1</v>
      </c>
      <c r="T1814" s="32"/>
      <c r="U1814" s="32"/>
      <c r="V1814" s="37"/>
      <c r="W1814" s="32"/>
      <c r="X1814" s="34"/>
      <c r="Y1814" s="34"/>
      <c r="Z1814" s="36"/>
      <c r="AA1814" s="32" t="s">
        <v>10006</v>
      </c>
      <c r="AB1814" s="32"/>
      <c r="AC1814" s="38" t="str">
        <f aca="false">HYPERLINK("https://biocodex6--c.vf.force.com/0014L00000NABqpQAH", "AMZALLAG MIKE")</f>
        <v>AMZALLAG MIKE</v>
      </c>
      <c r="AD1814" s="38"/>
      <c r="AE1814" s="39"/>
      <c r="AF1814" s="40"/>
      <c r="AG1814" s="41"/>
      <c r="AH1814" s="32" t="s">
        <v>179</v>
      </c>
      <c r="AI1814" s="32"/>
      <c r="AJ1814" s="42" t="s">
        <v>1128</v>
      </c>
      <c r="AL1814" s="32"/>
      <c r="AM1814" s="32"/>
      <c r="AN1814" s="32"/>
      <c r="AO1814" s="32"/>
      <c r="AP1814" s="32"/>
      <c r="AQ1814" s="32"/>
      <c r="AR1814" s="32"/>
      <c r="AS1814" s="32"/>
      <c r="AT1814" s="32"/>
      <c r="AU1814" s="32"/>
      <c r="XEY1814" s="27"/>
      <c r="XEZ1814" s="27"/>
      <c r="XFA1814" s="27"/>
      <c r="XFB1814" s="27"/>
      <c r="XFC1814" s="27"/>
      <c r="XFD1814" s="27"/>
    </row>
    <row r="1815" s="42" customFormat="true" ht="14.15" hidden="false" customHeight="true" outlineLevel="0" collapsed="false">
      <c r="A1815" s="28" t="s">
        <v>10007</v>
      </c>
      <c r="B1815" s="29" t="s">
        <v>1928</v>
      </c>
      <c r="C1815" s="29" t="s">
        <v>10008</v>
      </c>
      <c r="D1815" s="30" t="s">
        <v>75</v>
      </c>
      <c r="E1815" s="30" t="s">
        <v>255</v>
      </c>
      <c r="F1815" s="32" t="n">
        <v>0</v>
      </c>
      <c r="G1815" s="31"/>
      <c r="H1815" s="31" t="n">
        <v>1</v>
      </c>
      <c r="I1815" s="31" t="s">
        <v>99</v>
      </c>
      <c r="J1815" s="29" t="s">
        <v>595</v>
      </c>
      <c r="K1815" s="29" t="s">
        <v>596</v>
      </c>
      <c r="L1815" s="32" t="n">
        <v>20</v>
      </c>
      <c r="M1815" s="33" t="s">
        <v>597</v>
      </c>
      <c r="N1815" s="34" t="n">
        <v>75015</v>
      </c>
      <c r="O1815" s="35" t="s">
        <v>55</v>
      </c>
      <c r="P1815" s="36" t="s">
        <v>673</v>
      </c>
      <c r="Q1815" s="36" t="n">
        <v>90</v>
      </c>
      <c r="R1815" s="32"/>
      <c r="S1815" s="32" t="n">
        <v>1</v>
      </c>
      <c r="T1815" s="32"/>
      <c r="U1815" s="32"/>
      <c r="V1815" s="37"/>
      <c r="W1815" s="32"/>
      <c r="X1815" s="34"/>
      <c r="Y1815" s="34"/>
      <c r="Z1815" s="32"/>
      <c r="AA1815" s="32"/>
      <c r="AB1815" s="32"/>
      <c r="AC1815" s="38"/>
      <c r="AD1815" s="38"/>
      <c r="AE1815" s="39"/>
      <c r="AF1815" s="40"/>
      <c r="AG1815" s="45"/>
      <c r="AH1815" s="32"/>
      <c r="AI1815" s="32"/>
      <c r="AL1815" s="32"/>
      <c r="AM1815" s="32"/>
      <c r="AN1815" s="32"/>
      <c r="AO1815" s="32"/>
      <c r="AP1815" s="32"/>
      <c r="AQ1815" s="32"/>
      <c r="AR1815" s="32"/>
      <c r="AS1815" s="32"/>
      <c r="AT1815" s="32"/>
      <c r="AU1815" s="32"/>
      <c r="XEY1815" s="27"/>
      <c r="XEZ1815" s="27"/>
      <c r="XFA1815" s="27"/>
      <c r="XFB1815" s="27"/>
      <c r="XFC1815" s="27"/>
      <c r="XFD1815" s="27"/>
    </row>
    <row r="1816" s="42" customFormat="true" ht="14.15" hidden="false" customHeight="true" outlineLevel="0" collapsed="false">
      <c r="A1816" s="28" t="s">
        <v>10009</v>
      </c>
      <c r="B1816" s="29" t="s">
        <v>1438</v>
      </c>
      <c r="C1816" s="29" t="s">
        <v>10010</v>
      </c>
      <c r="D1816" s="30" t="s">
        <v>244</v>
      </c>
      <c r="E1816" s="30" t="s">
        <v>245</v>
      </c>
      <c r="F1816" s="32" t="n">
        <v>35</v>
      </c>
      <c r="G1816" s="31"/>
      <c r="H1816" s="31" t="n">
        <v>1</v>
      </c>
      <c r="I1816" s="31" t="s">
        <v>99</v>
      </c>
      <c r="J1816" s="29" t="s">
        <v>595</v>
      </c>
      <c r="K1816" s="29" t="s">
        <v>596</v>
      </c>
      <c r="L1816" s="32" t="n">
        <v>20</v>
      </c>
      <c r="M1816" s="33" t="s">
        <v>597</v>
      </c>
      <c r="N1816" s="34" t="n">
        <v>75015</v>
      </c>
      <c r="O1816" s="35" t="s">
        <v>55</v>
      </c>
      <c r="P1816" s="36" t="s">
        <v>2773</v>
      </c>
      <c r="Q1816" s="36" t="n">
        <v>90</v>
      </c>
      <c r="R1816" s="32"/>
      <c r="S1816" s="32" t="n">
        <v>1</v>
      </c>
      <c r="T1816" s="32"/>
      <c r="U1816" s="32"/>
      <c r="V1816" s="37"/>
      <c r="W1816" s="32"/>
      <c r="X1816" s="34"/>
      <c r="Y1816" s="34"/>
      <c r="Z1816" s="36"/>
      <c r="AA1816" s="32" t="s">
        <v>10011</v>
      </c>
      <c r="AB1816" s="32"/>
      <c r="AC1816" s="38" t="str">
        <f aca="false">HYPERLINK("https://biocodex6--c.vf.force.com/0014L00000KGBeBQAX", "DE JESUS JULIE")</f>
        <v>DE JESUS JULIE</v>
      </c>
      <c r="AD1816" s="38"/>
      <c r="AE1816" s="39"/>
      <c r="AF1816" s="40"/>
      <c r="AG1816" s="41"/>
      <c r="AH1816" s="32" t="s">
        <v>179</v>
      </c>
      <c r="AI1816" s="32"/>
      <c r="AL1816" s="32"/>
      <c r="AM1816" s="32"/>
      <c r="AN1816" s="32"/>
      <c r="AO1816" s="32"/>
      <c r="AP1816" s="32"/>
      <c r="AQ1816" s="32"/>
      <c r="AR1816" s="32"/>
      <c r="AS1816" s="32"/>
      <c r="AT1816" s="32"/>
      <c r="AU1816" s="32"/>
      <c r="XEY1816" s="27"/>
      <c r="XEZ1816" s="27"/>
      <c r="XFA1816" s="27"/>
      <c r="XFB1816" s="27"/>
      <c r="XFC1816" s="27"/>
      <c r="XFD1816" s="27"/>
    </row>
    <row r="1817" s="42" customFormat="true" ht="14.15" hidden="false" customHeight="true" outlineLevel="0" collapsed="false">
      <c r="A1817" s="28" t="s">
        <v>2571</v>
      </c>
      <c r="B1817" s="29" t="s">
        <v>1874</v>
      </c>
      <c r="C1817" s="29" t="s">
        <v>10012</v>
      </c>
      <c r="D1817" s="30" t="s">
        <v>244</v>
      </c>
      <c r="E1817" s="31"/>
      <c r="F1817" s="32" t="n">
        <v>31</v>
      </c>
      <c r="G1817" s="31"/>
      <c r="H1817" s="31" t="n">
        <v>2</v>
      </c>
      <c r="I1817" s="31" t="s">
        <v>99</v>
      </c>
      <c r="J1817" s="29" t="s">
        <v>595</v>
      </c>
      <c r="K1817" s="29" t="s">
        <v>596</v>
      </c>
      <c r="L1817" s="32" t="n">
        <v>20</v>
      </c>
      <c r="M1817" s="33" t="s">
        <v>597</v>
      </c>
      <c r="N1817" s="34" t="n">
        <v>75015</v>
      </c>
      <c r="O1817" s="35" t="s">
        <v>55</v>
      </c>
      <c r="P1817" s="36" t="s">
        <v>2773</v>
      </c>
      <c r="Q1817" s="36" t="n">
        <v>90</v>
      </c>
      <c r="R1817" s="32"/>
      <c r="S1817" s="32" t="n">
        <v>1</v>
      </c>
      <c r="T1817" s="32"/>
      <c r="U1817" s="32"/>
      <c r="V1817" s="37"/>
      <c r="W1817" s="32"/>
      <c r="X1817" s="34"/>
      <c r="Y1817" s="34"/>
      <c r="Z1817" s="36"/>
      <c r="AA1817" s="32" t="s">
        <v>10013</v>
      </c>
      <c r="AB1817" s="32"/>
      <c r="AC1817" s="38" t="str">
        <f aca="false">HYPERLINK("https://biocodex6--c.vf.force.com/0014L00000KJCorQAH", "KHIDER HANNA")</f>
        <v>KHIDER HANNA</v>
      </c>
      <c r="AD1817" s="38"/>
      <c r="AE1817" s="39"/>
      <c r="AF1817" s="40"/>
      <c r="AG1817" s="41"/>
      <c r="AH1817" s="32" t="s">
        <v>179</v>
      </c>
      <c r="AI1817" s="32"/>
      <c r="AL1817" s="32"/>
      <c r="AM1817" s="32"/>
      <c r="AN1817" s="32"/>
      <c r="AO1817" s="32"/>
      <c r="AP1817" s="32"/>
      <c r="AQ1817" s="32"/>
      <c r="AR1817" s="32"/>
      <c r="AS1817" s="32"/>
      <c r="AT1817" s="32"/>
      <c r="AU1817" s="32"/>
      <c r="XEY1817" s="27"/>
      <c r="XEZ1817" s="27"/>
      <c r="XFA1817" s="27"/>
      <c r="XFB1817" s="27"/>
      <c r="XFC1817" s="27"/>
      <c r="XFD1817" s="27"/>
    </row>
    <row r="1818" s="42" customFormat="true" ht="14.15" hidden="false" customHeight="true" outlineLevel="0" collapsed="false">
      <c r="A1818" s="28" t="s">
        <v>221</v>
      </c>
      <c r="B1818" s="29" t="s">
        <v>10014</v>
      </c>
      <c r="C1818" s="29" t="s">
        <v>10015</v>
      </c>
      <c r="D1818" s="30" t="s">
        <v>244</v>
      </c>
      <c r="E1818" s="30" t="s">
        <v>245</v>
      </c>
      <c r="F1818" s="32" t="n">
        <v>33</v>
      </c>
      <c r="G1818" s="31"/>
      <c r="H1818" s="31" t="n">
        <v>1</v>
      </c>
      <c r="I1818" s="31" t="s">
        <v>99</v>
      </c>
      <c r="J1818" s="29" t="s">
        <v>595</v>
      </c>
      <c r="K1818" s="29" t="s">
        <v>596</v>
      </c>
      <c r="L1818" s="32" t="n">
        <v>20</v>
      </c>
      <c r="M1818" s="33" t="s">
        <v>597</v>
      </c>
      <c r="N1818" s="34" t="n">
        <v>75015</v>
      </c>
      <c r="O1818" s="35" t="s">
        <v>55</v>
      </c>
      <c r="P1818" s="36" t="s">
        <v>2773</v>
      </c>
      <c r="Q1818" s="36" t="n">
        <v>90</v>
      </c>
      <c r="R1818" s="32"/>
      <c r="S1818" s="32" t="n">
        <v>1</v>
      </c>
      <c r="T1818" s="32"/>
      <c r="U1818" s="32"/>
      <c r="V1818" s="37"/>
      <c r="W1818" s="32"/>
      <c r="X1818" s="34"/>
      <c r="Y1818" s="34"/>
      <c r="Z1818" s="32"/>
      <c r="AA1818" s="32" t="s">
        <v>10016</v>
      </c>
      <c r="AB1818" s="32"/>
      <c r="AC1818" s="38" t="str">
        <f aca="false">HYPERLINK("https://biocodex6--c.vf.force.com/0014L00000efAjSQAU", "BENOIT LOUISE")</f>
        <v>BENOIT LOUISE</v>
      </c>
      <c r="AD1818" s="38"/>
      <c r="AE1818" s="39"/>
      <c r="AF1818" s="40"/>
      <c r="AG1818" s="41"/>
      <c r="AH1818" s="32"/>
      <c r="AI1818" s="32"/>
      <c r="AL1818" s="32"/>
      <c r="AM1818" s="32"/>
      <c r="AN1818" s="32"/>
      <c r="AO1818" s="32"/>
      <c r="AP1818" s="32"/>
      <c r="AQ1818" s="32"/>
      <c r="AR1818" s="32"/>
      <c r="AS1818" s="32"/>
      <c r="AT1818" s="32"/>
      <c r="AU1818" s="32"/>
      <c r="XEY1818" s="27"/>
      <c r="XEZ1818" s="27"/>
      <c r="XFA1818" s="27"/>
      <c r="XFB1818" s="27"/>
      <c r="XFC1818" s="27"/>
      <c r="XFD1818" s="27"/>
    </row>
    <row r="1819" s="42" customFormat="true" ht="14.15" hidden="false" customHeight="true" outlineLevel="0" collapsed="false">
      <c r="A1819" s="28" t="s">
        <v>10017</v>
      </c>
      <c r="B1819" s="29" t="s">
        <v>7929</v>
      </c>
      <c r="C1819" s="29" t="s">
        <v>10018</v>
      </c>
      <c r="D1819" s="30" t="s">
        <v>50</v>
      </c>
      <c r="E1819" s="31"/>
      <c r="F1819" s="32" t="n">
        <v>34</v>
      </c>
      <c r="G1819" s="31"/>
      <c r="H1819" s="31" t="n">
        <v>1</v>
      </c>
      <c r="I1819" s="31" t="s">
        <v>99</v>
      </c>
      <c r="J1819" s="29" t="s">
        <v>595</v>
      </c>
      <c r="K1819" s="29" t="s">
        <v>596</v>
      </c>
      <c r="L1819" s="32" t="n">
        <v>20</v>
      </c>
      <c r="M1819" s="33" t="s">
        <v>597</v>
      </c>
      <c r="N1819" s="34" t="n">
        <v>75015</v>
      </c>
      <c r="O1819" s="35" t="s">
        <v>55</v>
      </c>
      <c r="P1819" s="36" t="s">
        <v>10019</v>
      </c>
      <c r="Q1819" s="36" t="n">
        <v>90</v>
      </c>
      <c r="R1819" s="32"/>
      <c r="S1819" s="32" t="n">
        <v>1</v>
      </c>
      <c r="T1819" s="32"/>
      <c r="U1819" s="32"/>
      <c r="V1819" s="37"/>
      <c r="W1819" s="32"/>
      <c r="X1819" s="34"/>
      <c r="Y1819" s="34"/>
      <c r="Z1819" s="36"/>
      <c r="AA1819" s="32" t="s">
        <v>10020</v>
      </c>
      <c r="AB1819" s="32"/>
      <c r="AC1819" s="38" t="str">
        <f aca="false">HYPERLINK("https://biocodex6--c.vf.force.com/0014L00000kSGjGQAW", "BLEZ DAMIEN")</f>
        <v>BLEZ DAMIEN</v>
      </c>
      <c r="AD1819" s="38"/>
      <c r="AE1819" s="39"/>
      <c r="AF1819" s="40"/>
      <c r="AG1819" s="41"/>
      <c r="AH1819" s="32" t="s">
        <v>179</v>
      </c>
      <c r="AI1819" s="32"/>
      <c r="AL1819" s="32"/>
      <c r="AM1819" s="32"/>
      <c r="AN1819" s="32"/>
      <c r="AO1819" s="32"/>
      <c r="AP1819" s="32"/>
      <c r="AQ1819" s="32"/>
      <c r="AR1819" s="32"/>
      <c r="AS1819" s="32"/>
      <c r="AT1819" s="32"/>
      <c r="AU1819" s="32"/>
      <c r="XEY1819" s="27"/>
      <c r="XEZ1819" s="27"/>
      <c r="XFA1819" s="27"/>
      <c r="XFB1819" s="27"/>
      <c r="XFC1819" s="27"/>
      <c r="XFD1819" s="27"/>
    </row>
    <row r="1820" s="42" customFormat="true" ht="14.15" hidden="false" customHeight="true" outlineLevel="0" collapsed="false">
      <c r="A1820" s="28" t="s">
        <v>10021</v>
      </c>
      <c r="B1820" s="29" t="s">
        <v>3763</v>
      </c>
      <c r="C1820" s="29" t="s">
        <v>10022</v>
      </c>
      <c r="D1820" s="30" t="s">
        <v>50</v>
      </c>
      <c r="E1820" s="31"/>
      <c r="F1820" s="32" t="n">
        <v>31</v>
      </c>
      <c r="G1820" s="31"/>
      <c r="H1820" s="31" t="n">
        <v>1</v>
      </c>
      <c r="I1820" s="31" t="s">
        <v>99</v>
      </c>
      <c r="J1820" s="29" t="s">
        <v>595</v>
      </c>
      <c r="K1820" s="29" t="s">
        <v>596</v>
      </c>
      <c r="L1820" s="32" t="n">
        <v>20</v>
      </c>
      <c r="M1820" s="33" t="s">
        <v>597</v>
      </c>
      <c r="N1820" s="34" t="n">
        <v>75015</v>
      </c>
      <c r="O1820" s="35" t="s">
        <v>55</v>
      </c>
      <c r="P1820" s="36" t="s">
        <v>7574</v>
      </c>
      <c r="Q1820" s="36" t="n">
        <v>90</v>
      </c>
      <c r="R1820" s="32"/>
      <c r="S1820" s="32" t="n">
        <v>1</v>
      </c>
      <c r="T1820" s="32"/>
      <c r="U1820" s="32"/>
      <c r="V1820" s="37"/>
      <c r="W1820" s="32"/>
      <c r="X1820" s="34"/>
      <c r="Y1820" s="34"/>
      <c r="Z1820" s="36"/>
      <c r="AA1820" s="32" t="s">
        <v>10023</v>
      </c>
      <c r="AB1820" s="32"/>
      <c r="AC1820" s="38" t="str">
        <f aca="false">HYPERLINK("https://biocodex6--c.vf.force.com/0014L00000NClOaQAL", "PATAS D ILLIERS CLEMENCE")</f>
        <v>PATAS D ILLIERS CLEMENCE</v>
      </c>
      <c r="AD1820" s="38"/>
      <c r="AE1820" s="39"/>
      <c r="AF1820" s="40"/>
      <c r="AG1820" s="41"/>
      <c r="AH1820" s="32" t="s">
        <v>179</v>
      </c>
      <c r="AI1820" s="32"/>
      <c r="AL1820" s="32"/>
      <c r="AM1820" s="32"/>
      <c r="AN1820" s="32"/>
      <c r="AO1820" s="32"/>
      <c r="AP1820" s="32"/>
      <c r="AQ1820" s="32"/>
      <c r="AR1820" s="32"/>
      <c r="AS1820" s="32"/>
      <c r="AT1820" s="32"/>
      <c r="AU1820" s="32"/>
      <c r="XEY1820" s="27"/>
      <c r="XEZ1820" s="27"/>
      <c r="XFA1820" s="27"/>
      <c r="XFB1820" s="27"/>
      <c r="XFC1820" s="27"/>
      <c r="XFD1820" s="27"/>
    </row>
    <row r="1821" s="42" customFormat="true" ht="14.15" hidden="false" customHeight="true" outlineLevel="0" collapsed="false">
      <c r="A1821" s="28" t="s">
        <v>10024</v>
      </c>
      <c r="B1821" s="29" t="s">
        <v>10025</v>
      </c>
      <c r="C1821" s="29" t="s">
        <v>10026</v>
      </c>
      <c r="D1821" s="30" t="s">
        <v>50</v>
      </c>
      <c r="E1821" s="31"/>
      <c r="F1821" s="32" t="n">
        <v>32</v>
      </c>
      <c r="G1821" s="31"/>
      <c r="H1821" s="31" t="n">
        <v>1</v>
      </c>
      <c r="I1821" s="31" t="s">
        <v>99</v>
      </c>
      <c r="J1821" s="29" t="s">
        <v>595</v>
      </c>
      <c r="K1821" s="29" t="s">
        <v>596</v>
      </c>
      <c r="L1821" s="32" t="n">
        <v>20</v>
      </c>
      <c r="M1821" s="33" t="s">
        <v>597</v>
      </c>
      <c r="N1821" s="34" t="n">
        <v>75015</v>
      </c>
      <c r="O1821" s="35" t="s">
        <v>55</v>
      </c>
      <c r="P1821" s="36" t="s">
        <v>7574</v>
      </c>
      <c r="Q1821" s="36" t="n">
        <v>90</v>
      </c>
      <c r="R1821" s="32"/>
      <c r="S1821" s="32" t="n">
        <v>1</v>
      </c>
      <c r="T1821" s="32"/>
      <c r="U1821" s="32"/>
      <c r="V1821" s="37"/>
      <c r="W1821" s="32"/>
      <c r="X1821" s="34"/>
      <c r="Y1821" s="34"/>
      <c r="Z1821" s="36"/>
      <c r="AA1821" s="32" t="s">
        <v>10027</v>
      </c>
      <c r="AB1821" s="32"/>
      <c r="AC1821" s="38" t="str">
        <f aca="false">HYPERLINK("https://biocodex6--c.vf.force.com/0014L00000KGIRmQAP", "ROUGETTE KEVIN")</f>
        <v>ROUGETTE KEVIN</v>
      </c>
      <c r="AD1821" s="38"/>
      <c r="AE1821" s="39"/>
      <c r="AF1821" s="40"/>
      <c r="AG1821" s="41"/>
      <c r="AH1821" s="32" t="s">
        <v>179</v>
      </c>
      <c r="AI1821" s="32"/>
      <c r="AL1821" s="32"/>
      <c r="AM1821" s="32"/>
      <c r="AN1821" s="32"/>
      <c r="AO1821" s="32"/>
      <c r="AP1821" s="32"/>
      <c r="AQ1821" s="32"/>
      <c r="AR1821" s="32"/>
      <c r="AS1821" s="32"/>
      <c r="AT1821" s="32"/>
      <c r="AU1821" s="32"/>
      <c r="XEY1821" s="27"/>
      <c r="XEZ1821" s="27"/>
      <c r="XFA1821" s="27"/>
      <c r="XFB1821" s="27"/>
      <c r="XFC1821" s="27"/>
      <c r="XFD1821" s="27"/>
    </row>
    <row r="1822" s="42" customFormat="true" ht="14.15" hidden="false" customHeight="true" outlineLevel="0" collapsed="false">
      <c r="A1822" s="28" t="s">
        <v>10028</v>
      </c>
      <c r="B1822" s="29" t="s">
        <v>4227</v>
      </c>
      <c r="C1822" s="29" t="s">
        <v>10029</v>
      </c>
      <c r="D1822" s="30" t="s">
        <v>268</v>
      </c>
      <c r="E1822" s="31"/>
      <c r="F1822" s="32" t="n">
        <v>37</v>
      </c>
      <c r="G1822" s="31"/>
      <c r="H1822" s="31" t="n">
        <v>1</v>
      </c>
      <c r="I1822" s="31" t="s">
        <v>99</v>
      </c>
      <c r="J1822" s="29" t="s">
        <v>595</v>
      </c>
      <c r="K1822" s="29" t="s">
        <v>596</v>
      </c>
      <c r="L1822" s="32" t="n">
        <v>20</v>
      </c>
      <c r="M1822" s="33" t="s">
        <v>597</v>
      </c>
      <c r="N1822" s="34" t="n">
        <v>75015</v>
      </c>
      <c r="O1822" s="35" t="s">
        <v>55</v>
      </c>
      <c r="P1822" s="36" t="s">
        <v>4356</v>
      </c>
      <c r="Q1822" s="36" t="n">
        <v>90</v>
      </c>
      <c r="R1822" s="32"/>
      <c r="S1822" s="32" t="n">
        <v>1</v>
      </c>
      <c r="T1822" s="32"/>
      <c r="U1822" s="32"/>
      <c r="V1822" s="37"/>
      <c r="W1822" s="32"/>
      <c r="X1822" s="34"/>
      <c r="Y1822" s="34"/>
      <c r="Z1822" s="36"/>
      <c r="AA1822" s="32" t="s">
        <v>10030</v>
      </c>
      <c r="AB1822" s="32"/>
      <c r="AC1822" s="38" t="str">
        <f aca="false">HYPERLINK("https://biocodex6--c.vf.force.com/0014L00000KGGiVQAX", "DE FREMINVILLE JEAN BAPTISTE")</f>
        <v>DE FREMINVILLE JEAN BAPTISTE</v>
      </c>
      <c r="AD1822" s="38"/>
      <c r="AE1822" s="39"/>
      <c r="AF1822" s="40"/>
      <c r="AG1822" s="41"/>
      <c r="AH1822" s="32" t="s">
        <v>179</v>
      </c>
      <c r="AI1822" s="32"/>
      <c r="AL1822" s="32"/>
      <c r="AM1822" s="32"/>
      <c r="AN1822" s="32"/>
      <c r="AO1822" s="32"/>
      <c r="AP1822" s="32"/>
      <c r="AQ1822" s="32"/>
      <c r="AR1822" s="32"/>
      <c r="AS1822" s="32"/>
      <c r="AT1822" s="32"/>
      <c r="AU1822" s="32"/>
      <c r="XEY1822" s="27"/>
      <c r="XEZ1822" s="27"/>
      <c r="XFA1822" s="27"/>
      <c r="XFB1822" s="27"/>
      <c r="XFC1822" s="27"/>
      <c r="XFD1822" s="27"/>
    </row>
    <row r="1823" s="42" customFormat="true" ht="14.15" hidden="false" customHeight="true" outlineLevel="0" collapsed="false">
      <c r="A1823" s="28" t="s">
        <v>10031</v>
      </c>
      <c r="B1823" s="29" t="s">
        <v>2254</v>
      </c>
      <c r="C1823" s="29" t="s">
        <v>10032</v>
      </c>
      <c r="D1823" s="30" t="s">
        <v>268</v>
      </c>
      <c r="E1823" s="31"/>
      <c r="F1823" s="32" t="n">
        <v>36</v>
      </c>
      <c r="G1823" s="31"/>
      <c r="H1823" s="31" t="n">
        <v>1</v>
      </c>
      <c r="I1823" s="31" t="s">
        <v>99</v>
      </c>
      <c r="J1823" s="29" t="s">
        <v>595</v>
      </c>
      <c r="K1823" s="29" t="s">
        <v>596</v>
      </c>
      <c r="L1823" s="32" t="n">
        <v>20</v>
      </c>
      <c r="M1823" s="33" t="s">
        <v>597</v>
      </c>
      <c r="N1823" s="34" t="n">
        <v>75015</v>
      </c>
      <c r="O1823" s="35" t="s">
        <v>55</v>
      </c>
      <c r="P1823" s="36" t="s">
        <v>10033</v>
      </c>
      <c r="Q1823" s="36" t="n">
        <v>90</v>
      </c>
      <c r="R1823" s="32"/>
      <c r="S1823" s="32" t="n">
        <v>1</v>
      </c>
      <c r="T1823" s="32"/>
      <c r="U1823" s="32"/>
      <c r="V1823" s="37"/>
      <c r="W1823" s="32"/>
      <c r="X1823" s="34"/>
      <c r="Y1823" s="34"/>
      <c r="Z1823" s="36"/>
      <c r="AA1823" s="32" t="s">
        <v>10034</v>
      </c>
      <c r="AB1823" s="32"/>
      <c r="AC1823" s="38" t="str">
        <f aca="false">HYPERLINK("https://biocodex6--c.vf.force.com/0014L00000KG9WjQAL", "HERMANN BERTRAND")</f>
        <v>HERMANN BERTRAND</v>
      </c>
      <c r="AD1823" s="38"/>
      <c r="AE1823" s="39"/>
      <c r="AF1823" s="40"/>
      <c r="AG1823" s="41"/>
      <c r="AH1823" s="32" t="s">
        <v>179</v>
      </c>
      <c r="AI1823" s="32"/>
      <c r="AL1823" s="32"/>
      <c r="AM1823" s="32"/>
      <c r="AN1823" s="32"/>
      <c r="AO1823" s="32"/>
      <c r="AP1823" s="32"/>
      <c r="AQ1823" s="32"/>
      <c r="AR1823" s="32"/>
      <c r="AS1823" s="32"/>
      <c r="AT1823" s="32"/>
      <c r="AU1823" s="32"/>
      <c r="XEY1823" s="27"/>
      <c r="XEZ1823" s="27"/>
      <c r="XFA1823" s="27"/>
      <c r="XFB1823" s="27"/>
      <c r="XFC1823" s="27"/>
      <c r="XFD1823" s="27"/>
    </row>
    <row r="1824" s="42" customFormat="true" ht="14.15" hidden="false" customHeight="true" outlineLevel="0" collapsed="false">
      <c r="A1824" s="28" t="s">
        <v>10035</v>
      </c>
      <c r="B1824" s="29" t="s">
        <v>6964</v>
      </c>
      <c r="C1824" s="29" t="s">
        <v>10036</v>
      </c>
      <c r="D1824" s="30" t="s">
        <v>172</v>
      </c>
      <c r="E1824" s="31"/>
      <c r="F1824" s="32" t="n">
        <v>31</v>
      </c>
      <c r="G1824" s="31"/>
      <c r="H1824" s="31" t="n">
        <v>1</v>
      </c>
      <c r="I1824" s="31" t="s">
        <v>99</v>
      </c>
      <c r="J1824" s="29" t="s">
        <v>595</v>
      </c>
      <c r="K1824" s="29" t="s">
        <v>596</v>
      </c>
      <c r="L1824" s="32" t="n">
        <v>20</v>
      </c>
      <c r="M1824" s="33" t="s">
        <v>597</v>
      </c>
      <c r="N1824" s="34" t="n">
        <v>75015</v>
      </c>
      <c r="O1824" s="35" t="s">
        <v>55</v>
      </c>
      <c r="P1824" s="36" t="s">
        <v>9720</v>
      </c>
      <c r="Q1824" s="36" t="n">
        <v>90</v>
      </c>
      <c r="R1824" s="32"/>
      <c r="S1824" s="32" t="n">
        <v>1</v>
      </c>
      <c r="T1824" s="43" t="s">
        <v>316</v>
      </c>
      <c r="U1824" s="32"/>
      <c r="V1824" s="37"/>
      <c r="W1824" s="32"/>
      <c r="X1824" s="34"/>
      <c r="Y1824" s="34"/>
      <c r="Z1824" s="36"/>
      <c r="AA1824" s="32" t="s">
        <v>10037</v>
      </c>
      <c r="AB1824" s="32"/>
      <c r="AC1824" s="38" t="str">
        <f aca="false">HYPERLINK("https://biocodex6--c.vf.force.com/0014L00000kUJA4QAO", "CARRAUD BEATRICE")</f>
        <v>CARRAUD BEATRICE</v>
      </c>
      <c r="AD1824" s="38"/>
      <c r="AE1824" s="39"/>
      <c r="AF1824" s="40"/>
      <c r="AG1824" s="41"/>
      <c r="AH1824" s="32" t="s">
        <v>179</v>
      </c>
      <c r="AI1824" s="32"/>
      <c r="AL1824" s="32"/>
      <c r="AM1824" s="32"/>
      <c r="AN1824" s="32"/>
      <c r="AO1824" s="32"/>
      <c r="AP1824" s="32"/>
      <c r="AQ1824" s="32"/>
      <c r="AR1824" s="32"/>
      <c r="AS1824" s="32"/>
      <c r="AT1824" s="32"/>
      <c r="AU1824" s="32"/>
      <c r="XEY1824" s="27"/>
      <c r="XEZ1824" s="27"/>
      <c r="XFA1824" s="27"/>
      <c r="XFB1824" s="27"/>
      <c r="XFC1824" s="27"/>
      <c r="XFD1824" s="27"/>
    </row>
    <row r="1825" s="42" customFormat="true" ht="14.15" hidden="false" customHeight="true" outlineLevel="0" collapsed="false">
      <c r="A1825" s="28" t="s">
        <v>10038</v>
      </c>
      <c r="B1825" s="29" t="s">
        <v>4948</v>
      </c>
      <c r="C1825" s="29" t="s">
        <v>10039</v>
      </c>
      <c r="D1825" s="30" t="s">
        <v>172</v>
      </c>
      <c r="E1825" s="31"/>
      <c r="F1825" s="32" t="n">
        <v>32</v>
      </c>
      <c r="G1825" s="31"/>
      <c r="H1825" s="31" t="n">
        <v>1</v>
      </c>
      <c r="I1825" s="31" t="s">
        <v>99</v>
      </c>
      <c r="J1825" s="29" t="s">
        <v>595</v>
      </c>
      <c r="K1825" s="29" t="s">
        <v>596</v>
      </c>
      <c r="L1825" s="32" t="n">
        <v>20</v>
      </c>
      <c r="M1825" s="33" t="s">
        <v>597</v>
      </c>
      <c r="N1825" s="34" t="n">
        <v>75015</v>
      </c>
      <c r="O1825" s="35" t="s">
        <v>55</v>
      </c>
      <c r="P1825" s="36" t="s">
        <v>10040</v>
      </c>
      <c r="Q1825" s="36" t="n">
        <v>90</v>
      </c>
      <c r="R1825" s="32"/>
      <c r="S1825" s="32" t="n">
        <v>1</v>
      </c>
      <c r="T1825" s="43" t="s">
        <v>316</v>
      </c>
      <c r="U1825" s="32"/>
      <c r="V1825" s="37"/>
      <c r="W1825" s="32"/>
      <c r="X1825" s="34"/>
      <c r="Y1825" s="34"/>
      <c r="Z1825" s="36"/>
      <c r="AA1825" s="32" t="s">
        <v>10041</v>
      </c>
      <c r="AB1825" s="32"/>
      <c r="AC1825" s="38" t="str">
        <f aca="false">HYPERLINK("https://biocodex6--c.vf.force.com/0014L00000KGGj5QAH", "FERRAND LISA")</f>
        <v>FERRAND LISA</v>
      </c>
      <c r="AD1825" s="38"/>
      <c r="AE1825" s="39"/>
      <c r="AF1825" s="40"/>
      <c r="AG1825" s="41"/>
      <c r="AH1825" s="32" t="s">
        <v>179</v>
      </c>
      <c r="AI1825" s="32"/>
      <c r="AL1825" s="32"/>
      <c r="AM1825" s="32"/>
      <c r="AN1825" s="32"/>
      <c r="AO1825" s="32"/>
      <c r="AP1825" s="32"/>
      <c r="AQ1825" s="32"/>
      <c r="AR1825" s="32"/>
      <c r="AS1825" s="32"/>
      <c r="AT1825" s="32"/>
      <c r="AU1825" s="32"/>
      <c r="XEY1825" s="27"/>
      <c r="XEZ1825" s="27"/>
      <c r="XFA1825" s="27"/>
      <c r="XFB1825" s="27"/>
      <c r="XFC1825" s="27"/>
      <c r="XFD1825" s="27"/>
    </row>
    <row r="1826" s="42" customFormat="true" ht="14.15" hidden="false" customHeight="true" outlineLevel="0" collapsed="false">
      <c r="A1826" s="28" t="s">
        <v>10042</v>
      </c>
      <c r="B1826" s="29" t="s">
        <v>773</v>
      </c>
      <c r="C1826" s="29" t="s">
        <v>10043</v>
      </c>
      <c r="D1826" s="30" t="s">
        <v>75</v>
      </c>
      <c r="E1826" s="31"/>
      <c r="F1826" s="32" t="n">
        <v>32</v>
      </c>
      <c r="G1826" s="31" t="s">
        <v>215</v>
      </c>
      <c r="H1826" s="31" t="n">
        <v>2</v>
      </c>
      <c r="I1826" s="31" t="s">
        <v>99</v>
      </c>
      <c r="J1826" s="29"/>
      <c r="K1826" s="29" t="s">
        <v>3457</v>
      </c>
      <c r="L1826" s="32" t="n">
        <v>2</v>
      </c>
      <c r="M1826" s="33" t="s">
        <v>3458</v>
      </c>
      <c r="N1826" s="34" t="n">
        <v>75015</v>
      </c>
      <c r="O1826" s="35" t="s">
        <v>55</v>
      </c>
      <c r="P1826" s="36" t="s">
        <v>10044</v>
      </c>
      <c r="Q1826" s="36" t="n">
        <v>1</v>
      </c>
      <c r="R1826" s="32"/>
      <c r="S1826" s="32" t="n">
        <v>1</v>
      </c>
      <c r="T1826" s="32"/>
      <c r="U1826" s="32"/>
      <c r="V1826" s="37"/>
      <c r="W1826" s="32"/>
      <c r="X1826" s="34"/>
      <c r="Y1826" s="34"/>
      <c r="Z1826" s="32"/>
      <c r="AA1826" s="32" t="s">
        <v>10045</v>
      </c>
      <c r="AB1826" s="32" t="s">
        <v>10046</v>
      </c>
      <c r="AC1826" s="38" t="str">
        <f aca="false">HYPERLINK("https://biocodex6--c.vf.force.com/0014L00000KGGVDQA5", "SEVERYNS THOMAS")</f>
        <v>SEVERYNS THOMAS</v>
      </c>
      <c r="AD1826" s="38" t="str">
        <f aca="false">HYPERLINK("https://annuairesante.ameli.fr/professionnels-de-sante/recherche/fiche-detaillee-B7c1kjs4NTGw.html", "SEVERYNS THOMAS")</f>
        <v>SEVERYNS THOMAS</v>
      </c>
      <c r="AE1826" s="39"/>
      <c r="AF1826" s="40"/>
      <c r="AG1826" s="41"/>
      <c r="AH1826" s="32"/>
      <c r="AI1826" s="32"/>
      <c r="AL1826" s="43" t="s">
        <v>966</v>
      </c>
      <c r="AM1826" s="32"/>
      <c r="AN1826" s="43" t="s">
        <v>338</v>
      </c>
      <c r="AO1826" s="43" t="s">
        <v>262</v>
      </c>
      <c r="AP1826" s="32"/>
      <c r="AQ1826" s="32"/>
      <c r="AR1826" s="32"/>
      <c r="AS1826" s="32"/>
      <c r="AT1826" s="32"/>
      <c r="AU1826" s="32"/>
      <c r="XEY1826" s="27"/>
      <c r="XEZ1826" s="27"/>
      <c r="XFA1826" s="27"/>
      <c r="XFB1826" s="27"/>
      <c r="XFC1826" s="27"/>
      <c r="XFD1826" s="27"/>
    </row>
    <row r="1827" s="42" customFormat="true" ht="14.15" hidden="false" customHeight="true" outlineLevel="0" collapsed="false">
      <c r="A1827" s="28" t="s">
        <v>10047</v>
      </c>
      <c r="B1827" s="29" t="s">
        <v>10048</v>
      </c>
      <c r="C1827" s="29" t="s">
        <v>10049</v>
      </c>
      <c r="D1827" s="30" t="s">
        <v>172</v>
      </c>
      <c r="E1827" s="31"/>
      <c r="F1827" s="32" t="n">
        <v>31</v>
      </c>
      <c r="G1827" s="31"/>
      <c r="H1827" s="31" t="n">
        <v>1</v>
      </c>
      <c r="I1827" s="31" t="s">
        <v>99</v>
      </c>
      <c r="J1827" s="29"/>
      <c r="K1827" s="29" t="s">
        <v>10050</v>
      </c>
      <c r="L1827" s="32" t="n">
        <v>23</v>
      </c>
      <c r="M1827" s="33" t="s">
        <v>10051</v>
      </c>
      <c r="N1827" s="34" t="n">
        <v>75015</v>
      </c>
      <c r="O1827" s="35" t="s">
        <v>55</v>
      </c>
      <c r="P1827" s="36" t="s">
        <v>10052</v>
      </c>
      <c r="Q1827" s="36" t="n">
        <v>1</v>
      </c>
      <c r="R1827" s="32"/>
      <c r="S1827" s="32" t="n">
        <v>1</v>
      </c>
      <c r="T1827" s="43" t="s">
        <v>316</v>
      </c>
      <c r="U1827" s="32"/>
      <c r="V1827" s="37"/>
      <c r="W1827" s="32"/>
      <c r="X1827" s="34"/>
      <c r="Y1827" s="34"/>
      <c r="Z1827" s="36"/>
      <c r="AA1827" s="32" t="s">
        <v>10053</v>
      </c>
      <c r="AB1827" s="32"/>
      <c r="AC1827" s="38" t="str">
        <f aca="false">HYPERLINK("https://biocodex6--c.vf.force.com/0014L00000KGJFQQA5", "LHERMITTE MAREVA")</f>
        <v>LHERMITTE MAREVA</v>
      </c>
      <c r="AD1827" s="38"/>
      <c r="AE1827" s="39"/>
      <c r="AF1827" s="40"/>
      <c r="AG1827" s="41"/>
      <c r="AH1827" s="32" t="s">
        <v>179</v>
      </c>
      <c r="AI1827" s="32"/>
      <c r="AL1827" s="32"/>
      <c r="AM1827" s="32"/>
      <c r="AN1827" s="32"/>
      <c r="AO1827" s="32"/>
      <c r="AP1827" s="32"/>
      <c r="AQ1827" s="32"/>
      <c r="AR1827" s="32"/>
      <c r="AS1827" s="32"/>
      <c r="AT1827" s="32"/>
      <c r="AU1827" s="32"/>
      <c r="XEY1827" s="27"/>
      <c r="XEZ1827" s="27"/>
      <c r="XFA1827" s="27"/>
      <c r="XFB1827" s="27"/>
      <c r="XFC1827" s="27"/>
      <c r="XFD1827" s="27"/>
    </row>
    <row r="1828" s="42" customFormat="true" ht="14.15" hidden="false" customHeight="true" outlineLevel="0" collapsed="false">
      <c r="A1828" s="28" t="s">
        <v>10054</v>
      </c>
      <c r="B1828" s="29" t="s">
        <v>1074</v>
      </c>
      <c r="C1828" s="29" t="s">
        <v>10055</v>
      </c>
      <c r="D1828" s="30" t="s">
        <v>172</v>
      </c>
      <c r="E1828" s="31"/>
      <c r="F1828" s="32" t="n">
        <v>37</v>
      </c>
      <c r="G1828" s="31"/>
      <c r="H1828" s="31" t="n">
        <v>1</v>
      </c>
      <c r="I1828" s="31" t="s">
        <v>119</v>
      </c>
      <c r="J1828" s="29"/>
      <c r="K1828" s="29" t="s">
        <v>10056</v>
      </c>
      <c r="L1828" s="32" t="n">
        <v>83</v>
      </c>
      <c r="M1828" s="33" t="s">
        <v>1576</v>
      </c>
      <c r="N1828" s="34" t="n">
        <v>75007</v>
      </c>
      <c r="O1828" s="35" t="s">
        <v>55</v>
      </c>
      <c r="P1828" s="36" t="s">
        <v>2108</v>
      </c>
      <c r="Q1828" s="36" t="n">
        <v>1</v>
      </c>
      <c r="R1828" s="32"/>
      <c r="S1828" s="32" t="n">
        <v>1</v>
      </c>
      <c r="T1828" s="32"/>
      <c r="U1828" s="32"/>
      <c r="V1828" s="37"/>
      <c r="W1828" s="32"/>
      <c r="X1828" s="34"/>
      <c r="Y1828" s="34"/>
      <c r="Z1828" s="32"/>
      <c r="AA1828" s="32" t="s">
        <v>10057</v>
      </c>
      <c r="AB1828" s="44"/>
      <c r="AC1828" s="38" t="str">
        <f aca="false">HYPERLINK("https://biocodex6--c.vf.force.com/0014L00000KFP59QAH", "WOESTELANDT LAURE")</f>
        <v>WOESTELANDT LAURE</v>
      </c>
      <c r="AD1828" s="38"/>
      <c r="AE1828" s="39"/>
      <c r="AF1828" s="40"/>
      <c r="AG1828" s="41"/>
      <c r="AH1828" s="32"/>
      <c r="AI1828" s="32"/>
      <c r="AJ1828" s="42" t="s">
        <v>1890</v>
      </c>
      <c r="AL1828" s="32"/>
      <c r="AM1828" s="32"/>
      <c r="AN1828" s="32"/>
      <c r="AO1828" s="32"/>
      <c r="AP1828" s="32"/>
      <c r="AQ1828" s="32"/>
      <c r="AR1828" s="32"/>
      <c r="AS1828" s="32"/>
      <c r="AT1828" s="32"/>
      <c r="AU1828" s="32"/>
      <c r="XEY1828" s="27"/>
      <c r="XEZ1828" s="27"/>
      <c r="XFA1828" s="27"/>
      <c r="XFB1828" s="27"/>
      <c r="XFC1828" s="27"/>
      <c r="XFD1828" s="27"/>
    </row>
    <row r="1829" s="42" customFormat="true" ht="14.15" hidden="false" customHeight="true" outlineLevel="0" collapsed="false">
      <c r="A1829" s="28" t="s">
        <v>10058</v>
      </c>
      <c r="B1829" s="29" t="s">
        <v>5227</v>
      </c>
      <c r="C1829" s="29" t="s">
        <v>10059</v>
      </c>
      <c r="D1829" s="30" t="s">
        <v>1103</v>
      </c>
      <c r="E1829" s="31"/>
      <c r="F1829" s="32" t="n">
        <v>46</v>
      </c>
      <c r="G1829" s="31"/>
      <c r="H1829" s="31" t="n">
        <v>1</v>
      </c>
      <c r="I1829" s="31" t="s">
        <v>119</v>
      </c>
      <c r="J1829" s="29"/>
      <c r="K1829" s="29" t="s">
        <v>10060</v>
      </c>
      <c r="L1829" s="32" t="n">
        <v>19</v>
      </c>
      <c r="M1829" s="33" t="s">
        <v>1900</v>
      </c>
      <c r="N1829" s="58" t="n">
        <v>75007</v>
      </c>
      <c r="O1829" s="35" t="s">
        <v>55</v>
      </c>
      <c r="P1829" s="59" t="s">
        <v>10061</v>
      </c>
      <c r="Q1829" s="36" t="n">
        <v>1</v>
      </c>
      <c r="R1829" s="32"/>
      <c r="S1829" s="32" t="n">
        <v>1</v>
      </c>
      <c r="T1829" s="32"/>
      <c r="U1829" s="32"/>
      <c r="V1829" s="37"/>
      <c r="W1829" s="32"/>
      <c r="X1829" s="34"/>
      <c r="Y1829" s="34"/>
      <c r="AA1829" s="42" t="s">
        <v>10062</v>
      </c>
      <c r="AB1829" s="44"/>
      <c r="AC1829" s="38" t="str">
        <f aca="false">HYPERLINK("https://biocodex6--c.vf.force.com/0014L00000KG5FOQA1", "VERA LOUIS")</f>
        <v>VERA LOUIS</v>
      </c>
      <c r="AD1829" s="38"/>
      <c r="AE1829" s="39"/>
      <c r="AF1829" s="40"/>
      <c r="AG1829" s="41"/>
      <c r="AH1829" s="32"/>
      <c r="AI1829" s="32"/>
      <c r="AJ1829" s="42" t="s">
        <v>1890</v>
      </c>
      <c r="AL1829" s="32"/>
      <c r="AM1829" s="32"/>
      <c r="AN1829" s="32"/>
      <c r="AO1829" s="32"/>
      <c r="AP1829" s="32"/>
      <c r="AQ1829" s="32"/>
      <c r="AR1829" s="32"/>
      <c r="AS1829" s="32"/>
      <c r="AT1829" s="32"/>
      <c r="AU1829" s="32"/>
      <c r="XEY1829" s="27"/>
      <c r="XEZ1829" s="27"/>
      <c r="XFA1829" s="27"/>
      <c r="XFB1829" s="27"/>
      <c r="XFC1829" s="27"/>
      <c r="XFD1829" s="27"/>
    </row>
    <row r="1830" s="42" customFormat="true" ht="14.15" hidden="false" customHeight="true" outlineLevel="0" collapsed="false">
      <c r="A1830" s="28" t="s">
        <v>10063</v>
      </c>
      <c r="B1830" s="29" t="s">
        <v>10064</v>
      </c>
      <c r="C1830" s="29" t="s">
        <v>10065</v>
      </c>
      <c r="D1830" s="30" t="s">
        <v>1103</v>
      </c>
      <c r="E1830" s="31"/>
      <c r="F1830" s="32" t="n">
        <v>0</v>
      </c>
      <c r="G1830" s="31"/>
      <c r="H1830" s="31" t="n">
        <v>2</v>
      </c>
      <c r="I1830" s="31" t="s">
        <v>119</v>
      </c>
      <c r="J1830" s="29"/>
      <c r="K1830" s="29" t="s">
        <v>10066</v>
      </c>
      <c r="L1830" s="32" t="n">
        <v>4</v>
      </c>
      <c r="M1830" s="33" t="s">
        <v>10067</v>
      </c>
      <c r="N1830" s="34" t="n">
        <v>75007</v>
      </c>
      <c r="O1830" s="35" t="s">
        <v>55</v>
      </c>
      <c r="P1830" s="36" t="s">
        <v>10068</v>
      </c>
      <c r="Q1830" s="36" t="n">
        <v>1</v>
      </c>
      <c r="R1830" s="32"/>
      <c r="S1830" s="32" t="n">
        <v>1</v>
      </c>
      <c r="T1830" s="43" t="s">
        <v>1107</v>
      </c>
      <c r="U1830" s="32" t="n">
        <v>3</v>
      </c>
      <c r="V1830" s="37"/>
      <c r="W1830" s="32"/>
      <c r="X1830" s="34"/>
      <c r="Y1830" s="34"/>
      <c r="Z1830" s="32"/>
      <c r="AA1830" s="32" t="s">
        <v>10069</v>
      </c>
      <c r="AB1830" s="32"/>
      <c r="AC1830" s="38" t="str">
        <f aca="false">HYPERLINK("https://biocodex6--c.vf.force.com/0014L00000NAgXZQA1", "DE LAAGE DE MEUX TRISTAN")</f>
        <v>DE LAAGE DE MEUX TRISTAN</v>
      </c>
      <c r="AD1830" s="38"/>
      <c r="AE1830" s="39"/>
      <c r="AF1830" s="40"/>
      <c r="AG1830" s="41"/>
      <c r="AH1830" s="32"/>
      <c r="AI1830" s="32"/>
      <c r="AL1830" s="32"/>
      <c r="AM1830" s="32"/>
      <c r="AN1830" s="32"/>
      <c r="AO1830" s="32"/>
      <c r="AP1830" s="32"/>
      <c r="AQ1830" s="32"/>
      <c r="AR1830" s="32"/>
      <c r="AS1830" s="32"/>
      <c r="AT1830" s="32"/>
      <c r="AU1830" s="32"/>
      <c r="XEY1830" s="27"/>
      <c r="XEZ1830" s="27"/>
      <c r="XFA1830" s="27"/>
      <c r="XFB1830" s="27"/>
      <c r="XFC1830" s="27"/>
      <c r="XFD1830" s="27"/>
    </row>
    <row r="1831" s="42" customFormat="true" ht="14.15" hidden="false" customHeight="true" outlineLevel="0" collapsed="false">
      <c r="A1831" s="28" t="s">
        <v>10070</v>
      </c>
      <c r="B1831" s="29" t="s">
        <v>10071</v>
      </c>
      <c r="C1831" s="29" t="s">
        <v>10072</v>
      </c>
      <c r="D1831" s="30" t="s">
        <v>50</v>
      </c>
      <c r="E1831" s="31"/>
      <c r="F1831" s="32" t="n">
        <v>0</v>
      </c>
      <c r="G1831" s="31"/>
      <c r="H1831" s="31" t="n">
        <v>1</v>
      </c>
      <c r="I1831" s="31" t="s">
        <v>119</v>
      </c>
      <c r="J1831" s="29"/>
      <c r="K1831" s="29" t="s">
        <v>3805</v>
      </c>
      <c r="L1831" s="32" t="n">
        <v>14</v>
      </c>
      <c r="M1831" s="33" t="s">
        <v>3806</v>
      </c>
      <c r="N1831" s="34" t="n">
        <v>75007</v>
      </c>
      <c r="O1831" s="35" t="s">
        <v>55</v>
      </c>
      <c r="P1831" s="36" t="s">
        <v>3807</v>
      </c>
      <c r="Q1831" s="36" t="n">
        <v>7</v>
      </c>
      <c r="R1831" s="32"/>
      <c r="S1831" s="32" t="n">
        <v>1</v>
      </c>
      <c r="T1831" s="32"/>
      <c r="U1831" s="32"/>
      <c r="V1831" s="37"/>
      <c r="W1831" s="32"/>
      <c r="X1831" s="34"/>
      <c r="Y1831" s="34"/>
      <c r="Z1831" s="36"/>
      <c r="AA1831" s="32" t="s">
        <v>10073</v>
      </c>
      <c r="AB1831" s="32"/>
      <c r="AC1831" s="38" t="str">
        <f aca="false">HYPERLINK("https://biocodex6--c.vf.force.com/0014L00000kRXwXQAW", "LACHARD MATTHIEU")</f>
        <v>LACHARD MATTHIEU</v>
      </c>
      <c r="AD1831" s="38"/>
      <c r="AE1831" s="39"/>
      <c r="AF1831" s="40"/>
      <c r="AG1831" s="41"/>
      <c r="AH1831" s="32" t="s">
        <v>179</v>
      </c>
      <c r="AI1831" s="32"/>
      <c r="AL1831" s="32"/>
      <c r="AM1831" s="32"/>
      <c r="AN1831" s="32"/>
      <c r="AO1831" s="32"/>
      <c r="AP1831" s="32"/>
      <c r="AQ1831" s="32"/>
      <c r="AR1831" s="32"/>
      <c r="AS1831" s="32"/>
      <c r="AT1831" s="32"/>
      <c r="AU1831" s="32"/>
      <c r="XEY1831" s="27"/>
      <c r="XEZ1831" s="27"/>
      <c r="XFA1831" s="27"/>
      <c r="XFB1831" s="27"/>
      <c r="XFC1831" s="27"/>
      <c r="XFD1831" s="27"/>
    </row>
    <row r="1832" s="42" customFormat="true" ht="14.15" hidden="false" customHeight="true" outlineLevel="0" collapsed="false">
      <c r="A1832" s="28" t="s">
        <v>10074</v>
      </c>
      <c r="B1832" s="29" t="s">
        <v>1460</v>
      </c>
      <c r="C1832" s="29" t="s">
        <v>10075</v>
      </c>
      <c r="D1832" s="30" t="s">
        <v>50</v>
      </c>
      <c r="E1832" s="31"/>
      <c r="F1832" s="32" t="n">
        <v>37</v>
      </c>
      <c r="G1832" s="31"/>
      <c r="H1832" s="31" t="n">
        <v>1</v>
      </c>
      <c r="I1832" s="31" t="s">
        <v>119</v>
      </c>
      <c r="J1832" s="29"/>
      <c r="K1832" s="29" t="s">
        <v>3805</v>
      </c>
      <c r="L1832" s="32" t="n">
        <v>14</v>
      </c>
      <c r="M1832" s="33" t="s">
        <v>3806</v>
      </c>
      <c r="N1832" s="34" t="n">
        <v>75007</v>
      </c>
      <c r="O1832" s="35" t="s">
        <v>55</v>
      </c>
      <c r="P1832" s="36" t="s">
        <v>3807</v>
      </c>
      <c r="Q1832" s="36" t="n">
        <v>7</v>
      </c>
      <c r="R1832" s="32"/>
      <c r="S1832" s="32" t="n">
        <v>1</v>
      </c>
      <c r="T1832" s="32"/>
      <c r="U1832" s="32"/>
      <c r="V1832" s="37"/>
      <c r="W1832" s="32"/>
      <c r="X1832" s="34"/>
      <c r="Y1832" s="34"/>
      <c r="Z1832" s="36"/>
      <c r="AA1832" s="32" t="s">
        <v>10076</v>
      </c>
      <c r="AB1832" s="32"/>
      <c r="AC1832" s="38" t="str">
        <f aca="false">HYPERLINK("https://biocodex6--c.vf.force.com/0014L00000kRJTLQA4", "OUJAGIR AUDREY")</f>
        <v>OUJAGIR AUDREY</v>
      </c>
      <c r="AD1832" s="38"/>
      <c r="AE1832" s="39"/>
      <c r="AF1832" s="40"/>
      <c r="AG1832" s="41"/>
      <c r="AH1832" s="32" t="s">
        <v>179</v>
      </c>
      <c r="AI1832" s="32"/>
      <c r="AL1832" s="32"/>
      <c r="AM1832" s="32"/>
      <c r="AN1832" s="32"/>
      <c r="AO1832" s="32"/>
      <c r="AP1832" s="32"/>
      <c r="AQ1832" s="32"/>
      <c r="AR1832" s="32"/>
      <c r="AS1832" s="32"/>
      <c r="AT1832" s="32"/>
      <c r="AU1832" s="32"/>
      <c r="XEY1832" s="27"/>
      <c r="XEZ1832" s="27"/>
      <c r="XFA1832" s="27"/>
      <c r="XFB1832" s="27"/>
      <c r="XFC1832" s="27"/>
      <c r="XFD1832" s="27"/>
    </row>
    <row r="1833" s="42" customFormat="true" ht="14.15" hidden="false" customHeight="true" outlineLevel="0" collapsed="false">
      <c r="A1833" s="28" t="s">
        <v>10077</v>
      </c>
      <c r="B1833" s="29" t="s">
        <v>4463</v>
      </c>
      <c r="C1833" s="29" t="s">
        <v>10078</v>
      </c>
      <c r="D1833" s="30" t="s">
        <v>244</v>
      </c>
      <c r="E1833" s="31"/>
      <c r="F1833" s="32" t="n">
        <v>35</v>
      </c>
      <c r="G1833" s="31"/>
      <c r="H1833" s="31" t="n">
        <v>1</v>
      </c>
      <c r="I1833" s="31" t="s">
        <v>51</v>
      </c>
      <c r="J1833" s="29" t="s">
        <v>52</v>
      </c>
      <c r="K1833" s="29" t="s">
        <v>53</v>
      </c>
      <c r="L1833" s="32" t="n">
        <v>149</v>
      </c>
      <c r="M1833" s="33" t="s">
        <v>54</v>
      </c>
      <c r="N1833" s="34" t="n">
        <v>75015</v>
      </c>
      <c r="O1833" s="35" t="s">
        <v>55</v>
      </c>
      <c r="P1833" s="36" t="s">
        <v>4554</v>
      </c>
      <c r="Q1833" s="36" t="n">
        <v>236</v>
      </c>
      <c r="R1833" s="32"/>
      <c r="S1833" s="32" t="n">
        <v>1</v>
      </c>
      <c r="T1833" s="32"/>
      <c r="U1833" s="32"/>
      <c r="V1833" s="37"/>
      <c r="W1833" s="32"/>
      <c r="X1833" s="34"/>
      <c r="Y1833" s="34"/>
      <c r="Z1833" s="36"/>
      <c r="AA1833" s="32" t="s">
        <v>10079</v>
      </c>
      <c r="AB1833" s="32"/>
      <c r="AC1833" s="38" t="str">
        <f aca="false">HYPERLINK("https://biocodex6--c.vf.force.com/0014L00000eeV5YQAU", "BOURGON NICOLAS")</f>
        <v>BOURGON NICOLAS</v>
      </c>
      <c r="AD1833" s="38"/>
      <c r="AE1833" s="39"/>
      <c r="AF1833" s="40"/>
      <c r="AG1833" s="41"/>
      <c r="AH1833" s="32" t="s">
        <v>179</v>
      </c>
      <c r="AI1833" s="32"/>
      <c r="AL1833" s="32"/>
      <c r="AM1833" s="32"/>
      <c r="AN1833" s="32"/>
      <c r="AO1833" s="32"/>
      <c r="AP1833" s="32"/>
      <c r="AQ1833" s="32"/>
      <c r="AR1833" s="32"/>
      <c r="AS1833" s="32"/>
      <c r="AT1833" s="32"/>
      <c r="AU1833" s="32"/>
      <c r="XEY1833" s="27"/>
      <c r="XEZ1833" s="27"/>
      <c r="XFA1833" s="27"/>
      <c r="XFB1833" s="27"/>
      <c r="XFC1833" s="27"/>
      <c r="XFD1833" s="27"/>
    </row>
    <row r="1834" s="42" customFormat="true" ht="14.15" hidden="false" customHeight="true" outlineLevel="0" collapsed="false">
      <c r="A1834" s="28" t="s">
        <v>10080</v>
      </c>
      <c r="B1834" s="29" t="s">
        <v>10071</v>
      </c>
      <c r="C1834" s="29" t="s">
        <v>10081</v>
      </c>
      <c r="D1834" s="30" t="s">
        <v>244</v>
      </c>
      <c r="E1834" s="30" t="s">
        <v>245</v>
      </c>
      <c r="F1834" s="32" t="n">
        <v>34</v>
      </c>
      <c r="G1834" s="31"/>
      <c r="H1834" s="31" t="n">
        <v>1</v>
      </c>
      <c r="I1834" s="31" t="s">
        <v>51</v>
      </c>
      <c r="J1834" s="29" t="s">
        <v>52</v>
      </c>
      <c r="K1834" s="29" t="s">
        <v>53</v>
      </c>
      <c r="L1834" s="32" t="n">
        <v>149</v>
      </c>
      <c r="M1834" s="33" t="s">
        <v>54</v>
      </c>
      <c r="N1834" s="34" t="n">
        <v>75015</v>
      </c>
      <c r="O1834" s="35" t="s">
        <v>55</v>
      </c>
      <c r="P1834" s="36" t="s">
        <v>4554</v>
      </c>
      <c r="Q1834" s="36" t="n">
        <v>236</v>
      </c>
      <c r="R1834" s="32"/>
      <c r="S1834" s="32" t="n">
        <v>1</v>
      </c>
      <c r="T1834" s="32"/>
      <c r="U1834" s="32"/>
      <c r="V1834" s="37"/>
      <c r="W1834" s="32"/>
      <c r="X1834" s="34"/>
      <c r="Y1834" s="34"/>
      <c r="Z1834" s="36"/>
      <c r="AA1834" s="32" t="s">
        <v>10082</v>
      </c>
      <c r="AB1834" s="32"/>
      <c r="AC1834" s="38" t="str">
        <f aca="false">HYPERLINK("https://biocodex6--c.vf.force.com/0014L00000hsM71QAE", "DAP MATTHIEU")</f>
        <v>DAP MATTHIEU</v>
      </c>
      <c r="AD1834" s="38"/>
      <c r="AE1834" s="39"/>
      <c r="AF1834" s="40"/>
      <c r="AG1834" s="41"/>
      <c r="AH1834" s="32" t="s">
        <v>179</v>
      </c>
      <c r="AI1834" s="32"/>
      <c r="AL1834" s="32"/>
      <c r="AM1834" s="32"/>
      <c r="AN1834" s="32"/>
      <c r="AO1834" s="32"/>
      <c r="AP1834" s="32"/>
      <c r="AQ1834" s="32"/>
      <c r="AR1834" s="32"/>
      <c r="AS1834" s="32"/>
      <c r="AT1834" s="32"/>
      <c r="AU1834" s="32"/>
      <c r="XEY1834" s="27"/>
      <c r="XEZ1834" s="27"/>
      <c r="XFA1834" s="27"/>
      <c r="XFB1834" s="27"/>
      <c r="XFC1834" s="27"/>
      <c r="XFD1834" s="27"/>
    </row>
    <row r="1835" s="42" customFormat="true" ht="14.15" hidden="false" customHeight="true" outlineLevel="0" collapsed="false">
      <c r="A1835" s="28" t="s">
        <v>10083</v>
      </c>
      <c r="B1835" s="29" t="s">
        <v>10084</v>
      </c>
      <c r="C1835" s="29" t="s">
        <v>10085</v>
      </c>
      <c r="D1835" s="30" t="s">
        <v>50</v>
      </c>
      <c r="E1835" s="30" t="s">
        <v>421</v>
      </c>
      <c r="F1835" s="32" t="n">
        <v>33</v>
      </c>
      <c r="G1835" s="31"/>
      <c r="H1835" s="31" t="n">
        <v>1</v>
      </c>
      <c r="I1835" s="31" t="s">
        <v>51</v>
      </c>
      <c r="J1835" s="29" t="s">
        <v>52</v>
      </c>
      <c r="K1835" s="29" t="s">
        <v>53</v>
      </c>
      <c r="L1835" s="32" t="n">
        <v>149</v>
      </c>
      <c r="M1835" s="33" t="s">
        <v>54</v>
      </c>
      <c r="N1835" s="34" t="n">
        <v>75015</v>
      </c>
      <c r="O1835" s="35" t="s">
        <v>55</v>
      </c>
      <c r="P1835" s="36" t="s">
        <v>4605</v>
      </c>
      <c r="Q1835" s="36" t="n">
        <v>236</v>
      </c>
      <c r="R1835" s="32"/>
      <c r="S1835" s="32" t="n">
        <v>1</v>
      </c>
      <c r="T1835" s="32"/>
      <c r="U1835" s="32"/>
      <c r="V1835" s="37"/>
      <c r="W1835" s="32"/>
      <c r="X1835" s="34"/>
      <c r="Y1835" s="34"/>
      <c r="Z1835" s="36"/>
      <c r="AA1835" s="32" t="s">
        <v>10086</v>
      </c>
      <c r="AB1835" s="32"/>
      <c r="AC1835" s="38" t="str">
        <f aca="false">HYPERLINK("https://biocodex6--c.vf.force.com/0014L00000VMl0fQAD", "DE LA PORTE DES VAUX CLEMENTINE")</f>
        <v>DE LA PORTE DES VAUX CLEMENTINE</v>
      </c>
      <c r="AD1835" s="38"/>
      <c r="AE1835" s="39"/>
      <c r="AF1835" s="40"/>
      <c r="AG1835" s="41"/>
      <c r="AH1835" s="32" t="s">
        <v>179</v>
      </c>
      <c r="AI1835" s="32"/>
      <c r="AL1835" s="32"/>
      <c r="AM1835" s="32"/>
      <c r="AN1835" s="32"/>
      <c r="AO1835" s="32"/>
      <c r="AP1835" s="32"/>
      <c r="AQ1835" s="32"/>
      <c r="AR1835" s="32"/>
      <c r="AS1835" s="32"/>
      <c r="AT1835" s="32"/>
      <c r="AU1835" s="32"/>
      <c r="XEY1835" s="27"/>
      <c r="XEZ1835" s="27"/>
      <c r="XFA1835" s="27"/>
      <c r="XFB1835" s="27"/>
      <c r="XFC1835" s="27"/>
      <c r="XFD1835" s="27"/>
    </row>
    <row r="1836" s="42" customFormat="true" ht="14.15" hidden="false" customHeight="true" outlineLevel="0" collapsed="false">
      <c r="A1836" s="28" t="s">
        <v>10087</v>
      </c>
      <c r="B1836" s="29" t="s">
        <v>10088</v>
      </c>
      <c r="C1836" s="29" t="s">
        <v>10089</v>
      </c>
      <c r="D1836" s="30" t="s">
        <v>268</v>
      </c>
      <c r="E1836" s="31"/>
      <c r="F1836" s="32" t="n">
        <v>36</v>
      </c>
      <c r="G1836" s="31"/>
      <c r="H1836" s="31" t="n">
        <v>1</v>
      </c>
      <c r="I1836" s="31" t="s">
        <v>51</v>
      </c>
      <c r="J1836" s="29" t="s">
        <v>52</v>
      </c>
      <c r="K1836" s="29" t="s">
        <v>53</v>
      </c>
      <c r="L1836" s="32" t="n">
        <v>149</v>
      </c>
      <c r="M1836" s="33" t="s">
        <v>54</v>
      </c>
      <c r="N1836" s="34" t="n">
        <v>75015</v>
      </c>
      <c r="O1836" s="35" t="s">
        <v>55</v>
      </c>
      <c r="P1836" s="36" t="s">
        <v>2529</v>
      </c>
      <c r="Q1836" s="36" t="n">
        <v>236</v>
      </c>
      <c r="R1836" s="32"/>
      <c r="S1836" s="32" t="n">
        <v>1</v>
      </c>
      <c r="T1836" s="32"/>
      <c r="U1836" s="32"/>
      <c r="V1836" s="37"/>
      <c r="W1836" s="32"/>
      <c r="X1836" s="34"/>
      <c r="Y1836" s="34"/>
      <c r="Z1836" s="36"/>
      <c r="AA1836" s="32" t="s">
        <v>10090</v>
      </c>
      <c r="AB1836" s="32"/>
      <c r="AC1836" s="38" t="str">
        <f aca="false">HYPERLINK("https://biocodex6--c.vf.force.com/0014L00000KG9rOQAT", "BENICHI SANDRO")</f>
        <v>BENICHI SANDRO</v>
      </c>
      <c r="AD1836" s="38"/>
      <c r="AE1836" s="39"/>
      <c r="AF1836" s="40"/>
      <c r="AG1836" s="41"/>
      <c r="AH1836" s="32" t="s">
        <v>179</v>
      </c>
      <c r="AI1836" s="32"/>
      <c r="AL1836" s="32"/>
      <c r="AM1836" s="32"/>
      <c r="AN1836" s="32"/>
      <c r="AO1836" s="32"/>
      <c r="AP1836" s="32"/>
      <c r="AQ1836" s="32"/>
      <c r="AR1836" s="32"/>
      <c r="AS1836" s="32"/>
      <c r="AT1836" s="32"/>
      <c r="AU1836" s="32"/>
      <c r="XEY1836" s="27"/>
      <c r="XEZ1836" s="27"/>
      <c r="XFA1836" s="27"/>
      <c r="XFB1836" s="27"/>
      <c r="XFC1836" s="27"/>
      <c r="XFD1836" s="27"/>
    </row>
    <row r="1837" s="42" customFormat="true" ht="14.15" hidden="false" customHeight="true" outlineLevel="0" collapsed="false">
      <c r="A1837" s="28" t="s">
        <v>10091</v>
      </c>
      <c r="B1837" s="29" t="s">
        <v>1304</v>
      </c>
      <c r="C1837" s="29" t="s">
        <v>10092</v>
      </c>
      <c r="D1837" s="30" t="s">
        <v>112</v>
      </c>
      <c r="E1837" s="31"/>
      <c r="F1837" s="32" t="n">
        <v>32</v>
      </c>
      <c r="G1837" s="31"/>
      <c r="H1837" s="31" t="n">
        <v>1</v>
      </c>
      <c r="I1837" s="31" t="s">
        <v>51</v>
      </c>
      <c r="J1837" s="29" t="s">
        <v>52</v>
      </c>
      <c r="K1837" s="29" t="s">
        <v>53</v>
      </c>
      <c r="L1837" s="32" t="n">
        <v>149</v>
      </c>
      <c r="M1837" s="33" t="s">
        <v>54</v>
      </c>
      <c r="N1837" s="34" t="n">
        <v>75015</v>
      </c>
      <c r="O1837" s="35" t="s">
        <v>55</v>
      </c>
      <c r="P1837" s="36" t="s">
        <v>2769</v>
      </c>
      <c r="Q1837" s="36" t="n">
        <v>236</v>
      </c>
      <c r="R1837" s="32"/>
      <c r="S1837" s="32" t="n">
        <v>1</v>
      </c>
      <c r="T1837" s="32"/>
      <c r="U1837" s="32"/>
      <c r="V1837" s="37"/>
      <c r="W1837" s="32"/>
      <c r="X1837" s="34"/>
      <c r="Y1837" s="34"/>
      <c r="Z1837" s="36"/>
      <c r="AA1837" s="32" t="s">
        <v>10093</v>
      </c>
      <c r="AB1837" s="32"/>
      <c r="AC1837" s="38" t="str">
        <f aca="false">HYPERLINK("https://biocodex6--c.vf.force.com/0014L00000KGESAQA5", "ADNOT PAULINE")</f>
        <v>ADNOT PAULINE</v>
      </c>
      <c r="AD1837" s="38"/>
      <c r="AE1837" s="39"/>
      <c r="AF1837" s="40"/>
      <c r="AG1837" s="41"/>
      <c r="AH1837" s="32" t="s">
        <v>179</v>
      </c>
      <c r="AI1837" s="32"/>
      <c r="AL1837" s="32"/>
      <c r="AM1837" s="32"/>
      <c r="AN1837" s="32"/>
      <c r="AO1837" s="32"/>
      <c r="AP1837" s="32"/>
      <c r="AQ1837" s="32"/>
      <c r="AR1837" s="32"/>
      <c r="AS1837" s="32"/>
      <c r="AT1837" s="32"/>
      <c r="AU1837" s="32"/>
      <c r="XEY1837" s="27"/>
      <c r="XEZ1837" s="27"/>
      <c r="XFA1837" s="27"/>
      <c r="XFB1837" s="27"/>
      <c r="XFC1837" s="27"/>
      <c r="XFD1837" s="27"/>
    </row>
    <row r="1838" s="42" customFormat="true" ht="14.15" hidden="false" customHeight="true" outlineLevel="0" collapsed="false">
      <c r="A1838" s="28" t="s">
        <v>10094</v>
      </c>
      <c r="B1838" s="29" t="s">
        <v>1757</v>
      </c>
      <c r="C1838" s="29" t="s">
        <v>10095</v>
      </c>
      <c r="D1838" s="30" t="s">
        <v>112</v>
      </c>
      <c r="E1838" s="31"/>
      <c r="F1838" s="32" t="n">
        <v>34</v>
      </c>
      <c r="G1838" s="31" t="s">
        <v>98</v>
      </c>
      <c r="H1838" s="31" t="n">
        <v>3</v>
      </c>
      <c r="I1838" s="31" t="s">
        <v>51</v>
      </c>
      <c r="J1838" s="29" t="s">
        <v>52</v>
      </c>
      <c r="K1838" s="29" t="s">
        <v>53</v>
      </c>
      <c r="L1838" s="32" t="n">
        <v>149</v>
      </c>
      <c r="M1838" s="33" t="s">
        <v>54</v>
      </c>
      <c r="N1838" s="34" t="n">
        <v>75015</v>
      </c>
      <c r="O1838" s="35" t="s">
        <v>55</v>
      </c>
      <c r="P1838" s="36" t="s">
        <v>10096</v>
      </c>
      <c r="Q1838" s="36" t="n">
        <v>236</v>
      </c>
      <c r="R1838" s="32"/>
      <c r="S1838" s="32" t="n">
        <v>1</v>
      </c>
      <c r="T1838" s="32"/>
      <c r="U1838" s="32"/>
      <c r="V1838" s="37"/>
      <c r="W1838" s="32"/>
      <c r="X1838" s="34"/>
      <c r="Y1838" s="34"/>
      <c r="Z1838" s="36"/>
      <c r="AA1838" s="32" t="s">
        <v>10097</v>
      </c>
      <c r="AB1838" s="32" t="s">
        <v>10098</v>
      </c>
      <c r="AC1838" s="38" t="str">
        <f aca="false">HYPERLINK("https://biocodex6--c.vf.force.com/0014L00000KGDuWQAX", "AVRAMESCU MARINA")</f>
        <v>AVRAMESCU MARINA</v>
      </c>
      <c r="AD1838" s="38" t="str">
        <f aca="false">HYPERLINK("https://annuairesante.ameli.fr/professionnels-de-sante/recherche/fiche-detaillee-B7c1kjs4MDq0.html", "AVRAMESCU MARINA")</f>
        <v>AVRAMESCU MARINA</v>
      </c>
      <c r="AE1838" s="39"/>
      <c r="AF1838" s="40"/>
      <c r="AG1838" s="41"/>
      <c r="AH1838" s="32" t="s">
        <v>179</v>
      </c>
      <c r="AI1838" s="32"/>
      <c r="AL1838" s="32"/>
      <c r="AM1838" s="32"/>
      <c r="AN1838" s="32"/>
      <c r="AO1838" s="32"/>
      <c r="AP1838" s="32"/>
      <c r="AQ1838" s="32"/>
      <c r="AR1838" s="32"/>
      <c r="AS1838" s="32"/>
      <c r="AT1838" s="32"/>
      <c r="AU1838" s="32"/>
      <c r="XEY1838" s="27"/>
      <c r="XEZ1838" s="27"/>
      <c r="XFA1838" s="27"/>
      <c r="XFB1838" s="27"/>
      <c r="XFC1838" s="27"/>
      <c r="XFD1838" s="27"/>
    </row>
    <row r="1839" s="42" customFormat="true" ht="14.15" hidden="false" customHeight="true" outlineLevel="0" collapsed="false">
      <c r="A1839" s="28" t="s">
        <v>10099</v>
      </c>
      <c r="B1839" s="29" t="s">
        <v>10100</v>
      </c>
      <c r="C1839" s="29" t="s">
        <v>10101</v>
      </c>
      <c r="D1839" s="30" t="s">
        <v>112</v>
      </c>
      <c r="E1839" s="31"/>
      <c r="F1839" s="32" t="n">
        <v>33</v>
      </c>
      <c r="G1839" s="31"/>
      <c r="H1839" s="31" t="n">
        <v>1</v>
      </c>
      <c r="I1839" s="31" t="s">
        <v>51</v>
      </c>
      <c r="J1839" s="29" t="s">
        <v>52</v>
      </c>
      <c r="K1839" s="29" t="s">
        <v>53</v>
      </c>
      <c r="L1839" s="32" t="n">
        <v>149</v>
      </c>
      <c r="M1839" s="33" t="s">
        <v>54</v>
      </c>
      <c r="N1839" s="34" t="n">
        <v>75015</v>
      </c>
      <c r="O1839" s="35" t="s">
        <v>55</v>
      </c>
      <c r="P1839" s="36" t="s">
        <v>1807</v>
      </c>
      <c r="Q1839" s="36" t="n">
        <v>236</v>
      </c>
      <c r="R1839" s="32"/>
      <c r="S1839" s="32" t="n">
        <v>1</v>
      </c>
      <c r="T1839" s="32"/>
      <c r="U1839" s="32"/>
      <c r="V1839" s="37"/>
      <c r="W1839" s="32"/>
      <c r="X1839" s="34"/>
      <c r="Y1839" s="34"/>
      <c r="Z1839" s="36"/>
      <c r="AA1839" s="32" t="s">
        <v>10102</v>
      </c>
      <c r="AB1839" s="32"/>
      <c r="AC1839" s="38" t="str">
        <f aca="false">HYPERLINK("https://biocodex6--c.vf.force.com/0014L00000kSSG8QAO", "AVRIL SERVANE")</f>
        <v>AVRIL SERVANE</v>
      </c>
      <c r="AD1839" s="38"/>
      <c r="AE1839" s="39"/>
      <c r="AF1839" s="40"/>
      <c r="AG1839" s="41"/>
      <c r="AH1839" s="32" t="s">
        <v>179</v>
      </c>
      <c r="AI1839" s="32"/>
      <c r="AL1839" s="32"/>
      <c r="AM1839" s="32"/>
      <c r="AN1839" s="32"/>
      <c r="AO1839" s="32"/>
      <c r="AP1839" s="32"/>
      <c r="AQ1839" s="32"/>
      <c r="AR1839" s="32"/>
      <c r="AS1839" s="32"/>
      <c r="AT1839" s="32"/>
      <c r="AU1839" s="32"/>
      <c r="XEY1839" s="27"/>
      <c r="XEZ1839" s="27"/>
      <c r="XFA1839" s="27"/>
      <c r="XFB1839" s="27"/>
      <c r="XFC1839" s="27"/>
      <c r="XFD1839" s="27"/>
    </row>
    <row r="1840" s="42" customFormat="true" ht="14.15" hidden="false" customHeight="true" outlineLevel="0" collapsed="false">
      <c r="A1840" s="28" t="s">
        <v>10103</v>
      </c>
      <c r="B1840" s="29" t="s">
        <v>1955</v>
      </c>
      <c r="C1840" s="29" t="s">
        <v>10104</v>
      </c>
      <c r="D1840" s="30" t="s">
        <v>112</v>
      </c>
      <c r="E1840" s="31"/>
      <c r="F1840" s="32" t="n">
        <v>34</v>
      </c>
      <c r="G1840" s="31"/>
      <c r="H1840" s="31" t="n">
        <v>1</v>
      </c>
      <c r="I1840" s="31" t="s">
        <v>51</v>
      </c>
      <c r="J1840" s="29" t="s">
        <v>52</v>
      </c>
      <c r="K1840" s="29" t="s">
        <v>53</v>
      </c>
      <c r="L1840" s="32" t="n">
        <v>149</v>
      </c>
      <c r="M1840" s="33" t="s">
        <v>54</v>
      </c>
      <c r="N1840" s="34" t="n">
        <v>75015</v>
      </c>
      <c r="O1840" s="35" t="s">
        <v>55</v>
      </c>
      <c r="P1840" s="36" t="s">
        <v>933</v>
      </c>
      <c r="Q1840" s="36" t="n">
        <v>236</v>
      </c>
      <c r="R1840" s="32"/>
      <c r="S1840" s="32" t="n">
        <v>1</v>
      </c>
      <c r="T1840" s="32"/>
      <c r="U1840" s="32"/>
      <c r="V1840" s="37"/>
      <c r="W1840" s="32"/>
      <c r="X1840" s="34"/>
      <c r="Y1840" s="34"/>
      <c r="Z1840" s="36"/>
      <c r="AA1840" s="32" t="s">
        <v>10105</v>
      </c>
      <c r="AB1840" s="32"/>
      <c r="AC1840" s="38" t="str">
        <f aca="false">HYPERLINK("https://biocodex6--c.vf.force.com/0014L00000ht5AWQAY", "BARROIS MULLER REMI")</f>
        <v>BARROIS MULLER REMI</v>
      </c>
      <c r="AD1840" s="38"/>
      <c r="AE1840" s="39"/>
      <c r="AF1840" s="40"/>
      <c r="AG1840" s="41"/>
      <c r="AH1840" s="32" t="s">
        <v>179</v>
      </c>
      <c r="AI1840" s="32"/>
      <c r="AL1840" s="32"/>
      <c r="AM1840" s="32"/>
      <c r="AN1840" s="32"/>
      <c r="AO1840" s="32"/>
      <c r="AP1840" s="32"/>
      <c r="AQ1840" s="32"/>
      <c r="AR1840" s="32"/>
      <c r="AS1840" s="32"/>
      <c r="AT1840" s="32"/>
      <c r="AU1840" s="32"/>
      <c r="XEY1840" s="27"/>
      <c r="XEZ1840" s="27"/>
      <c r="XFA1840" s="27"/>
      <c r="XFB1840" s="27"/>
      <c r="XFC1840" s="27"/>
      <c r="XFD1840" s="27"/>
    </row>
    <row r="1841" s="42" customFormat="true" ht="14.15" hidden="false" customHeight="true" outlineLevel="0" collapsed="false">
      <c r="A1841" s="28" t="s">
        <v>10106</v>
      </c>
      <c r="B1841" s="29" t="s">
        <v>931</v>
      </c>
      <c r="C1841" s="29" t="s">
        <v>10107</v>
      </c>
      <c r="D1841" s="30" t="s">
        <v>112</v>
      </c>
      <c r="E1841" s="31"/>
      <c r="F1841" s="32" t="n">
        <v>33</v>
      </c>
      <c r="G1841" s="31"/>
      <c r="H1841" s="31" t="n">
        <v>1</v>
      </c>
      <c r="I1841" s="31" t="s">
        <v>51</v>
      </c>
      <c r="J1841" s="29" t="s">
        <v>52</v>
      </c>
      <c r="K1841" s="29" t="s">
        <v>53</v>
      </c>
      <c r="L1841" s="32" t="n">
        <v>149</v>
      </c>
      <c r="M1841" s="33" t="s">
        <v>54</v>
      </c>
      <c r="N1841" s="34" t="n">
        <v>75015</v>
      </c>
      <c r="O1841" s="35" t="s">
        <v>55</v>
      </c>
      <c r="P1841" s="36" t="s">
        <v>1821</v>
      </c>
      <c r="Q1841" s="36" t="n">
        <v>236</v>
      </c>
      <c r="R1841" s="32"/>
      <c r="S1841" s="32" t="n">
        <v>1</v>
      </c>
      <c r="T1841" s="32"/>
      <c r="U1841" s="32"/>
      <c r="V1841" s="37"/>
      <c r="W1841" s="32"/>
      <c r="X1841" s="34"/>
      <c r="Y1841" s="34"/>
      <c r="Z1841" s="36"/>
      <c r="AA1841" s="32" t="s">
        <v>10108</v>
      </c>
      <c r="AB1841" s="32"/>
      <c r="AC1841" s="38" t="str">
        <f aca="false">HYPERLINK("https://biocodex6--c.vf.force.com/0014L00000kTkN4QAK", "BASTARD PHILIPPE PAUL")</f>
        <v>BASTARD PHILIPPE PAUL</v>
      </c>
      <c r="AD1841" s="38"/>
      <c r="AE1841" s="39"/>
      <c r="AF1841" s="40"/>
      <c r="AG1841" s="41"/>
      <c r="AH1841" s="32" t="s">
        <v>179</v>
      </c>
      <c r="AI1841" s="32"/>
      <c r="AL1841" s="32"/>
      <c r="AM1841" s="32"/>
      <c r="AN1841" s="32"/>
      <c r="AO1841" s="32"/>
      <c r="AP1841" s="32"/>
      <c r="AQ1841" s="32"/>
      <c r="AR1841" s="32"/>
      <c r="AS1841" s="32"/>
      <c r="AT1841" s="32"/>
      <c r="AU1841" s="32"/>
      <c r="XEY1841" s="27"/>
      <c r="XEZ1841" s="27"/>
      <c r="XFA1841" s="27"/>
      <c r="XFB1841" s="27"/>
      <c r="XFC1841" s="27"/>
      <c r="XFD1841" s="27"/>
    </row>
    <row r="1842" s="42" customFormat="true" ht="14.15" hidden="false" customHeight="true" outlineLevel="0" collapsed="false">
      <c r="A1842" s="28" t="s">
        <v>10109</v>
      </c>
      <c r="B1842" s="29" t="s">
        <v>10110</v>
      </c>
      <c r="C1842" s="29" t="s">
        <v>10111</v>
      </c>
      <c r="D1842" s="30" t="s">
        <v>112</v>
      </c>
      <c r="E1842" s="30" t="s">
        <v>6186</v>
      </c>
      <c r="F1842" s="32" t="n">
        <v>32</v>
      </c>
      <c r="G1842" s="31"/>
      <c r="H1842" s="31" t="n">
        <v>1</v>
      </c>
      <c r="I1842" s="31" t="s">
        <v>51</v>
      </c>
      <c r="J1842" s="29" t="s">
        <v>52</v>
      </c>
      <c r="K1842" s="29" t="s">
        <v>53</v>
      </c>
      <c r="L1842" s="32" t="n">
        <v>149</v>
      </c>
      <c r="M1842" s="33" t="s">
        <v>54</v>
      </c>
      <c r="N1842" s="34" t="n">
        <v>75015</v>
      </c>
      <c r="O1842" s="35" t="s">
        <v>55</v>
      </c>
      <c r="P1842" s="36" t="s">
        <v>2723</v>
      </c>
      <c r="Q1842" s="36" t="n">
        <v>236</v>
      </c>
      <c r="R1842" s="32"/>
      <c r="S1842" s="32" t="n">
        <v>1</v>
      </c>
      <c r="T1842" s="32"/>
      <c r="U1842" s="32"/>
      <c r="V1842" s="37"/>
      <c r="W1842" s="32"/>
      <c r="X1842" s="34"/>
      <c r="Y1842" s="34"/>
      <c r="Z1842" s="36"/>
      <c r="AA1842" s="32" t="s">
        <v>10112</v>
      </c>
      <c r="AB1842" s="32"/>
      <c r="AC1842" s="38" t="str">
        <f aca="false">HYPERLINK("https://biocodex6--c.vf.force.com/0014L00000NB4mhQAD", "BRUCHET NATACHA")</f>
        <v>BRUCHET NATACHA</v>
      </c>
      <c r="AD1842" s="38"/>
      <c r="AE1842" s="39"/>
      <c r="AF1842" s="40"/>
      <c r="AG1842" s="41"/>
      <c r="AH1842" s="32" t="s">
        <v>179</v>
      </c>
      <c r="AI1842" s="32"/>
      <c r="AL1842" s="32"/>
      <c r="AM1842" s="32"/>
      <c r="AN1842" s="32"/>
      <c r="AO1842" s="32"/>
      <c r="AP1842" s="32"/>
      <c r="AQ1842" s="32"/>
      <c r="AR1842" s="32"/>
      <c r="AS1842" s="32"/>
      <c r="AT1842" s="32"/>
      <c r="AU1842" s="32"/>
      <c r="XEY1842" s="27"/>
      <c r="XEZ1842" s="27"/>
      <c r="XFA1842" s="27"/>
      <c r="XFB1842" s="27"/>
      <c r="XFC1842" s="27"/>
      <c r="XFD1842" s="27"/>
    </row>
    <row r="1843" s="42" customFormat="true" ht="14.15" hidden="false" customHeight="true" outlineLevel="0" collapsed="false">
      <c r="A1843" s="28" t="s">
        <v>10113</v>
      </c>
      <c r="B1843" s="29" t="s">
        <v>10114</v>
      </c>
      <c r="C1843" s="29" t="s">
        <v>10115</v>
      </c>
      <c r="D1843" s="30" t="s">
        <v>112</v>
      </c>
      <c r="E1843" s="31"/>
      <c r="F1843" s="32" t="n">
        <v>35</v>
      </c>
      <c r="G1843" s="31"/>
      <c r="H1843" s="31" t="n">
        <v>1</v>
      </c>
      <c r="I1843" s="31" t="s">
        <v>51</v>
      </c>
      <c r="J1843" s="29" t="s">
        <v>52</v>
      </c>
      <c r="K1843" s="29" t="s">
        <v>53</v>
      </c>
      <c r="L1843" s="32" t="n">
        <v>149</v>
      </c>
      <c r="M1843" s="33" t="s">
        <v>54</v>
      </c>
      <c r="N1843" s="34" t="n">
        <v>75015</v>
      </c>
      <c r="O1843" s="35" t="s">
        <v>55</v>
      </c>
      <c r="P1843" s="36" t="s">
        <v>1949</v>
      </c>
      <c r="Q1843" s="36" t="n">
        <v>236</v>
      </c>
      <c r="R1843" s="32"/>
      <c r="S1843" s="32" t="n">
        <v>1</v>
      </c>
      <c r="T1843" s="32"/>
      <c r="U1843" s="32"/>
      <c r="V1843" s="37"/>
      <c r="W1843" s="32"/>
      <c r="X1843" s="34"/>
      <c r="Y1843" s="34"/>
      <c r="Z1843" s="36"/>
      <c r="AA1843" s="32" t="s">
        <v>10116</v>
      </c>
      <c r="AB1843" s="32"/>
      <c r="AC1843" s="38" t="str">
        <f aca="false">HYPERLINK("https://biocodex6--c.vf.force.com/0014L00000KHrPpQAL", "DERRIDJ NEIL")</f>
        <v>DERRIDJ NEIL</v>
      </c>
      <c r="AD1843" s="38"/>
      <c r="AE1843" s="39"/>
      <c r="AF1843" s="40"/>
      <c r="AG1843" s="41"/>
      <c r="AH1843" s="32" t="s">
        <v>179</v>
      </c>
      <c r="AI1843" s="32"/>
      <c r="AL1843" s="32"/>
      <c r="AM1843" s="32"/>
      <c r="AN1843" s="32"/>
      <c r="AO1843" s="32"/>
      <c r="AP1843" s="32"/>
      <c r="AQ1843" s="32"/>
      <c r="AR1843" s="32"/>
      <c r="AS1843" s="32"/>
      <c r="AT1843" s="32"/>
      <c r="AU1843" s="32"/>
      <c r="XEY1843" s="27"/>
      <c r="XEZ1843" s="27"/>
      <c r="XFA1843" s="27"/>
      <c r="XFB1843" s="27"/>
      <c r="XFC1843" s="27"/>
      <c r="XFD1843" s="27"/>
    </row>
    <row r="1844" s="42" customFormat="true" ht="14.15" hidden="false" customHeight="true" outlineLevel="0" collapsed="false">
      <c r="A1844" s="28" t="s">
        <v>10117</v>
      </c>
      <c r="B1844" s="29" t="s">
        <v>4628</v>
      </c>
      <c r="C1844" s="29" t="s">
        <v>10118</v>
      </c>
      <c r="D1844" s="30" t="s">
        <v>112</v>
      </c>
      <c r="E1844" s="31"/>
      <c r="F1844" s="32" t="n">
        <v>32</v>
      </c>
      <c r="G1844" s="31"/>
      <c r="H1844" s="31" t="n">
        <v>1</v>
      </c>
      <c r="I1844" s="31" t="s">
        <v>51</v>
      </c>
      <c r="J1844" s="29" t="s">
        <v>52</v>
      </c>
      <c r="K1844" s="29" t="s">
        <v>53</v>
      </c>
      <c r="L1844" s="32" t="n">
        <v>149</v>
      </c>
      <c r="M1844" s="33" t="s">
        <v>54</v>
      </c>
      <c r="N1844" s="34" t="n">
        <v>75015</v>
      </c>
      <c r="O1844" s="35" t="s">
        <v>55</v>
      </c>
      <c r="P1844" s="36" t="s">
        <v>1815</v>
      </c>
      <c r="Q1844" s="36" t="n">
        <v>236</v>
      </c>
      <c r="R1844" s="32"/>
      <c r="S1844" s="32" t="n">
        <v>1</v>
      </c>
      <c r="T1844" s="32"/>
      <c r="U1844" s="32"/>
      <c r="V1844" s="37"/>
      <c r="W1844" s="32"/>
      <c r="X1844" s="34"/>
      <c r="Y1844" s="34"/>
      <c r="Z1844" s="36"/>
      <c r="AA1844" s="32" t="s">
        <v>10119</v>
      </c>
      <c r="AB1844" s="32"/>
      <c r="AC1844" s="38" t="str">
        <f aca="false">HYPERLINK("https://biocodex6--c.vf.force.com/0014L00000KHSorQAH", "FOUCAMBERT MILLERIOUX HELOISE")</f>
        <v>FOUCAMBERT MILLERIOUX HELOISE</v>
      </c>
      <c r="AD1844" s="38"/>
      <c r="AE1844" s="39"/>
      <c r="AF1844" s="40"/>
      <c r="AG1844" s="41"/>
      <c r="AH1844" s="32" t="s">
        <v>179</v>
      </c>
      <c r="AI1844" s="32"/>
      <c r="AJ1844" s="42" t="s">
        <v>1817</v>
      </c>
      <c r="AL1844" s="32"/>
      <c r="AM1844" s="32"/>
      <c r="AN1844" s="32"/>
      <c r="AO1844" s="32"/>
      <c r="AP1844" s="32"/>
      <c r="AQ1844" s="32"/>
      <c r="AR1844" s="32"/>
      <c r="AS1844" s="32"/>
      <c r="AT1844" s="32"/>
      <c r="AU1844" s="32"/>
      <c r="XEY1844" s="27"/>
      <c r="XEZ1844" s="27"/>
      <c r="XFA1844" s="27"/>
      <c r="XFB1844" s="27"/>
      <c r="XFC1844" s="27"/>
      <c r="XFD1844" s="27"/>
    </row>
    <row r="1845" s="42" customFormat="true" ht="14.15" hidden="false" customHeight="true" outlineLevel="0" collapsed="false">
      <c r="A1845" s="28" t="s">
        <v>10120</v>
      </c>
      <c r="B1845" s="29" t="s">
        <v>10121</v>
      </c>
      <c r="C1845" s="29" t="s">
        <v>10122</v>
      </c>
      <c r="D1845" s="30" t="s">
        <v>112</v>
      </c>
      <c r="E1845" s="31"/>
      <c r="F1845" s="32" t="n">
        <v>32</v>
      </c>
      <c r="G1845" s="31"/>
      <c r="H1845" s="31" t="n">
        <v>1</v>
      </c>
      <c r="I1845" s="31" t="s">
        <v>51</v>
      </c>
      <c r="J1845" s="29" t="s">
        <v>52</v>
      </c>
      <c r="K1845" s="29" t="s">
        <v>53</v>
      </c>
      <c r="L1845" s="32" t="n">
        <v>149</v>
      </c>
      <c r="M1845" s="33" t="s">
        <v>54</v>
      </c>
      <c r="N1845" s="34" t="n">
        <v>75015</v>
      </c>
      <c r="O1845" s="35" t="s">
        <v>55</v>
      </c>
      <c r="P1845" s="36" t="s">
        <v>1815</v>
      </c>
      <c r="Q1845" s="36" t="n">
        <v>236</v>
      </c>
      <c r="R1845" s="32"/>
      <c r="S1845" s="32" t="n">
        <v>1</v>
      </c>
      <c r="T1845" s="32"/>
      <c r="U1845" s="32"/>
      <c r="V1845" s="37"/>
      <c r="W1845" s="32"/>
      <c r="X1845" s="34"/>
      <c r="Y1845" s="34"/>
      <c r="Z1845" s="36"/>
      <c r="AA1845" s="32" t="s">
        <v>10123</v>
      </c>
      <c r="AB1845" s="32"/>
      <c r="AC1845" s="38" t="str">
        <f aca="false">HYPERLINK("https://biocodex6--c.vf.force.com/0014L00000KGDoBQAX", "MELLUL KELLY")</f>
        <v>MELLUL KELLY</v>
      </c>
      <c r="AD1845" s="38"/>
      <c r="AE1845" s="39"/>
      <c r="AF1845" s="40"/>
      <c r="AG1845" s="41"/>
      <c r="AH1845" s="32" t="s">
        <v>179</v>
      </c>
      <c r="AI1845" s="32"/>
      <c r="AJ1845" s="42" t="s">
        <v>1817</v>
      </c>
      <c r="AL1845" s="32"/>
      <c r="AM1845" s="32"/>
      <c r="AN1845" s="32"/>
      <c r="AO1845" s="32"/>
      <c r="AP1845" s="32"/>
      <c r="AQ1845" s="32"/>
      <c r="AR1845" s="32"/>
      <c r="AS1845" s="32"/>
      <c r="AT1845" s="32"/>
      <c r="AU1845" s="32"/>
      <c r="XEY1845" s="27"/>
      <c r="XEZ1845" s="27"/>
      <c r="XFA1845" s="27"/>
      <c r="XFB1845" s="27"/>
      <c r="XFC1845" s="27"/>
      <c r="XFD1845" s="27"/>
    </row>
    <row r="1846" s="42" customFormat="true" ht="14.15" hidden="false" customHeight="true" outlineLevel="0" collapsed="false">
      <c r="A1846" s="28" t="s">
        <v>6697</v>
      </c>
      <c r="B1846" s="29" t="s">
        <v>10124</v>
      </c>
      <c r="C1846" s="29" t="s">
        <v>10125</v>
      </c>
      <c r="D1846" s="30" t="s">
        <v>112</v>
      </c>
      <c r="E1846" s="31"/>
      <c r="F1846" s="32" t="n">
        <v>32</v>
      </c>
      <c r="G1846" s="31"/>
      <c r="H1846" s="31" t="n">
        <v>1</v>
      </c>
      <c r="I1846" s="31" t="s">
        <v>51</v>
      </c>
      <c r="J1846" s="29" t="s">
        <v>52</v>
      </c>
      <c r="K1846" s="29" t="s">
        <v>53</v>
      </c>
      <c r="L1846" s="32" t="n">
        <v>149</v>
      </c>
      <c r="M1846" s="33" t="s">
        <v>54</v>
      </c>
      <c r="N1846" s="34" t="n">
        <v>75015</v>
      </c>
      <c r="O1846" s="35" t="s">
        <v>55</v>
      </c>
      <c r="P1846" s="36" t="s">
        <v>8000</v>
      </c>
      <c r="Q1846" s="36" t="n">
        <v>236</v>
      </c>
      <c r="R1846" s="32"/>
      <c r="S1846" s="32" t="n">
        <v>1</v>
      </c>
      <c r="T1846" s="32"/>
      <c r="U1846" s="32"/>
      <c r="V1846" s="37"/>
      <c r="W1846" s="32"/>
      <c r="X1846" s="34"/>
      <c r="Y1846" s="34"/>
      <c r="Z1846" s="36"/>
      <c r="AA1846" s="32" t="s">
        <v>10126</v>
      </c>
      <c r="AB1846" s="32"/>
      <c r="AC1846" s="38" t="str">
        <f aca="false">HYPERLINK("https://biocodex6--c.vf.force.com/0014L00000KGJ0VQAX", "NGUYEN AN THACH")</f>
        <v>NGUYEN AN THACH</v>
      </c>
      <c r="AD1846" s="38"/>
      <c r="AE1846" s="39"/>
      <c r="AF1846" s="40"/>
      <c r="AG1846" s="41"/>
      <c r="AH1846" s="32" t="s">
        <v>179</v>
      </c>
      <c r="AI1846" s="32"/>
      <c r="AL1846" s="32"/>
      <c r="AM1846" s="32"/>
      <c r="AN1846" s="32"/>
      <c r="AO1846" s="32"/>
      <c r="AP1846" s="32"/>
      <c r="AQ1846" s="32"/>
      <c r="AR1846" s="32"/>
      <c r="AS1846" s="32"/>
      <c r="AT1846" s="32"/>
      <c r="AU1846" s="32"/>
      <c r="XEY1846" s="27"/>
      <c r="XEZ1846" s="27"/>
      <c r="XFA1846" s="27"/>
      <c r="XFB1846" s="27"/>
      <c r="XFC1846" s="27"/>
      <c r="XFD1846" s="27"/>
    </row>
    <row r="1847" s="42" customFormat="true" ht="14.15" hidden="false" customHeight="true" outlineLevel="0" collapsed="false">
      <c r="A1847" s="28" t="s">
        <v>10127</v>
      </c>
      <c r="B1847" s="29" t="s">
        <v>10128</v>
      </c>
      <c r="C1847" s="29" t="s">
        <v>10129</v>
      </c>
      <c r="D1847" s="30" t="s">
        <v>112</v>
      </c>
      <c r="E1847" s="31"/>
      <c r="F1847" s="32" t="n">
        <v>34</v>
      </c>
      <c r="G1847" s="31"/>
      <c r="H1847" s="31" t="n">
        <v>1</v>
      </c>
      <c r="I1847" s="31" t="s">
        <v>51</v>
      </c>
      <c r="J1847" s="29" t="s">
        <v>52</v>
      </c>
      <c r="K1847" s="29" t="s">
        <v>53</v>
      </c>
      <c r="L1847" s="32" t="n">
        <v>149</v>
      </c>
      <c r="M1847" s="33" t="s">
        <v>54</v>
      </c>
      <c r="N1847" s="34" t="n">
        <v>75015</v>
      </c>
      <c r="O1847" s="35" t="s">
        <v>55</v>
      </c>
      <c r="P1847" s="36" t="s">
        <v>2723</v>
      </c>
      <c r="Q1847" s="36" t="n">
        <v>236</v>
      </c>
      <c r="R1847" s="32"/>
      <c r="S1847" s="32" t="n">
        <v>1</v>
      </c>
      <c r="T1847" s="32"/>
      <c r="U1847" s="32"/>
      <c r="V1847" s="37"/>
      <c r="W1847" s="32"/>
      <c r="X1847" s="34"/>
      <c r="Y1847" s="34"/>
      <c r="Z1847" s="36"/>
      <c r="AA1847" s="32" t="s">
        <v>10130</v>
      </c>
      <c r="AB1847" s="32"/>
      <c r="AC1847" s="38" t="str">
        <f aca="false">HYPERLINK("https://biocodex6--c.vf.force.com/0014L00000KGBLKQA5", "OULD OUALI KAHENA")</f>
        <v>OULD OUALI KAHENA</v>
      </c>
      <c r="AD1847" s="38"/>
      <c r="AE1847" s="39"/>
      <c r="AF1847" s="40"/>
      <c r="AG1847" s="41"/>
      <c r="AH1847" s="32" t="s">
        <v>179</v>
      </c>
      <c r="AI1847" s="32"/>
      <c r="AL1847" s="32"/>
      <c r="AM1847" s="32"/>
      <c r="AN1847" s="32"/>
      <c r="AO1847" s="32"/>
      <c r="AP1847" s="32"/>
      <c r="AQ1847" s="32"/>
      <c r="AR1847" s="32"/>
      <c r="AS1847" s="32"/>
      <c r="AT1847" s="32"/>
      <c r="AU1847" s="32"/>
      <c r="XEY1847" s="27"/>
      <c r="XEZ1847" s="27"/>
      <c r="XFA1847" s="27"/>
      <c r="XFB1847" s="27"/>
      <c r="XFC1847" s="27"/>
      <c r="XFD1847" s="27"/>
    </row>
    <row r="1848" s="42" customFormat="true" ht="14.15" hidden="false" customHeight="true" outlineLevel="0" collapsed="false">
      <c r="A1848" s="28" t="s">
        <v>10131</v>
      </c>
      <c r="B1848" s="29" t="s">
        <v>4897</v>
      </c>
      <c r="C1848" s="29" t="s">
        <v>10132</v>
      </c>
      <c r="D1848" s="30" t="s">
        <v>112</v>
      </c>
      <c r="E1848" s="30" t="s">
        <v>1103</v>
      </c>
      <c r="F1848" s="32" t="n">
        <v>32</v>
      </c>
      <c r="G1848" s="31"/>
      <c r="H1848" s="31" t="n">
        <v>1</v>
      </c>
      <c r="I1848" s="31" t="s">
        <v>51</v>
      </c>
      <c r="J1848" s="29" t="s">
        <v>52</v>
      </c>
      <c r="K1848" s="29" t="s">
        <v>53</v>
      </c>
      <c r="L1848" s="32" t="n">
        <v>149</v>
      </c>
      <c r="M1848" s="33" t="s">
        <v>54</v>
      </c>
      <c r="N1848" s="34" t="n">
        <v>75015</v>
      </c>
      <c r="O1848" s="35" t="s">
        <v>55</v>
      </c>
      <c r="P1848" s="36" t="s">
        <v>1609</v>
      </c>
      <c r="Q1848" s="36" t="n">
        <v>236</v>
      </c>
      <c r="R1848" s="32"/>
      <c r="S1848" s="32" t="n">
        <v>1</v>
      </c>
      <c r="T1848" s="32"/>
      <c r="U1848" s="32"/>
      <c r="V1848" s="37"/>
      <c r="W1848" s="32"/>
      <c r="X1848" s="34"/>
      <c r="Y1848" s="34"/>
      <c r="Z1848" s="36"/>
      <c r="AA1848" s="32" t="s">
        <v>10133</v>
      </c>
      <c r="AB1848" s="32"/>
      <c r="AC1848" s="38" t="str">
        <f aca="false">HYPERLINK("https://biocodex6--c.vf.force.com/0014L00000KGFwEQAX", "PAGNIER CAUMONT MARYSE")</f>
        <v>PAGNIER CAUMONT MARYSE</v>
      </c>
      <c r="AD1848" s="38"/>
      <c r="AE1848" s="39"/>
      <c r="AF1848" s="40"/>
      <c r="AG1848" s="41"/>
      <c r="AH1848" s="32" t="s">
        <v>179</v>
      </c>
      <c r="AI1848" s="32"/>
      <c r="AJ1848" s="42" t="s">
        <v>8695</v>
      </c>
      <c r="AL1848" s="32"/>
      <c r="AM1848" s="32"/>
      <c r="AN1848" s="32"/>
      <c r="AO1848" s="32"/>
      <c r="AP1848" s="32"/>
      <c r="AQ1848" s="32"/>
      <c r="AR1848" s="32"/>
      <c r="AS1848" s="32"/>
      <c r="AT1848" s="32"/>
      <c r="AU1848" s="32"/>
      <c r="XEY1848" s="27"/>
      <c r="XEZ1848" s="27"/>
      <c r="XFA1848" s="27"/>
      <c r="XFB1848" s="27"/>
      <c r="XFC1848" s="27"/>
      <c r="XFD1848" s="27"/>
    </row>
    <row r="1849" s="42" customFormat="true" ht="14.15" hidden="false" customHeight="true" outlineLevel="0" collapsed="false">
      <c r="A1849" s="28" t="s">
        <v>10134</v>
      </c>
      <c r="B1849" s="29" t="s">
        <v>4169</v>
      </c>
      <c r="C1849" s="29" t="s">
        <v>10135</v>
      </c>
      <c r="D1849" s="30" t="s">
        <v>112</v>
      </c>
      <c r="E1849" s="31"/>
      <c r="F1849" s="32" t="n">
        <v>34</v>
      </c>
      <c r="G1849" s="31"/>
      <c r="H1849" s="31" t="n">
        <v>1</v>
      </c>
      <c r="I1849" s="31" t="s">
        <v>51</v>
      </c>
      <c r="J1849" s="29" t="s">
        <v>52</v>
      </c>
      <c r="K1849" s="29" t="s">
        <v>53</v>
      </c>
      <c r="L1849" s="32" t="n">
        <v>149</v>
      </c>
      <c r="M1849" s="33" t="s">
        <v>54</v>
      </c>
      <c r="N1849" s="34" t="n">
        <v>75015</v>
      </c>
      <c r="O1849" s="35" t="s">
        <v>55</v>
      </c>
      <c r="P1849" s="36" t="s">
        <v>1807</v>
      </c>
      <c r="Q1849" s="36" t="n">
        <v>236</v>
      </c>
      <c r="R1849" s="32"/>
      <c r="S1849" s="32" t="n">
        <v>1</v>
      </c>
      <c r="T1849" s="32"/>
      <c r="U1849" s="32"/>
      <c r="V1849" s="37"/>
      <c r="W1849" s="32"/>
      <c r="X1849" s="34"/>
      <c r="Y1849" s="34"/>
      <c r="Z1849" s="36"/>
      <c r="AA1849" s="32" t="s">
        <v>10136</v>
      </c>
      <c r="AB1849" s="32"/>
      <c r="AC1849" s="38" t="str">
        <f aca="false">HYPERLINK("https://biocodex6--c.vf.force.com/0014L00000KGE3UQAX", "PAYEN ELISE")</f>
        <v>PAYEN ELISE</v>
      </c>
      <c r="AD1849" s="38"/>
      <c r="AE1849" s="39"/>
      <c r="AF1849" s="40"/>
      <c r="AG1849" s="41"/>
      <c r="AH1849" s="32" t="s">
        <v>179</v>
      </c>
      <c r="AI1849" s="32"/>
      <c r="AJ1849" s="42" t="s">
        <v>1809</v>
      </c>
      <c r="AL1849" s="32"/>
      <c r="AM1849" s="32"/>
      <c r="AN1849" s="32"/>
      <c r="AO1849" s="32"/>
      <c r="AP1849" s="32"/>
      <c r="AQ1849" s="32"/>
      <c r="AR1849" s="32"/>
      <c r="AS1849" s="32"/>
      <c r="AT1849" s="32"/>
      <c r="AU1849" s="32"/>
      <c r="XEY1849" s="27"/>
      <c r="XEZ1849" s="27"/>
      <c r="XFA1849" s="27"/>
      <c r="XFB1849" s="27"/>
      <c r="XFC1849" s="27"/>
      <c r="XFD1849" s="27"/>
    </row>
    <row r="1850" s="42" customFormat="true" ht="14.15" hidden="false" customHeight="true" outlineLevel="0" collapsed="false">
      <c r="A1850" s="28" t="s">
        <v>10137</v>
      </c>
      <c r="B1850" s="29" t="s">
        <v>10138</v>
      </c>
      <c r="C1850" s="29" t="s">
        <v>10139</v>
      </c>
      <c r="D1850" s="30" t="s">
        <v>112</v>
      </c>
      <c r="E1850" s="31"/>
      <c r="F1850" s="32" t="n">
        <v>33</v>
      </c>
      <c r="G1850" s="31"/>
      <c r="H1850" s="31" t="n">
        <v>1</v>
      </c>
      <c r="I1850" s="31" t="s">
        <v>51</v>
      </c>
      <c r="J1850" s="29" t="s">
        <v>52</v>
      </c>
      <c r="K1850" s="29" t="s">
        <v>53</v>
      </c>
      <c r="L1850" s="32" t="n">
        <v>149</v>
      </c>
      <c r="M1850" s="33" t="s">
        <v>54</v>
      </c>
      <c r="N1850" s="34" t="n">
        <v>75015</v>
      </c>
      <c r="O1850" s="35" t="s">
        <v>55</v>
      </c>
      <c r="P1850" s="36" t="s">
        <v>2769</v>
      </c>
      <c r="Q1850" s="36" t="n">
        <v>236</v>
      </c>
      <c r="R1850" s="32"/>
      <c r="S1850" s="32" t="n">
        <v>1</v>
      </c>
      <c r="T1850" s="32"/>
      <c r="U1850" s="32"/>
      <c r="V1850" s="37"/>
      <c r="W1850" s="32"/>
      <c r="X1850" s="34"/>
      <c r="Y1850" s="34"/>
      <c r="Z1850" s="36"/>
      <c r="AA1850" s="32" t="s">
        <v>10140</v>
      </c>
      <c r="AB1850" s="32"/>
      <c r="AC1850" s="38" t="str">
        <f aca="false">HYPERLINK("https://biocodex6--c.vf.force.com/0014L00000KGInNQAX", "PEKIN KAAN")</f>
        <v>PEKIN KAAN</v>
      </c>
      <c r="AD1850" s="38"/>
      <c r="AE1850" s="39"/>
      <c r="AF1850" s="40"/>
      <c r="AG1850" s="41"/>
      <c r="AH1850" s="32" t="s">
        <v>179</v>
      </c>
      <c r="AI1850" s="32"/>
      <c r="AL1850" s="32"/>
      <c r="AM1850" s="32"/>
      <c r="AN1850" s="32"/>
      <c r="AO1850" s="32"/>
      <c r="AP1850" s="32"/>
      <c r="AQ1850" s="32"/>
      <c r="AR1850" s="32"/>
      <c r="AS1850" s="32"/>
      <c r="AT1850" s="32"/>
      <c r="AU1850" s="32"/>
      <c r="XEY1850" s="27"/>
      <c r="XEZ1850" s="27"/>
      <c r="XFA1850" s="27"/>
      <c r="XFB1850" s="27"/>
      <c r="XFC1850" s="27"/>
      <c r="XFD1850" s="27"/>
    </row>
    <row r="1851" s="42" customFormat="true" ht="14.15" hidden="false" customHeight="true" outlineLevel="0" collapsed="false">
      <c r="A1851" s="28" t="s">
        <v>10141</v>
      </c>
      <c r="B1851" s="29" t="s">
        <v>652</v>
      </c>
      <c r="C1851" s="29" t="s">
        <v>10142</v>
      </c>
      <c r="D1851" s="30" t="s">
        <v>112</v>
      </c>
      <c r="E1851" s="31"/>
      <c r="F1851" s="32" t="n">
        <v>32</v>
      </c>
      <c r="G1851" s="31"/>
      <c r="H1851" s="31" t="n">
        <v>1</v>
      </c>
      <c r="I1851" s="31" t="s">
        <v>51</v>
      </c>
      <c r="J1851" s="29" t="s">
        <v>52</v>
      </c>
      <c r="K1851" s="29" t="s">
        <v>53</v>
      </c>
      <c r="L1851" s="32" t="n">
        <v>149</v>
      </c>
      <c r="M1851" s="33" t="s">
        <v>54</v>
      </c>
      <c r="N1851" s="34" t="n">
        <v>75015</v>
      </c>
      <c r="O1851" s="35" t="s">
        <v>55</v>
      </c>
      <c r="P1851" s="36" t="s">
        <v>687</v>
      </c>
      <c r="Q1851" s="36" t="n">
        <v>236</v>
      </c>
      <c r="R1851" s="32"/>
      <c r="S1851" s="32" t="n">
        <v>1</v>
      </c>
      <c r="T1851" s="32"/>
      <c r="U1851" s="32"/>
      <c r="V1851" s="37"/>
      <c r="W1851" s="32"/>
      <c r="X1851" s="34"/>
      <c r="Y1851" s="34"/>
      <c r="Z1851" s="36"/>
      <c r="AA1851" s="32" t="s">
        <v>10143</v>
      </c>
      <c r="AB1851" s="32"/>
      <c r="AC1851" s="38" t="str">
        <f aca="false">HYPERLINK("https://biocodex6--c.vf.force.com/0014L00000fbACnQAM", "SCHMARTZ SOPHIE")</f>
        <v>SCHMARTZ SOPHIE</v>
      </c>
      <c r="AD1851" s="38"/>
      <c r="AE1851" s="39"/>
      <c r="AF1851" s="40"/>
      <c r="AG1851" s="41"/>
      <c r="AH1851" s="32" t="s">
        <v>179</v>
      </c>
      <c r="AI1851" s="32"/>
      <c r="AL1851" s="32"/>
      <c r="AM1851" s="32"/>
      <c r="AN1851" s="32"/>
      <c r="AO1851" s="32"/>
      <c r="AP1851" s="32"/>
      <c r="AQ1851" s="32"/>
      <c r="AR1851" s="32"/>
      <c r="AS1851" s="32"/>
      <c r="AT1851" s="32"/>
      <c r="AU1851" s="32"/>
      <c r="XEY1851" s="27"/>
      <c r="XEZ1851" s="27"/>
      <c r="XFA1851" s="27"/>
      <c r="XFB1851" s="27"/>
      <c r="XFC1851" s="27"/>
      <c r="XFD1851" s="27"/>
    </row>
    <row r="1852" s="42" customFormat="true" ht="14.15" hidden="false" customHeight="true" outlineLevel="0" collapsed="false">
      <c r="A1852" s="28" t="s">
        <v>10144</v>
      </c>
      <c r="B1852" s="29" t="s">
        <v>10145</v>
      </c>
      <c r="C1852" s="29" t="s">
        <v>10146</v>
      </c>
      <c r="D1852" s="30" t="s">
        <v>112</v>
      </c>
      <c r="E1852" s="31"/>
      <c r="F1852" s="32" t="n">
        <v>32</v>
      </c>
      <c r="G1852" s="31"/>
      <c r="H1852" s="31" t="n">
        <v>1</v>
      </c>
      <c r="I1852" s="31" t="s">
        <v>51</v>
      </c>
      <c r="J1852" s="29" t="s">
        <v>52</v>
      </c>
      <c r="K1852" s="29" t="s">
        <v>53</v>
      </c>
      <c r="L1852" s="32" t="n">
        <v>149</v>
      </c>
      <c r="M1852" s="33" t="s">
        <v>54</v>
      </c>
      <c r="N1852" s="34" t="n">
        <v>75015</v>
      </c>
      <c r="O1852" s="35" t="s">
        <v>55</v>
      </c>
      <c r="P1852" s="36" t="s">
        <v>2723</v>
      </c>
      <c r="Q1852" s="36" t="n">
        <v>236</v>
      </c>
      <c r="R1852" s="32"/>
      <c r="S1852" s="32" t="n">
        <v>1</v>
      </c>
      <c r="T1852" s="32"/>
      <c r="U1852" s="32"/>
      <c r="V1852" s="37"/>
      <c r="W1852" s="32"/>
      <c r="X1852" s="34"/>
      <c r="Y1852" s="34"/>
      <c r="Z1852" s="36"/>
      <c r="AA1852" s="32" t="s">
        <v>10147</v>
      </c>
      <c r="AB1852" s="32"/>
      <c r="AC1852" s="38" t="str">
        <f aca="false">HYPERLINK("https://biocodex6--c.vf.force.com/0014L00000htPjUQAU", "TOLEDANO BETSALEL")</f>
        <v>TOLEDANO BETSALEL</v>
      </c>
      <c r="AD1852" s="38"/>
      <c r="AE1852" s="39"/>
      <c r="AF1852" s="40"/>
      <c r="AG1852" s="41"/>
      <c r="AH1852" s="32" t="s">
        <v>179</v>
      </c>
      <c r="AI1852" s="32"/>
      <c r="AL1852" s="32"/>
      <c r="AM1852" s="32"/>
      <c r="AN1852" s="32"/>
      <c r="AO1852" s="32"/>
      <c r="AP1852" s="32"/>
      <c r="AQ1852" s="32"/>
      <c r="AR1852" s="32"/>
      <c r="AS1852" s="32"/>
      <c r="AT1852" s="32"/>
      <c r="AU1852" s="32"/>
      <c r="XEY1852" s="27"/>
      <c r="XEZ1852" s="27"/>
      <c r="XFA1852" s="27"/>
      <c r="XFB1852" s="27"/>
      <c r="XFC1852" s="27"/>
      <c r="XFD1852" s="27"/>
    </row>
    <row r="1853" s="42" customFormat="true" ht="14.15" hidden="false" customHeight="true" outlineLevel="0" collapsed="false">
      <c r="A1853" s="28" t="s">
        <v>10148</v>
      </c>
      <c r="B1853" s="29" t="s">
        <v>10149</v>
      </c>
      <c r="C1853" s="29" t="s">
        <v>10150</v>
      </c>
      <c r="D1853" s="30" t="s">
        <v>112</v>
      </c>
      <c r="E1853" s="31"/>
      <c r="F1853" s="32" t="n">
        <v>32</v>
      </c>
      <c r="G1853" s="31"/>
      <c r="H1853" s="31" t="n">
        <v>2</v>
      </c>
      <c r="I1853" s="31" t="s">
        <v>51</v>
      </c>
      <c r="J1853" s="29" t="s">
        <v>52</v>
      </c>
      <c r="K1853" s="29" t="s">
        <v>53</v>
      </c>
      <c r="L1853" s="32" t="n">
        <v>149</v>
      </c>
      <c r="M1853" s="33" t="s">
        <v>54</v>
      </c>
      <c r="N1853" s="34" t="n">
        <v>75015</v>
      </c>
      <c r="O1853" s="35" t="s">
        <v>55</v>
      </c>
      <c r="P1853" s="36" t="s">
        <v>1807</v>
      </c>
      <c r="Q1853" s="36" t="n">
        <v>236</v>
      </c>
      <c r="R1853" s="32"/>
      <c r="S1853" s="32" t="n">
        <v>1</v>
      </c>
      <c r="T1853" s="32"/>
      <c r="U1853" s="32"/>
      <c r="V1853" s="37"/>
      <c r="W1853" s="32"/>
      <c r="X1853" s="34"/>
      <c r="Y1853" s="34"/>
      <c r="Z1853" s="32"/>
      <c r="AA1853" s="32" t="s">
        <v>10151</v>
      </c>
      <c r="AB1853" s="32"/>
      <c r="AC1853" s="38" t="str">
        <f aca="false">HYPERLINK("https://biocodex6--c.vf.force.com/0014L00000KGGuVQAX", "HASSEN JUTTEAU WIEM")</f>
        <v>HASSEN JUTTEAU WIEM</v>
      </c>
      <c r="AD1853" s="38"/>
      <c r="AE1853" s="39"/>
      <c r="AF1853" s="40"/>
      <c r="AG1853" s="41"/>
      <c r="AH1853" s="32"/>
      <c r="AI1853" s="32"/>
      <c r="AL1853" s="32"/>
      <c r="AM1853" s="32"/>
      <c r="AN1853" s="32"/>
      <c r="AO1853" s="32"/>
      <c r="AP1853" s="32"/>
      <c r="AQ1853" s="32"/>
      <c r="AR1853" s="32"/>
      <c r="AS1853" s="32"/>
      <c r="AT1853" s="32"/>
      <c r="AU1853" s="32"/>
      <c r="XEY1853" s="27"/>
      <c r="XEZ1853" s="27"/>
      <c r="XFA1853" s="27"/>
      <c r="XFB1853" s="27"/>
      <c r="XFC1853" s="27"/>
      <c r="XFD1853" s="27"/>
    </row>
    <row r="1854" s="42" customFormat="true" ht="14.15" hidden="false" customHeight="true" outlineLevel="0" collapsed="false">
      <c r="A1854" s="28" t="s">
        <v>10152</v>
      </c>
      <c r="B1854" s="29" t="s">
        <v>10153</v>
      </c>
      <c r="C1854" s="29" t="s">
        <v>10154</v>
      </c>
      <c r="D1854" s="30" t="s">
        <v>112</v>
      </c>
      <c r="E1854" s="30" t="s">
        <v>421</v>
      </c>
      <c r="F1854" s="32" t="n">
        <v>33</v>
      </c>
      <c r="G1854" s="31"/>
      <c r="H1854" s="31" t="n">
        <v>1</v>
      </c>
      <c r="I1854" s="31" t="s">
        <v>51</v>
      </c>
      <c r="J1854" s="29" t="s">
        <v>52</v>
      </c>
      <c r="K1854" s="29" t="s">
        <v>53</v>
      </c>
      <c r="L1854" s="32" t="n">
        <v>149</v>
      </c>
      <c r="M1854" s="33" t="s">
        <v>54</v>
      </c>
      <c r="N1854" s="34" t="n">
        <v>75015</v>
      </c>
      <c r="O1854" s="35" t="s">
        <v>55</v>
      </c>
      <c r="P1854" s="36" t="s">
        <v>885</v>
      </c>
      <c r="Q1854" s="36" t="n">
        <v>236</v>
      </c>
      <c r="R1854" s="32"/>
      <c r="S1854" s="32" t="n">
        <v>1</v>
      </c>
      <c r="T1854" s="32"/>
      <c r="U1854" s="32"/>
      <c r="V1854" s="37"/>
      <c r="W1854" s="32"/>
      <c r="X1854" s="34"/>
      <c r="Y1854" s="34"/>
      <c r="Z1854" s="32"/>
      <c r="AA1854" s="32" t="s">
        <v>10155</v>
      </c>
      <c r="AB1854" s="32"/>
      <c r="AC1854" s="38" t="str">
        <f aca="false">HYPERLINK("https://biocodex6--c.vf.force.com/0014L00000KJCouQAH", "NGUYEN QUOC ADRIEN")</f>
        <v>NGUYEN QUOC ADRIEN</v>
      </c>
      <c r="AD1854" s="38"/>
      <c r="AE1854" s="39"/>
      <c r="AF1854" s="40"/>
      <c r="AG1854" s="41"/>
      <c r="AH1854" s="32"/>
      <c r="AI1854" s="32"/>
      <c r="AL1854" s="32"/>
      <c r="AM1854" s="32"/>
      <c r="AN1854" s="32"/>
      <c r="AO1854" s="32"/>
      <c r="AP1854" s="32"/>
      <c r="AQ1854" s="32"/>
      <c r="AR1854" s="32"/>
      <c r="AS1854" s="32"/>
      <c r="AT1854" s="32"/>
      <c r="AU1854" s="32"/>
      <c r="XEY1854" s="27"/>
      <c r="XEZ1854" s="27"/>
      <c r="XFA1854" s="27"/>
      <c r="XFB1854" s="27"/>
      <c r="XFC1854" s="27"/>
      <c r="XFD1854" s="27"/>
    </row>
    <row r="1855" s="42" customFormat="true" ht="14.15" hidden="false" customHeight="true" outlineLevel="0" collapsed="false">
      <c r="A1855" s="28" t="s">
        <v>10156</v>
      </c>
      <c r="B1855" s="29" t="s">
        <v>10157</v>
      </c>
      <c r="C1855" s="29" t="s">
        <v>10158</v>
      </c>
      <c r="D1855" s="30" t="s">
        <v>1103</v>
      </c>
      <c r="E1855" s="31"/>
      <c r="F1855" s="32" t="n">
        <v>32</v>
      </c>
      <c r="G1855" s="31"/>
      <c r="H1855" s="31" t="n">
        <v>1</v>
      </c>
      <c r="I1855" s="31" t="s">
        <v>51</v>
      </c>
      <c r="J1855" s="29" t="s">
        <v>52</v>
      </c>
      <c r="K1855" s="29" t="s">
        <v>53</v>
      </c>
      <c r="L1855" s="32" t="n">
        <v>149</v>
      </c>
      <c r="M1855" s="33" t="s">
        <v>54</v>
      </c>
      <c r="N1855" s="34" t="n">
        <v>75015</v>
      </c>
      <c r="O1855" s="35" t="s">
        <v>55</v>
      </c>
      <c r="P1855" s="36" t="s">
        <v>1609</v>
      </c>
      <c r="Q1855" s="36" t="n">
        <v>236</v>
      </c>
      <c r="R1855" s="32"/>
      <c r="S1855" s="32" t="n">
        <v>1</v>
      </c>
      <c r="T1855" s="32"/>
      <c r="U1855" s="32"/>
      <c r="V1855" s="37"/>
      <c r="W1855" s="32"/>
      <c r="X1855" s="34"/>
      <c r="Y1855" s="34"/>
      <c r="Z1855" s="36"/>
      <c r="AA1855" s="32" t="s">
        <v>10159</v>
      </c>
      <c r="AB1855" s="32"/>
      <c r="AC1855" s="38" t="str">
        <f aca="false">HYPERLINK("https://biocodex6--c.vf.force.com/0014L00000KGIaqQAH", "HIEGEL ALINE")</f>
        <v>HIEGEL ALINE</v>
      </c>
      <c r="AD1855" s="38"/>
      <c r="AE1855" s="39"/>
      <c r="AF1855" s="40"/>
      <c r="AG1855" s="41"/>
      <c r="AH1855" s="32" t="s">
        <v>179</v>
      </c>
      <c r="AI1855" s="32"/>
      <c r="AJ1855" s="42" t="s">
        <v>8695</v>
      </c>
      <c r="AL1855" s="32"/>
      <c r="AM1855" s="32"/>
      <c r="AN1855" s="32"/>
      <c r="AO1855" s="32"/>
      <c r="AP1855" s="32"/>
      <c r="AQ1855" s="32"/>
      <c r="AR1855" s="32"/>
      <c r="AS1855" s="32"/>
      <c r="AT1855" s="32"/>
      <c r="AU1855" s="32"/>
      <c r="XEY1855" s="27"/>
      <c r="XEZ1855" s="27"/>
      <c r="XFA1855" s="27"/>
      <c r="XFB1855" s="27"/>
      <c r="XFC1855" s="27"/>
      <c r="XFD1855" s="27"/>
    </row>
    <row r="1856" s="42" customFormat="true" ht="14.15" hidden="false" customHeight="true" outlineLevel="0" collapsed="false">
      <c r="A1856" s="28" t="s">
        <v>10160</v>
      </c>
      <c r="B1856" s="29" t="s">
        <v>10161</v>
      </c>
      <c r="C1856" s="29" t="s">
        <v>10162</v>
      </c>
      <c r="D1856" s="30" t="s">
        <v>50</v>
      </c>
      <c r="E1856" s="31"/>
      <c r="F1856" s="32" t="n">
        <v>32</v>
      </c>
      <c r="G1856" s="31"/>
      <c r="H1856" s="31" t="n">
        <v>1</v>
      </c>
      <c r="I1856" s="31" t="s">
        <v>51</v>
      </c>
      <c r="J1856" s="29"/>
      <c r="K1856" s="29" t="s">
        <v>7189</v>
      </c>
      <c r="L1856" s="32" t="n">
        <v>209</v>
      </c>
      <c r="M1856" s="33" t="s">
        <v>852</v>
      </c>
      <c r="N1856" s="34" t="n">
        <v>75015</v>
      </c>
      <c r="O1856" s="35" t="s">
        <v>55</v>
      </c>
      <c r="P1856" s="36"/>
      <c r="Q1856" s="36" t="n">
        <v>2</v>
      </c>
      <c r="R1856" s="32"/>
      <c r="S1856" s="32" t="n">
        <v>1</v>
      </c>
      <c r="T1856" s="32"/>
      <c r="U1856" s="32"/>
      <c r="V1856" s="37"/>
      <c r="W1856" s="32"/>
      <c r="X1856" s="34"/>
      <c r="Y1856" s="34"/>
      <c r="Z1856" s="36"/>
      <c r="AA1856" s="32" t="s">
        <v>10163</v>
      </c>
      <c r="AB1856" s="32"/>
      <c r="AC1856" s="38" t="str">
        <f aca="false">HYPERLINK("https://biocodex6--c.vf.force.com/0014L00000KGIb3QAH", "ITANI OULA")</f>
        <v>ITANI OULA</v>
      </c>
      <c r="AD1856" s="38"/>
      <c r="AE1856" s="39"/>
      <c r="AF1856" s="40"/>
      <c r="AG1856" s="41"/>
      <c r="AH1856" s="32" t="s">
        <v>179</v>
      </c>
      <c r="AI1856" s="32"/>
      <c r="AL1856" s="32"/>
      <c r="AM1856" s="32"/>
      <c r="AN1856" s="32"/>
      <c r="AO1856" s="32"/>
      <c r="AP1856" s="32"/>
      <c r="AQ1856" s="32"/>
      <c r="AR1856" s="32"/>
      <c r="AS1856" s="32"/>
      <c r="AT1856" s="32"/>
      <c r="AU1856" s="32"/>
      <c r="XEY1856" s="27"/>
      <c r="XEZ1856" s="27"/>
      <c r="XFA1856" s="27"/>
      <c r="XFB1856" s="27"/>
      <c r="XFC1856" s="27"/>
      <c r="XFD1856" s="27"/>
    </row>
    <row r="1857" s="42" customFormat="true" ht="14.15" hidden="false" customHeight="true" outlineLevel="0" collapsed="false">
      <c r="A1857" s="28" t="s">
        <v>10164</v>
      </c>
      <c r="B1857" s="29" t="s">
        <v>652</v>
      </c>
      <c r="C1857" s="29" t="s">
        <v>10165</v>
      </c>
      <c r="D1857" s="30" t="s">
        <v>50</v>
      </c>
      <c r="E1857" s="31"/>
      <c r="F1857" s="32" t="n">
        <v>33</v>
      </c>
      <c r="G1857" s="31" t="s">
        <v>98</v>
      </c>
      <c r="H1857" s="31" t="n">
        <v>1</v>
      </c>
      <c r="I1857" s="31" t="s">
        <v>51</v>
      </c>
      <c r="J1857" s="29"/>
      <c r="K1857" s="29" t="s">
        <v>10166</v>
      </c>
      <c r="L1857" s="32" t="n">
        <v>11</v>
      </c>
      <c r="M1857" s="33" t="s">
        <v>10167</v>
      </c>
      <c r="N1857" s="34" t="n">
        <v>75015</v>
      </c>
      <c r="O1857" s="35" t="s">
        <v>55</v>
      </c>
      <c r="P1857" s="36" t="s">
        <v>10168</v>
      </c>
      <c r="Q1857" s="36" t="n">
        <v>1</v>
      </c>
      <c r="R1857" s="32"/>
      <c r="S1857" s="32" t="n">
        <v>1</v>
      </c>
      <c r="T1857" s="32"/>
      <c r="U1857" s="32"/>
      <c r="V1857" s="37"/>
      <c r="W1857" s="32"/>
      <c r="X1857" s="34"/>
      <c r="Y1857" s="34"/>
      <c r="Z1857" s="36"/>
      <c r="AA1857" s="32" t="s">
        <v>10169</v>
      </c>
      <c r="AB1857" s="32" t="s">
        <v>10170</v>
      </c>
      <c r="AC1857" s="38" t="str">
        <f aca="false">HYPERLINK("https://biocodex6--c.vf.force.com/0014L00000kTPgaQAG", "PONDAVEN SOPHIE")</f>
        <v>PONDAVEN SOPHIE</v>
      </c>
      <c r="AD1857" s="38" t="str">
        <f aca="false">HYPERLINK("https://annuairesante.ameli.fr/professionnels-de-sante/recherche/fiche-detaillee-B7c1kzE4Nzaw.html", "PONDAVEN SOPHIE")</f>
        <v>PONDAVEN SOPHIE</v>
      </c>
      <c r="AE1857" s="39"/>
      <c r="AF1857" s="40"/>
      <c r="AG1857" s="41"/>
      <c r="AH1857" s="32" t="s">
        <v>179</v>
      </c>
      <c r="AI1857" s="32"/>
      <c r="AL1857" s="43" t="s">
        <v>966</v>
      </c>
      <c r="AM1857" s="43" t="s">
        <v>923</v>
      </c>
      <c r="AN1857" s="43" t="s">
        <v>966</v>
      </c>
      <c r="AO1857" s="32"/>
      <c r="AP1857" s="43" t="s">
        <v>966</v>
      </c>
      <c r="AQ1857" s="43" t="s">
        <v>923</v>
      </c>
      <c r="AR1857" s="32"/>
      <c r="AS1857" s="32"/>
      <c r="AT1857" s="43" t="s">
        <v>966</v>
      </c>
      <c r="AU1857" s="43" t="s">
        <v>923</v>
      </c>
      <c r="XEY1857" s="27"/>
      <c r="XEZ1857" s="27"/>
      <c r="XFA1857" s="27"/>
      <c r="XFB1857" s="27"/>
      <c r="XFC1857" s="27"/>
      <c r="XFD1857" s="27"/>
    </row>
    <row r="1858" s="42" customFormat="true" ht="14.15" hidden="false" customHeight="true" outlineLevel="0" collapsed="false">
      <c r="A1858" s="28" t="s">
        <v>10171</v>
      </c>
      <c r="B1858" s="29" t="s">
        <v>2033</v>
      </c>
      <c r="C1858" s="29" t="s">
        <v>10172</v>
      </c>
      <c r="D1858" s="30" t="s">
        <v>112</v>
      </c>
      <c r="E1858" s="31"/>
      <c r="F1858" s="32" t="n">
        <v>33</v>
      </c>
      <c r="G1858" s="31" t="s">
        <v>215</v>
      </c>
      <c r="H1858" s="31" t="n">
        <v>1</v>
      </c>
      <c r="I1858" s="31" t="s">
        <v>435</v>
      </c>
      <c r="J1858" s="29"/>
      <c r="K1858" s="29" t="s">
        <v>10173</v>
      </c>
      <c r="L1858" s="32" t="n">
        <v>8</v>
      </c>
      <c r="M1858" s="33" t="s">
        <v>10174</v>
      </c>
      <c r="N1858" s="34" t="n">
        <v>75016</v>
      </c>
      <c r="O1858" s="35" t="s">
        <v>55</v>
      </c>
      <c r="P1858" s="36" t="s">
        <v>10175</v>
      </c>
      <c r="Q1858" s="36" t="n">
        <v>1</v>
      </c>
      <c r="R1858" s="32"/>
      <c r="S1858" s="32" t="n">
        <v>1</v>
      </c>
      <c r="T1858" s="32"/>
      <c r="U1858" s="32"/>
      <c r="V1858" s="37"/>
      <c r="W1858" s="32"/>
      <c r="X1858" s="34"/>
      <c r="Y1858" s="34"/>
      <c r="Z1858" s="32"/>
      <c r="AA1858" s="32" t="s">
        <v>10176</v>
      </c>
      <c r="AB1858" s="32" t="s">
        <v>10177</v>
      </c>
      <c r="AC1858" s="38" t="str">
        <f aca="false">HYPERLINK("https://biocodex6--c.vf.force.com/0014L00000KGGgzQAH", "KAHAN EDERY ALEXANDRA")</f>
        <v>KAHAN EDERY ALEXANDRA</v>
      </c>
      <c r="AD1858" s="38" t="str">
        <f aca="false">HYPERLINK("https://annuairesante.ameli.fr/professionnels-de-sante/recherche/fiche-detaillee-B7c1kzc1MjK2.html", "KAHAN EDERY ALEXANDRA")</f>
        <v>KAHAN EDERY ALEXANDRA</v>
      </c>
      <c r="AE1858" s="39"/>
      <c r="AF1858" s="40"/>
      <c r="AG1858" s="41"/>
      <c r="AH1858" s="32"/>
      <c r="AI1858" s="32"/>
      <c r="AL1858" s="43" t="s">
        <v>736</v>
      </c>
      <c r="AM1858" s="43" t="s">
        <v>910</v>
      </c>
      <c r="AN1858" s="43" t="s">
        <v>736</v>
      </c>
      <c r="AO1858" s="43" t="s">
        <v>910</v>
      </c>
      <c r="AP1858" s="43" t="s">
        <v>736</v>
      </c>
      <c r="AQ1858" s="43" t="s">
        <v>910</v>
      </c>
      <c r="AR1858" s="43" t="s">
        <v>736</v>
      </c>
      <c r="AS1858" s="43" t="s">
        <v>910</v>
      </c>
      <c r="AT1858" s="43" t="s">
        <v>736</v>
      </c>
      <c r="AU1858" s="43" t="s">
        <v>910</v>
      </c>
      <c r="XEY1858" s="27"/>
      <c r="XEZ1858" s="27"/>
      <c r="XFA1858" s="27"/>
      <c r="XFB1858" s="27"/>
      <c r="XFC1858" s="27"/>
      <c r="XFD1858" s="27"/>
    </row>
    <row r="1859" s="42" customFormat="true" ht="14.15" hidden="false" customHeight="true" outlineLevel="0" collapsed="false">
      <c r="A1859" s="28" t="s">
        <v>10178</v>
      </c>
      <c r="B1859" s="29" t="s">
        <v>3749</v>
      </c>
      <c r="C1859" s="29" t="s">
        <v>10179</v>
      </c>
      <c r="D1859" s="30" t="s">
        <v>244</v>
      </c>
      <c r="E1859" s="30" t="s">
        <v>245</v>
      </c>
      <c r="F1859" s="32" t="n">
        <v>34</v>
      </c>
      <c r="G1859" s="31" t="s">
        <v>215</v>
      </c>
      <c r="H1859" s="31" t="n">
        <v>1</v>
      </c>
      <c r="I1859" s="31" t="s">
        <v>435</v>
      </c>
      <c r="J1859" s="29" t="s">
        <v>2209</v>
      </c>
      <c r="K1859" s="29" t="s">
        <v>2210</v>
      </c>
      <c r="L1859" s="32" t="n">
        <v>4</v>
      </c>
      <c r="M1859" s="33" t="s">
        <v>3465</v>
      </c>
      <c r="N1859" s="34" t="n">
        <v>75016</v>
      </c>
      <c r="O1859" s="35" t="s">
        <v>55</v>
      </c>
      <c r="P1859" s="36" t="s">
        <v>5001</v>
      </c>
      <c r="Q1859" s="36" t="n">
        <v>5</v>
      </c>
      <c r="R1859" s="32"/>
      <c r="S1859" s="32" t="n">
        <v>1</v>
      </c>
      <c r="T1859" s="32"/>
      <c r="U1859" s="32"/>
      <c r="V1859" s="37"/>
      <c r="W1859" s="32"/>
      <c r="X1859" s="34"/>
      <c r="Y1859" s="34"/>
      <c r="Z1859" s="32"/>
      <c r="AA1859" s="32" t="s">
        <v>10180</v>
      </c>
      <c r="AB1859" s="32" t="s">
        <v>10181</v>
      </c>
      <c r="AC1859" s="38" t="str">
        <f aca="false">HYPERLINK("https://biocodex6--c.vf.force.com/0014L00000KGEP3QAP", "SADOUN MERYL")</f>
        <v>SADOUN MERYL</v>
      </c>
      <c r="AD1859" s="38" t="str">
        <f aca="false">HYPERLINK("https://annuairesante.ameli.fr/professionnels-de-sante/recherche/fiche-detaillee-B7c1kzE5OTG2.html", "SADOUN MERYL")</f>
        <v>SADOUN MERYL</v>
      </c>
      <c r="AE1859" s="39"/>
      <c r="AF1859" s="40"/>
      <c r="AG1859" s="41"/>
      <c r="AH1859" s="32"/>
      <c r="AI1859" s="32"/>
      <c r="AL1859" s="32"/>
      <c r="AM1859" s="43" t="s">
        <v>1908</v>
      </c>
      <c r="AN1859" s="43" t="s">
        <v>10182</v>
      </c>
      <c r="AO1859" s="43" t="s">
        <v>1908</v>
      </c>
      <c r="AP1859" s="43" t="s">
        <v>10182</v>
      </c>
      <c r="AQ1859" s="43" t="s">
        <v>1908</v>
      </c>
      <c r="AR1859" s="43" t="s">
        <v>10182</v>
      </c>
      <c r="AS1859" s="43" t="s">
        <v>1908</v>
      </c>
      <c r="AT1859" s="32"/>
      <c r="AU1859" s="32"/>
      <c r="XEY1859" s="27"/>
      <c r="XEZ1859" s="27"/>
      <c r="XFA1859" s="27"/>
      <c r="XFB1859" s="27"/>
      <c r="XFC1859" s="27"/>
      <c r="XFD1859" s="27"/>
    </row>
    <row r="1860" s="42" customFormat="true" ht="14.15" hidden="false" customHeight="true" outlineLevel="0" collapsed="false">
      <c r="A1860" s="28" t="s">
        <v>10183</v>
      </c>
      <c r="B1860" s="29" t="s">
        <v>2043</v>
      </c>
      <c r="C1860" s="29" t="s">
        <v>10184</v>
      </c>
      <c r="D1860" s="30" t="s">
        <v>50</v>
      </c>
      <c r="E1860" s="31"/>
      <c r="F1860" s="32" t="n">
        <v>34</v>
      </c>
      <c r="G1860" s="31"/>
      <c r="H1860" s="31" t="n">
        <v>2</v>
      </c>
      <c r="I1860" s="31" t="s">
        <v>62</v>
      </c>
      <c r="J1860" s="29"/>
      <c r="K1860" s="29" t="s">
        <v>10185</v>
      </c>
      <c r="L1860" s="32" t="n">
        <v>7</v>
      </c>
      <c r="M1860" s="33" t="s">
        <v>10186</v>
      </c>
      <c r="N1860" s="34" t="n">
        <v>75017</v>
      </c>
      <c r="O1860" s="35" t="s">
        <v>55</v>
      </c>
      <c r="P1860" s="36"/>
      <c r="Q1860" s="36" t="n">
        <v>1</v>
      </c>
      <c r="R1860" s="32"/>
      <c r="S1860" s="32" t="n">
        <v>1</v>
      </c>
      <c r="T1860" s="32"/>
      <c r="U1860" s="32"/>
      <c r="V1860" s="37"/>
      <c r="W1860" s="32"/>
      <c r="X1860" s="34"/>
      <c r="Y1860" s="34"/>
      <c r="Z1860" s="36"/>
      <c r="AA1860" s="32" t="s">
        <v>10187</v>
      </c>
      <c r="AB1860" s="32"/>
      <c r="AC1860" s="38" t="str">
        <f aca="false">HYPERLINK("https://biocodex6--c.vf.force.com/0014L00000KGFYIQA5", "SELLEM HABIB ELODIE")</f>
        <v>SELLEM HABIB ELODIE</v>
      </c>
      <c r="AD1860" s="38"/>
      <c r="AE1860" s="39"/>
      <c r="AF1860" s="40"/>
      <c r="AG1860" s="41"/>
      <c r="AH1860" s="32" t="s">
        <v>179</v>
      </c>
      <c r="AI1860" s="32"/>
      <c r="AL1860" s="32"/>
      <c r="AM1860" s="32"/>
      <c r="AN1860" s="32"/>
      <c r="AO1860" s="32"/>
      <c r="AP1860" s="32"/>
      <c r="AQ1860" s="32"/>
      <c r="AR1860" s="32"/>
      <c r="AS1860" s="32"/>
      <c r="AT1860" s="32"/>
      <c r="AU1860" s="32"/>
      <c r="XEY1860" s="27"/>
      <c r="XEZ1860" s="27"/>
      <c r="XFA1860" s="27"/>
      <c r="XFB1860" s="27"/>
      <c r="XFC1860" s="27"/>
      <c r="XFD1860" s="27"/>
    </row>
    <row r="1861" s="42" customFormat="true" ht="14.15" hidden="false" customHeight="true" outlineLevel="0" collapsed="false">
      <c r="A1861" s="28" t="s">
        <v>10188</v>
      </c>
      <c r="B1861" s="29" t="s">
        <v>1837</v>
      </c>
      <c r="C1861" s="29" t="s">
        <v>10189</v>
      </c>
      <c r="D1861" s="30" t="s">
        <v>172</v>
      </c>
      <c r="E1861" s="30" t="s">
        <v>545</v>
      </c>
      <c r="F1861" s="32" t="n">
        <v>37</v>
      </c>
      <c r="G1861" s="31"/>
      <c r="H1861" s="31" t="n">
        <v>1</v>
      </c>
      <c r="I1861" s="31" t="s">
        <v>62</v>
      </c>
      <c r="J1861" s="29"/>
      <c r="K1861" s="29" t="s">
        <v>1137</v>
      </c>
      <c r="L1861" s="32" t="n">
        <v>164</v>
      </c>
      <c r="M1861" s="33" t="s">
        <v>1138</v>
      </c>
      <c r="N1861" s="34" t="n">
        <v>75017</v>
      </c>
      <c r="O1861" s="35" t="s">
        <v>55</v>
      </c>
      <c r="P1861" s="36" t="s">
        <v>1139</v>
      </c>
      <c r="Q1861" s="36" t="n">
        <v>3</v>
      </c>
      <c r="R1861" s="32"/>
      <c r="S1861" s="32" t="n">
        <v>1</v>
      </c>
      <c r="T1861" s="32"/>
      <c r="U1861" s="32"/>
      <c r="V1861" s="37"/>
      <c r="W1861" s="32"/>
      <c r="X1861" s="34"/>
      <c r="Y1861" s="34"/>
      <c r="Z1861" s="32" t="s">
        <v>10190</v>
      </c>
      <c r="AA1861" s="32" t="s">
        <v>10191</v>
      </c>
      <c r="AB1861" s="44"/>
      <c r="AC1861" s="38" t="str">
        <f aca="false">HYPERLINK("https://biocodex6--c.vf.force.com/0014L00000KFOdEQAX", "VIORRAIN MARIE")</f>
        <v>VIORRAIN MARIE</v>
      </c>
      <c r="AD1861" s="38"/>
      <c r="AE1861" s="39"/>
      <c r="AF1861" s="40"/>
      <c r="AG1861" s="41"/>
      <c r="AH1861" s="32" t="s">
        <v>2191</v>
      </c>
      <c r="AI1861" s="32" t="s">
        <v>2191</v>
      </c>
      <c r="AL1861" s="32"/>
      <c r="AM1861" s="32"/>
      <c r="AN1861" s="32"/>
      <c r="AO1861" s="32"/>
      <c r="AP1861" s="32"/>
      <c r="AQ1861" s="32"/>
      <c r="AR1861" s="32"/>
      <c r="AS1861" s="32"/>
      <c r="AT1861" s="32"/>
      <c r="AU1861" s="32"/>
      <c r="XEY1861" s="27"/>
      <c r="XEZ1861" s="27"/>
      <c r="XFA1861" s="27"/>
      <c r="XFB1861" s="27"/>
      <c r="XFC1861" s="27"/>
      <c r="XFD1861" s="27"/>
    </row>
    <row r="1862" s="42" customFormat="true" ht="14.15" hidden="false" customHeight="true" outlineLevel="0" collapsed="false">
      <c r="A1862" s="28" t="s">
        <v>10192</v>
      </c>
      <c r="B1862" s="29" t="s">
        <v>10193</v>
      </c>
      <c r="C1862" s="29" t="s">
        <v>10194</v>
      </c>
      <c r="D1862" s="30" t="s">
        <v>50</v>
      </c>
      <c r="E1862" s="31"/>
      <c r="F1862" s="32" t="n">
        <v>36</v>
      </c>
      <c r="G1862" s="31" t="s">
        <v>98</v>
      </c>
      <c r="H1862" s="31" t="n">
        <v>1</v>
      </c>
      <c r="I1862" s="31" t="s">
        <v>62</v>
      </c>
      <c r="J1862" s="29"/>
      <c r="K1862" s="29" t="s">
        <v>4115</v>
      </c>
      <c r="L1862" s="32" t="n">
        <v>174</v>
      </c>
      <c r="M1862" s="33" t="s">
        <v>1138</v>
      </c>
      <c r="N1862" s="34" t="n">
        <v>75017</v>
      </c>
      <c r="O1862" s="35" t="s">
        <v>55</v>
      </c>
      <c r="P1862" s="36" t="s">
        <v>10195</v>
      </c>
      <c r="Q1862" s="36" t="n">
        <v>2</v>
      </c>
      <c r="R1862" s="32"/>
      <c r="S1862" s="32" t="n">
        <v>1</v>
      </c>
      <c r="T1862" s="32"/>
      <c r="U1862" s="32"/>
      <c r="V1862" s="37"/>
      <c r="W1862" s="32"/>
      <c r="X1862" s="34"/>
      <c r="Y1862" s="34"/>
      <c r="Z1862" s="36"/>
      <c r="AA1862" s="32" t="s">
        <v>10196</v>
      </c>
      <c r="AB1862" s="32" t="s">
        <v>10197</v>
      </c>
      <c r="AC1862" s="38" t="str">
        <f aca="false">HYPERLINK("https://biocodex6--c.vf.force.com/0014L00000KG9MbQAL", "SALVATORE ORNELLA")</f>
        <v>SALVATORE ORNELLA</v>
      </c>
      <c r="AD1862" s="38" t="str">
        <f aca="false">HYPERLINK("https://annuairesante.ameli.fr/professionnels-de-sante/recherche/fiche-detaillee-B7c1kjswMzCx.html", "SALVATORE ORNELLA")</f>
        <v>SALVATORE ORNELLA</v>
      </c>
      <c r="AE1862" s="39"/>
      <c r="AF1862" s="40"/>
      <c r="AG1862" s="41"/>
      <c r="AH1862" s="32" t="s">
        <v>179</v>
      </c>
      <c r="AI1862" s="32"/>
      <c r="AL1862" s="43" t="s">
        <v>639</v>
      </c>
      <c r="AM1862" s="43" t="s">
        <v>262</v>
      </c>
      <c r="AN1862" s="43" t="s">
        <v>639</v>
      </c>
      <c r="AO1862" s="43" t="s">
        <v>262</v>
      </c>
      <c r="AP1862" s="43" t="s">
        <v>639</v>
      </c>
      <c r="AQ1862" s="43" t="s">
        <v>262</v>
      </c>
      <c r="AR1862" s="43" t="s">
        <v>639</v>
      </c>
      <c r="AS1862" s="43" t="s">
        <v>262</v>
      </c>
      <c r="AT1862" s="43" t="s">
        <v>639</v>
      </c>
      <c r="AU1862" s="43" t="s">
        <v>262</v>
      </c>
      <c r="XEY1862" s="27"/>
      <c r="XEZ1862" s="27"/>
      <c r="XFA1862" s="27"/>
      <c r="XFB1862" s="27"/>
      <c r="XFC1862" s="27"/>
      <c r="XFD1862" s="27"/>
    </row>
    <row r="1863" s="42" customFormat="true" ht="14.15" hidden="false" customHeight="true" outlineLevel="0" collapsed="false">
      <c r="A1863" s="28" t="s">
        <v>10198</v>
      </c>
      <c r="B1863" s="29" t="s">
        <v>10199</v>
      </c>
      <c r="C1863" s="29" t="s">
        <v>10200</v>
      </c>
      <c r="D1863" s="30" t="s">
        <v>50</v>
      </c>
      <c r="E1863" s="31"/>
      <c r="F1863" s="32" t="n">
        <v>35</v>
      </c>
      <c r="G1863" s="31"/>
      <c r="H1863" s="31" t="n">
        <v>1</v>
      </c>
      <c r="I1863" s="31" t="s">
        <v>62</v>
      </c>
      <c r="J1863" s="29"/>
      <c r="K1863" s="29" t="s">
        <v>2615</v>
      </c>
      <c r="L1863" s="32" t="n">
        <v>81</v>
      </c>
      <c r="M1863" s="33" t="s">
        <v>2616</v>
      </c>
      <c r="N1863" s="34" t="n">
        <v>75017</v>
      </c>
      <c r="O1863" s="35" t="s">
        <v>55</v>
      </c>
      <c r="P1863" s="36" t="s">
        <v>2617</v>
      </c>
      <c r="Q1863" s="36" t="n">
        <v>3</v>
      </c>
      <c r="R1863" s="32"/>
      <c r="S1863" s="32" t="n">
        <v>1</v>
      </c>
      <c r="T1863" s="32"/>
      <c r="U1863" s="32"/>
      <c r="V1863" s="37"/>
      <c r="W1863" s="32"/>
      <c r="X1863" s="34"/>
      <c r="Y1863" s="34"/>
      <c r="Z1863" s="36"/>
      <c r="AA1863" s="32" t="s">
        <v>10201</v>
      </c>
      <c r="AB1863" s="32"/>
      <c r="AC1863" s="38" t="str">
        <f aca="false">HYPERLINK("https://biocodex6--c.vf.force.com/0014L00000KGEKKQA5", "LORBER EVE MARIE")</f>
        <v>LORBER EVE MARIE</v>
      </c>
      <c r="AD1863" s="38"/>
      <c r="AE1863" s="39"/>
      <c r="AF1863" s="40"/>
      <c r="AG1863" s="41"/>
      <c r="AH1863" s="32" t="s">
        <v>179</v>
      </c>
      <c r="AI1863" s="32"/>
      <c r="AL1863" s="32"/>
      <c r="AM1863" s="32"/>
      <c r="AN1863" s="32"/>
      <c r="AO1863" s="32"/>
      <c r="AP1863" s="32"/>
      <c r="AQ1863" s="32"/>
      <c r="AR1863" s="32"/>
      <c r="AS1863" s="32"/>
      <c r="AT1863" s="32"/>
      <c r="AU1863" s="32"/>
      <c r="XEY1863" s="27"/>
      <c r="XEZ1863" s="27"/>
      <c r="XFA1863" s="27"/>
      <c r="XFB1863" s="27"/>
      <c r="XFC1863" s="27"/>
      <c r="XFD1863" s="27"/>
    </row>
    <row r="1864" s="42" customFormat="true" ht="14.15" hidden="false" customHeight="true" outlineLevel="0" collapsed="false">
      <c r="A1864" s="28" t="s">
        <v>8846</v>
      </c>
      <c r="B1864" s="29" t="s">
        <v>6075</v>
      </c>
      <c r="C1864" s="29" t="s">
        <v>10202</v>
      </c>
      <c r="D1864" s="30" t="s">
        <v>10203</v>
      </c>
      <c r="E1864" s="30" t="s">
        <v>344</v>
      </c>
      <c r="F1864" s="32"/>
      <c r="G1864" s="31"/>
      <c r="H1864" s="31" t="n">
        <v>1</v>
      </c>
      <c r="I1864" s="31" t="s">
        <v>62</v>
      </c>
      <c r="J1864" s="29"/>
      <c r="K1864" s="29" t="s">
        <v>1731</v>
      </c>
      <c r="L1864" s="32" t="n">
        <v>8</v>
      </c>
      <c r="M1864" s="33" t="s">
        <v>757</v>
      </c>
      <c r="N1864" s="34" t="n">
        <v>75017</v>
      </c>
      <c r="O1864" s="35" t="s">
        <v>55</v>
      </c>
      <c r="P1864" s="36"/>
      <c r="Q1864" s="36" t="n">
        <v>3</v>
      </c>
      <c r="R1864" s="32"/>
      <c r="S1864" s="32" t="n">
        <v>1</v>
      </c>
      <c r="T1864" s="32"/>
      <c r="U1864" s="32"/>
      <c r="V1864" s="37"/>
      <c r="W1864" s="32"/>
      <c r="X1864" s="34"/>
      <c r="Y1864" s="34"/>
      <c r="Z1864" s="32"/>
      <c r="AA1864" s="32"/>
      <c r="AB1864" s="32"/>
      <c r="AC1864" s="38"/>
      <c r="AD1864" s="38"/>
      <c r="AE1864" s="39"/>
      <c r="AF1864" s="40"/>
      <c r="AG1864" s="45"/>
      <c r="AH1864" s="32"/>
      <c r="AI1864" s="32"/>
      <c r="AL1864" s="32"/>
      <c r="AM1864" s="32"/>
      <c r="AN1864" s="32"/>
      <c r="AO1864" s="32"/>
      <c r="AP1864" s="32"/>
      <c r="AQ1864" s="32"/>
      <c r="AR1864" s="32"/>
      <c r="AS1864" s="32"/>
      <c r="AT1864" s="32"/>
      <c r="AU1864" s="32"/>
      <c r="XEY1864" s="27"/>
      <c r="XEZ1864" s="27"/>
      <c r="XFA1864" s="27"/>
      <c r="XFB1864" s="27"/>
      <c r="XFC1864" s="27"/>
      <c r="XFD1864" s="27"/>
    </row>
    <row r="1865" s="42" customFormat="true" ht="14.15" hidden="false" customHeight="true" outlineLevel="0" collapsed="false">
      <c r="A1865" s="28" t="s">
        <v>10204</v>
      </c>
      <c r="B1865" s="29" t="s">
        <v>1156</v>
      </c>
      <c r="C1865" s="29" t="s">
        <v>10205</v>
      </c>
      <c r="D1865" s="30" t="s">
        <v>50</v>
      </c>
      <c r="E1865" s="31"/>
      <c r="F1865" s="32" t="n">
        <v>32</v>
      </c>
      <c r="G1865" s="31" t="s">
        <v>98</v>
      </c>
      <c r="H1865" s="31" t="n">
        <v>1</v>
      </c>
      <c r="I1865" s="31" t="s">
        <v>62</v>
      </c>
      <c r="J1865" s="29" t="s">
        <v>3283</v>
      </c>
      <c r="K1865" s="29" t="s">
        <v>3284</v>
      </c>
      <c r="L1865" s="32" t="n">
        <v>66</v>
      </c>
      <c r="M1865" s="33" t="s">
        <v>1125</v>
      </c>
      <c r="N1865" s="34" t="n">
        <v>75017</v>
      </c>
      <c r="O1865" s="35" t="s">
        <v>55</v>
      </c>
      <c r="P1865" s="36" t="s">
        <v>10206</v>
      </c>
      <c r="Q1865" s="36" t="n">
        <v>5</v>
      </c>
      <c r="R1865" s="32"/>
      <c r="S1865" s="32" t="n">
        <v>1</v>
      </c>
      <c r="T1865" s="32"/>
      <c r="U1865" s="32"/>
      <c r="V1865" s="37"/>
      <c r="W1865" s="32"/>
      <c r="X1865" s="34"/>
      <c r="Y1865" s="34"/>
      <c r="Z1865" s="36"/>
      <c r="AA1865" s="32" t="s">
        <v>10207</v>
      </c>
      <c r="AB1865" s="32" t="s">
        <v>10208</v>
      </c>
      <c r="AC1865" s="38" t="str">
        <f aca="false">HYPERLINK("https://biocodex6--c.vf.force.com/0014L00000NDfjXQAT", "GRAND CELINE")</f>
        <v>GRAND CELINE</v>
      </c>
      <c r="AD1865" s="38" t="str">
        <f aca="false">HYPERLINK("https://annuairesante.ameli.fr/professionnels-de-sante/recherche/fiche-detaillee-B7c1kzcxNTGx.html", "GRAND CELINE")</f>
        <v>GRAND CELINE</v>
      </c>
      <c r="AE1865" s="39"/>
      <c r="AF1865" s="40"/>
      <c r="AG1865" s="41"/>
      <c r="AH1865" s="32" t="s">
        <v>179</v>
      </c>
      <c r="AI1865" s="32"/>
      <c r="AL1865" s="32"/>
      <c r="AM1865" s="32"/>
      <c r="AN1865" s="32"/>
      <c r="AO1865" s="32"/>
      <c r="AP1865" s="32"/>
      <c r="AQ1865" s="32"/>
      <c r="AR1865" s="32"/>
      <c r="AS1865" s="32"/>
      <c r="AT1865" s="32"/>
      <c r="AU1865" s="32"/>
      <c r="XEY1865" s="27"/>
      <c r="XEZ1865" s="27"/>
      <c r="XFA1865" s="27"/>
      <c r="XFB1865" s="27"/>
      <c r="XFC1865" s="27"/>
      <c r="XFD1865" s="27"/>
    </row>
    <row r="1866" s="42" customFormat="true" ht="14.15" hidden="false" customHeight="true" outlineLevel="0" collapsed="false">
      <c r="A1866" s="28" t="s">
        <v>10209</v>
      </c>
      <c r="B1866" s="29" t="s">
        <v>2344</v>
      </c>
      <c r="C1866" s="29" t="s">
        <v>10210</v>
      </c>
      <c r="D1866" s="30" t="s">
        <v>50</v>
      </c>
      <c r="E1866" s="31"/>
      <c r="F1866" s="32" t="n">
        <v>31</v>
      </c>
      <c r="G1866" s="31"/>
      <c r="H1866" s="31" t="n">
        <v>1</v>
      </c>
      <c r="I1866" s="31" t="s">
        <v>62</v>
      </c>
      <c r="J1866" s="29" t="s">
        <v>1123</v>
      </c>
      <c r="K1866" s="29" t="s">
        <v>1124</v>
      </c>
      <c r="L1866" s="32" t="n">
        <v>97</v>
      </c>
      <c r="M1866" s="33" t="s">
        <v>1125</v>
      </c>
      <c r="N1866" s="34" t="n">
        <v>75017</v>
      </c>
      <c r="O1866" s="35" t="s">
        <v>55</v>
      </c>
      <c r="P1866" s="36" t="s">
        <v>1126</v>
      </c>
      <c r="Q1866" s="36" t="n">
        <v>6</v>
      </c>
      <c r="R1866" s="32"/>
      <c r="S1866" s="32" t="n">
        <v>1</v>
      </c>
      <c r="T1866" s="32"/>
      <c r="U1866" s="32"/>
      <c r="V1866" s="37"/>
      <c r="W1866" s="32"/>
      <c r="X1866" s="34"/>
      <c r="Y1866" s="34"/>
      <c r="Z1866" s="36"/>
      <c r="AA1866" s="32" t="s">
        <v>10211</v>
      </c>
      <c r="AB1866" s="32"/>
      <c r="AC1866" s="38" t="str">
        <f aca="false">HYPERLINK("https://biocodex6--c.vf.force.com/0014L00000hv5cBQAQ", "MONMART MELANIE")</f>
        <v>MONMART MELANIE</v>
      </c>
      <c r="AD1866" s="38"/>
      <c r="AE1866" s="39"/>
      <c r="AF1866" s="40"/>
      <c r="AG1866" s="41"/>
      <c r="AH1866" s="32" t="s">
        <v>179</v>
      </c>
      <c r="AI1866" s="32"/>
      <c r="AJ1866" s="42" t="s">
        <v>1128</v>
      </c>
      <c r="AL1866" s="32"/>
      <c r="AM1866" s="32"/>
      <c r="AN1866" s="32"/>
      <c r="AO1866" s="32"/>
      <c r="AP1866" s="32"/>
      <c r="AQ1866" s="32"/>
      <c r="AR1866" s="32"/>
      <c r="AS1866" s="32"/>
      <c r="AT1866" s="32"/>
      <c r="AU1866" s="32"/>
      <c r="XEY1866" s="27"/>
      <c r="XEZ1866" s="27"/>
      <c r="XFA1866" s="27"/>
      <c r="XFB1866" s="27"/>
      <c r="XFC1866" s="27"/>
      <c r="XFD1866" s="27"/>
    </row>
    <row r="1867" s="42" customFormat="true" ht="14.15" hidden="false" customHeight="true" outlineLevel="0" collapsed="false">
      <c r="A1867" s="28" t="s">
        <v>10212</v>
      </c>
      <c r="B1867" s="29" t="s">
        <v>10213</v>
      </c>
      <c r="C1867" s="29" t="s">
        <v>10214</v>
      </c>
      <c r="D1867" s="30" t="s">
        <v>50</v>
      </c>
      <c r="E1867" s="31"/>
      <c r="F1867" s="32" t="n">
        <v>39</v>
      </c>
      <c r="G1867" s="31"/>
      <c r="H1867" s="31" t="n">
        <v>1</v>
      </c>
      <c r="I1867" s="31" t="s">
        <v>62</v>
      </c>
      <c r="J1867" s="29" t="s">
        <v>1123</v>
      </c>
      <c r="K1867" s="29" t="s">
        <v>1124</v>
      </c>
      <c r="L1867" s="32" t="n">
        <v>97</v>
      </c>
      <c r="M1867" s="33" t="s">
        <v>1125</v>
      </c>
      <c r="N1867" s="34" t="n">
        <v>75017</v>
      </c>
      <c r="O1867" s="35" t="s">
        <v>55</v>
      </c>
      <c r="P1867" s="36" t="s">
        <v>1126</v>
      </c>
      <c r="Q1867" s="36" t="n">
        <v>6</v>
      </c>
      <c r="R1867" s="32"/>
      <c r="S1867" s="32" t="n">
        <v>1</v>
      </c>
      <c r="T1867" s="32"/>
      <c r="U1867" s="32"/>
      <c r="V1867" s="37"/>
      <c r="W1867" s="32"/>
      <c r="X1867" s="34"/>
      <c r="Y1867" s="34"/>
      <c r="Z1867" s="36"/>
      <c r="AA1867" s="32" t="s">
        <v>10215</v>
      </c>
      <c r="AB1867" s="32"/>
      <c r="AC1867" s="38" t="str">
        <f aca="false">HYPERLINK("https://biocodex6--c.vf.force.com/0014L00000hrgfgQAA", "STELLA FRANCESCA")</f>
        <v>STELLA FRANCESCA</v>
      </c>
      <c r="AD1867" s="38"/>
      <c r="AE1867" s="39"/>
      <c r="AF1867" s="40"/>
      <c r="AG1867" s="41"/>
      <c r="AH1867" s="32" t="s">
        <v>179</v>
      </c>
      <c r="AI1867" s="32"/>
      <c r="AJ1867" s="42" t="s">
        <v>1128</v>
      </c>
      <c r="AL1867" s="32"/>
      <c r="AM1867" s="32"/>
      <c r="AN1867" s="32"/>
      <c r="AO1867" s="32"/>
      <c r="AP1867" s="32"/>
      <c r="AQ1867" s="32"/>
      <c r="AR1867" s="32"/>
      <c r="AS1867" s="32"/>
      <c r="AT1867" s="32"/>
      <c r="AU1867" s="32"/>
      <c r="XEY1867" s="27"/>
      <c r="XEZ1867" s="27"/>
      <c r="XFA1867" s="27"/>
      <c r="XFB1867" s="27"/>
      <c r="XFC1867" s="27"/>
      <c r="XFD1867" s="27"/>
    </row>
    <row r="1868" s="42" customFormat="true" ht="14.15" hidden="false" customHeight="true" outlineLevel="0" collapsed="false">
      <c r="A1868" s="28" t="s">
        <v>10216</v>
      </c>
      <c r="B1868" s="29" t="s">
        <v>10014</v>
      </c>
      <c r="C1868" s="29" t="s">
        <v>10217</v>
      </c>
      <c r="D1868" s="30" t="s">
        <v>50</v>
      </c>
      <c r="E1868" s="31"/>
      <c r="F1868" s="32" t="n">
        <v>34</v>
      </c>
      <c r="G1868" s="31"/>
      <c r="H1868" s="31" t="n">
        <v>1</v>
      </c>
      <c r="I1868" s="31" t="s">
        <v>62</v>
      </c>
      <c r="J1868" s="29"/>
      <c r="K1868" s="29" t="s">
        <v>10218</v>
      </c>
      <c r="L1868" s="32" t="n">
        <v>5</v>
      </c>
      <c r="M1868" s="33" t="s">
        <v>4299</v>
      </c>
      <c r="N1868" s="34" t="n">
        <v>75017</v>
      </c>
      <c r="O1868" s="35" t="s">
        <v>55</v>
      </c>
      <c r="P1868" s="36" t="s">
        <v>10219</v>
      </c>
      <c r="Q1868" s="36" t="n">
        <v>2</v>
      </c>
      <c r="R1868" s="32"/>
      <c r="S1868" s="32" t="n">
        <v>1</v>
      </c>
      <c r="T1868" s="32"/>
      <c r="U1868" s="32"/>
      <c r="V1868" s="37"/>
      <c r="W1868" s="32"/>
      <c r="X1868" s="34"/>
      <c r="Y1868" s="34"/>
      <c r="Z1868" s="36"/>
      <c r="AA1868" s="32" t="s">
        <v>10220</v>
      </c>
      <c r="AB1868" s="32"/>
      <c r="AC1868" s="38" t="str">
        <f aca="false">HYPERLINK("https://biocodex6--c.vf.force.com/0014L00000KGFYPQA5", "DE BARY LOUISE")</f>
        <v>DE BARY LOUISE</v>
      </c>
      <c r="AD1868" s="38"/>
      <c r="AE1868" s="39"/>
      <c r="AF1868" s="40"/>
      <c r="AG1868" s="41"/>
      <c r="AH1868" s="32" t="s">
        <v>179</v>
      </c>
      <c r="AI1868" s="32"/>
      <c r="AL1868" s="32"/>
      <c r="AM1868" s="32"/>
      <c r="AN1868" s="32"/>
      <c r="AO1868" s="32"/>
      <c r="AP1868" s="32"/>
      <c r="AQ1868" s="32"/>
      <c r="AR1868" s="32"/>
      <c r="AS1868" s="32"/>
      <c r="AT1868" s="32"/>
      <c r="AU1868" s="32"/>
      <c r="XEY1868" s="27"/>
      <c r="XEZ1868" s="27"/>
      <c r="XFA1868" s="27"/>
      <c r="XFB1868" s="27"/>
      <c r="XFC1868" s="27"/>
      <c r="XFD1868" s="27"/>
    </row>
    <row r="1869" s="42" customFormat="true" ht="14.15" hidden="false" customHeight="true" outlineLevel="0" collapsed="false">
      <c r="A1869" s="28" t="s">
        <v>10221</v>
      </c>
      <c r="B1869" s="29" t="s">
        <v>10222</v>
      </c>
      <c r="C1869" s="29" t="s">
        <v>10223</v>
      </c>
      <c r="D1869" s="30" t="s">
        <v>50</v>
      </c>
      <c r="E1869" s="30" t="s">
        <v>344</v>
      </c>
      <c r="F1869" s="32" t="n">
        <v>35</v>
      </c>
      <c r="G1869" s="31" t="s">
        <v>98</v>
      </c>
      <c r="H1869" s="31" t="n">
        <v>1</v>
      </c>
      <c r="I1869" s="31" t="s">
        <v>197</v>
      </c>
      <c r="J1869" s="29"/>
      <c r="K1869" s="29" t="s">
        <v>8407</v>
      </c>
      <c r="L1869" s="32" t="n">
        <v>61</v>
      </c>
      <c r="M1869" s="33" t="s">
        <v>2957</v>
      </c>
      <c r="N1869" s="34" t="n">
        <v>75017</v>
      </c>
      <c r="O1869" s="35" t="s">
        <v>55</v>
      </c>
      <c r="P1869" s="36" t="s">
        <v>10224</v>
      </c>
      <c r="Q1869" s="36" t="n">
        <v>2</v>
      </c>
      <c r="R1869" s="32"/>
      <c r="S1869" s="32" t="n">
        <v>1</v>
      </c>
      <c r="T1869" s="32"/>
      <c r="U1869" s="32"/>
      <c r="V1869" s="37"/>
      <c r="W1869" s="32"/>
      <c r="X1869" s="34"/>
      <c r="Y1869" s="34"/>
      <c r="Z1869" s="36"/>
      <c r="AA1869" s="32" t="s">
        <v>10225</v>
      </c>
      <c r="AB1869" s="32" t="s">
        <v>10226</v>
      </c>
      <c r="AC1869" s="38" t="str">
        <f aca="false">HYPERLINK("https://biocodex6--c.vf.force.com/0014L00000hsPiCQAU", "ISMAIL MARIEM")</f>
        <v>ISMAIL MARIEM</v>
      </c>
      <c r="AD1869" s="38" t="str">
        <f aca="false">HYPERLINK("https://annuairesante.ameli.fr/professionnels-de-sante/recherche/fiche-detaillee-B7c1kzc1NTC1.html", "ISMAIL MARIEM")</f>
        <v>ISMAIL MARIEM</v>
      </c>
      <c r="AE1869" s="39"/>
      <c r="AF1869" s="40"/>
      <c r="AG1869" s="41"/>
      <c r="AH1869" s="32" t="s">
        <v>179</v>
      </c>
      <c r="AI1869" s="32"/>
      <c r="AL1869" s="32"/>
      <c r="AM1869" s="32"/>
      <c r="AN1869" s="32"/>
      <c r="AO1869" s="32"/>
      <c r="AP1869" s="32"/>
      <c r="AQ1869" s="32"/>
      <c r="AR1869" s="32"/>
      <c r="AS1869" s="32"/>
      <c r="AT1869" s="32"/>
      <c r="AU1869" s="32"/>
      <c r="XEY1869" s="27"/>
      <c r="XEZ1869" s="27"/>
      <c r="XFA1869" s="27"/>
      <c r="XFB1869" s="27"/>
      <c r="XFC1869" s="27"/>
      <c r="XFD1869" s="27"/>
    </row>
    <row r="1870" s="42" customFormat="true" ht="14.15" hidden="false" customHeight="true" outlineLevel="0" collapsed="false">
      <c r="A1870" s="28" t="s">
        <v>10227</v>
      </c>
      <c r="B1870" s="29" t="s">
        <v>7018</v>
      </c>
      <c r="C1870" s="29" t="s">
        <v>10228</v>
      </c>
      <c r="D1870" s="30" t="s">
        <v>244</v>
      </c>
      <c r="E1870" s="30" t="s">
        <v>10229</v>
      </c>
      <c r="F1870" s="32"/>
      <c r="G1870" s="31" t="s">
        <v>215</v>
      </c>
      <c r="H1870" s="31" t="n">
        <v>1</v>
      </c>
      <c r="I1870" s="31" t="s">
        <v>197</v>
      </c>
      <c r="J1870" s="29"/>
      <c r="K1870" s="29" t="s">
        <v>10230</v>
      </c>
      <c r="L1870" s="32" t="n">
        <v>9</v>
      </c>
      <c r="M1870" s="33" t="s">
        <v>1697</v>
      </c>
      <c r="N1870" s="34" t="n">
        <v>75017</v>
      </c>
      <c r="O1870" s="35" t="s">
        <v>55</v>
      </c>
      <c r="P1870" s="36" t="s">
        <v>10231</v>
      </c>
      <c r="Q1870" s="36" t="n">
        <v>1</v>
      </c>
      <c r="R1870" s="32"/>
      <c r="S1870" s="32" t="n">
        <v>1</v>
      </c>
      <c r="T1870" s="32"/>
      <c r="U1870" s="32"/>
      <c r="V1870" s="37"/>
      <c r="W1870" s="32"/>
      <c r="X1870" s="34"/>
      <c r="Y1870" s="34"/>
      <c r="Z1870" s="36"/>
      <c r="AA1870" s="32"/>
      <c r="AB1870" s="32" t="s">
        <v>10232</v>
      </c>
      <c r="AC1870" s="38"/>
      <c r="AD1870" s="38" t="str">
        <f aca="false">HYPERLINK("https://annuairesante.ameli.fr/professionnels-de-sante/recherche/fiche-detaillee-B7c1lTA5MjWy.html", "SABAILA OLLIER ANNE VALERIE")</f>
        <v>SABAILA OLLIER ANNE VALERIE</v>
      </c>
      <c r="AE1870" s="39"/>
      <c r="AF1870" s="40"/>
      <c r="AG1870" s="45"/>
      <c r="AH1870" s="32" t="s">
        <v>179</v>
      </c>
      <c r="AI1870" s="32"/>
      <c r="AL1870" s="32"/>
      <c r="AM1870" s="32"/>
      <c r="AN1870" s="32"/>
      <c r="AO1870" s="32"/>
      <c r="AP1870" s="32"/>
      <c r="AQ1870" s="32"/>
      <c r="AR1870" s="32"/>
      <c r="AS1870" s="32"/>
      <c r="AT1870" s="32"/>
      <c r="AU1870" s="32"/>
      <c r="XEY1870" s="27"/>
      <c r="XEZ1870" s="27"/>
      <c r="XFA1870" s="27"/>
      <c r="XFB1870" s="27"/>
      <c r="XFC1870" s="27"/>
      <c r="XFD1870" s="27"/>
    </row>
    <row r="1871" s="42" customFormat="true" ht="14.15" hidden="false" customHeight="true" outlineLevel="0" collapsed="false">
      <c r="A1871" s="28" t="s">
        <v>10233</v>
      </c>
      <c r="B1871" s="29" t="s">
        <v>10234</v>
      </c>
      <c r="C1871" s="29" t="s">
        <v>10235</v>
      </c>
      <c r="D1871" s="30" t="s">
        <v>50</v>
      </c>
      <c r="E1871" s="31"/>
      <c r="F1871" s="32" t="n">
        <v>46</v>
      </c>
      <c r="G1871" s="31"/>
      <c r="H1871" s="31" t="n">
        <v>2</v>
      </c>
      <c r="I1871" s="31" t="s">
        <v>197</v>
      </c>
      <c r="J1871" s="29" t="s">
        <v>4801</v>
      </c>
      <c r="K1871" s="29" t="s">
        <v>4802</v>
      </c>
      <c r="L1871" s="32" t="n">
        <v>206</v>
      </c>
      <c r="M1871" s="33" t="s">
        <v>4230</v>
      </c>
      <c r="N1871" s="34" t="n">
        <v>75017</v>
      </c>
      <c r="O1871" s="35" t="s">
        <v>55</v>
      </c>
      <c r="P1871" s="36" t="s">
        <v>4803</v>
      </c>
      <c r="Q1871" s="36" t="n">
        <v>11</v>
      </c>
      <c r="R1871" s="32"/>
      <c r="S1871" s="32" t="n">
        <v>1</v>
      </c>
      <c r="T1871" s="32"/>
      <c r="U1871" s="32"/>
      <c r="V1871" s="37"/>
      <c r="W1871" s="32"/>
      <c r="X1871" s="34"/>
      <c r="Y1871" s="34"/>
      <c r="Z1871" s="36"/>
      <c r="AA1871" s="32" t="s">
        <v>10236</v>
      </c>
      <c r="AB1871" s="32"/>
      <c r="AC1871" s="38" t="str">
        <f aca="false">HYPERLINK("https://biocodex6--c.vf.force.com/0014L00000htPiqQAE", "BOCRIE OLIVIER JACQUES")</f>
        <v>BOCRIE OLIVIER JACQUES</v>
      </c>
      <c r="AD1871" s="38"/>
      <c r="AE1871" s="39"/>
      <c r="AF1871" s="40"/>
      <c r="AG1871" s="41"/>
      <c r="AH1871" s="32" t="s">
        <v>179</v>
      </c>
      <c r="AI1871" s="32"/>
      <c r="AL1871" s="32"/>
      <c r="AM1871" s="32"/>
      <c r="AN1871" s="32"/>
      <c r="AO1871" s="32"/>
      <c r="AP1871" s="32"/>
      <c r="AQ1871" s="32"/>
      <c r="AR1871" s="32"/>
      <c r="AS1871" s="32"/>
      <c r="AT1871" s="32"/>
      <c r="AU1871" s="32"/>
      <c r="XEY1871" s="27"/>
      <c r="XEZ1871" s="27"/>
      <c r="XFA1871" s="27"/>
      <c r="XFB1871" s="27"/>
      <c r="XFC1871" s="27"/>
      <c r="XFD1871" s="27"/>
    </row>
    <row r="1872" s="42" customFormat="true" ht="14.15" hidden="false" customHeight="true" outlineLevel="0" collapsed="false">
      <c r="A1872" s="28" t="s">
        <v>10237</v>
      </c>
      <c r="B1872" s="29" t="s">
        <v>1135</v>
      </c>
      <c r="C1872" s="29" t="s">
        <v>10238</v>
      </c>
      <c r="D1872" s="30" t="s">
        <v>50</v>
      </c>
      <c r="E1872" s="31"/>
      <c r="F1872" s="32" t="n">
        <v>32</v>
      </c>
      <c r="G1872" s="31" t="s">
        <v>98</v>
      </c>
      <c r="H1872" s="31" t="n">
        <v>3</v>
      </c>
      <c r="I1872" s="31" t="s">
        <v>197</v>
      </c>
      <c r="J1872" s="29" t="s">
        <v>4801</v>
      </c>
      <c r="K1872" s="29" t="s">
        <v>4802</v>
      </c>
      <c r="L1872" s="32" t="n">
        <v>206</v>
      </c>
      <c r="M1872" s="33" t="s">
        <v>4230</v>
      </c>
      <c r="N1872" s="34" t="n">
        <v>75017</v>
      </c>
      <c r="O1872" s="35" t="s">
        <v>55</v>
      </c>
      <c r="P1872" s="36" t="s">
        <v>10239</v>
      </c>
      <c r="Q1872" s="36" t="n">
        <v>11</v>
      </c>
      <c r="R1872" s="32"/>
      <c r="S1872" s="32" t="n">
        <v>1</v>
      </c>
      <c r="T1872" s="32"/>
      <c r="U1872" s="32"/>
      <c r="V1872" s="37"/>
      <c r="W1872" s="32"/>
      <c r="X1872" s="34"/>
      <c r="Y1872" s="34"/>
      <c r="Z1872" s="36"/>
      <c r="AA1872" s="32" t="s">
        <v>10240</v>
      </c>
      <c r="AB1872" s="32" t="s">
        <v>10241</v>
      </c>
      <c r="AC1872" s="38" t="str">
        <f aca="false">HYPERLINK("https://biocodex6--c.vf.force.com/0014L00000KGIO9QAP", "CORTES LAURA")</f>
        <v>CORTES LAURA</v>
      </c>
      <c r="AD1872" s="38" t="str">
        <f aca="false">HYPERLINK("https://annuairesante.ameli.fr/professionnels-de-sante/recherche/fiche-detaillee-B7c1mzczNDC3.html", "CORTES LAURA")</f>
        <v>CORTES LAURA</v>
      </c>
      <c r="AE1872" s="39"/>
      <c r="AF1872" s="40"/>
      <c r="AG1872" s="41"/>
      <c r="AH1872" s="32" t="s">
        <v>179</v>
      </c>
      <c r="AI1872" s="32"/>
      <c r="AL1872" s="32"/>
      <c r="AM1872" s="32"/>
      <c r="AN1872" s="32"/>
      <c r="AO1872" s="32"/>
      <c r="AP1872" s="32"/>
      <c r="AQ1872" s="32"/>
      <c r="AR1872" s="32"/>
      <c r="AS1872" s="32"/>
      <c r="AT1872" s="32"/>
      <c r="AU1872" s="32"/>
      <c r="XEY1872" s="27"/>
      <c r="XEZ1872" s="27"/>
      <c r="XFA1872" s="27"/>
      <c r="XFB1872" s="27"/>
      <c r="XFC1872" s="27"/>
      <c r="XFD1872" s="27"/>
    </row>
    <row r="1873" s="42" customFormat="true" ht="14.15" hidden="false" customHeight="true" outlineLevel="0" collapsed="false">
      <c r="A1873" s="28" t="s">
        <v>10242</v>
      </c>
      <c r="B1873" s="29" t="s">
        <v>10243</v>
      </c>
      <c r="C1873" s="29" t="s">
        <v>10244</v>
      </c>
      <c r="D1873" s="30" t="s">
        <v>50</v>
      </c>
      <c r="E1873" s="31"/>
      <c r="F1873" s="32" t="n">
        <v>32</v>
      </c>
      <c r="G1873" s="31"/>
      <c r="H1873" s="31" t="n">
        <v>1</v>
      </c>
      <c r="I1873" s="31" t="s">
        <v>197</v>
      </c>
      <c r="J1873" s="29" t="s">
        <v>4801</v>
      </c>
      <c r="K1873" s="29" t="s">
        <v>4802</v>
      </c>
      <c r="L1873" s="32" t="n">
        <v>206</v>
      </c>
      <c r="M1873" s="33" t="s">
        <v>4230</v>
      </c>
      <c r="N1873" s="34" t="n">
        <v>75017</v>
      </c>
      <c r="O1873" s="35" t="s">
        <v>55</v>
      </c>
      <c r="P1873" s="36" t="s">
        <v>4803</v>
      </c>
      <c r="Q1873" s="36" t="n">
        <v>11</v>
      </c>
      <c r="R1873" s="32"/>
      <c r="S1873" s="32" t="n">
        <v>1</v>
      </c>
      <c r="T1873" s="32"/>
      <c r="U1873" s="32"/>
      <c r="V1873" s="37"/>
      <c r="W1873" s="32"/>
      <c r="X1873" s="34"/>
      <c r="Y1873" s="34"/>
      <c r="Z1873" s="36"/>
      <c r="AA1873" s="32" t="s">
        <v>10245</v>
      </c>
      <c r="AB1873" s="32"/>
      <c r="AC1873" s="38" t="str">
        <f aca="false">HYPERLINK("https://biocodex6--c.vf.force.com/0014L00000htPjGQAU", "LOCHET NOLWENN")</f>
        <v>LOCHET NOLWENN</v>
      </c>
      <c r="AD1873" s="38"/>
      <c r="AE1873" s="39"/>
      <c r="AF1873" s="40"/>
      <c r="AG1873" s="41"/>
      <c r="AH1873" s="32" t="s">
        <v>179</v>
      </c>
      <c r="AI1873" s="32"/>
      <c r="AL1873" s="32"/>
      <c r="AM1873" s="32"/>
      <c r="AN1873" s="32"/>
      <c r="AO1873" s="32"/>
      <c r="AP1873" s="32"/>
      <c r="AQ1873" s="32"/>
      <c r="AR1873" s="32"/>
      <c r="AS1873" s="32"/>
      <c r="AT1873" s="32"/>
      <c r="AU1873" s="32"/>
      <c r="XEY1873" s="27"/>
      <c r="XEZ1873" s="27"/>
      <c r="XFA1873" s="27"/>
      <c r="XFB1873" s="27"/>
      <c r="XFC1873" s="27"/>
      <c r="XFD1873" s="27"/>
    </row>
    <row r="1874" s="42" customFormat="true" ht="14.15" hidden="false" customHeight="true" outlineLevel="0" collapsed="false">
      <c r="A1874" s="28" t="s">
        <v>10246</v>
      </c>
      <c r="B1874" s="29" t="s">
        <v>1121</v>
      </c>
      <c r="C1874" s="29" t="s">
        <v>10247</v>
      </c>
      <c r="D1874" s="30" t="s">
        <v>50</v>
      </c>
      <c r="E1874" s="31"/>
      <c r="F1874" s="32" t="n">
        <v>33</v>
      </c>
      <c r="G1874" s="31"/>
      <c r="H1874" s="31" t="n">
        <v>1</v>
      </c>
      <c r="I1874" s="31" t="s">
        <v>197</v>
      </c>
      <c r="J1874" s="29" t="s">
        <v>2561</v>
      </c>
      <c r="K1874" s="29" t="s">
        <v>2562</v>
      </c>
      <c r="L1874" s="32" t="n">
        <v>6</v>
      </c>
      <c r="M1874" s="33" t="s">
        <v>2563</v>
      </c>
      <c r="N1874" s="34" t="n">
        <v>75017</v>
      </c>
      <c r="O1874" s="35" t="s">
        <v>55</v>
      </c>
      <c r="P1874" s="36" t="s">
        <v>2564</v>
      </c>
      <c r="Q1874" s="36" t="n">
        <v>6</v>
      </c>
      <c r="R1874" s="32"/>
      <c r="S1874" s="32" t="n">
        <v>1</v>
      </c>
      <c r="T1874" s="32"/>
      <c r="U1874" s="32"/>
      <c r="V1874" s="37"/>
      <c r="W1874" s="32"/>
      <c r="X1874" s="34"/>
      <c r="Y1874" s="34"/>
      <c r="Z1874" s="36"/>
      <c r="AA1874" s="32" t="s">
        <v>10248</v>
      </c>
      <c r="AB1874" s="32"/>
      <c r="AC1874" s="38" t="str">
        <f aca="false">HYPERLINK("https://biocodex6--c.vf.force.com/0014L00000kRGflQAG", "DOUBININE LEA")</f>
        <v>DOUBININE LEA</v>
      </c>
      <c r="AD1874" s="38"/>
      <c r="AE1874" s="39"/>
      <c r="AF1874" s="40"/>
      <c r="AG1874" s="41"/>
      <c r="AH1874" s="32" t="s">
        <v>179</v>
      </c>
      <c r="AI1874" s="32"/>
      <c r="AL1874" s="32"/>
      <c r="AM1874" s="32"/>
      <c r="AN1874" s="32"/>
      <c r="AO1874" s="32"/>
      <c r="AP1874" s="32"/>
      <c r="AQ1874" s="32"/>
      <c r="AR1874" s="32"/>
      <c r="AS1874" s="32"/>
      <c r="AT1874" s="32"/>
      <c r="AU1874" s="32"/>
      <c r="XEY1874" s="27"/>
      <c r="XEZ1874" s="27"/>
      <c r="XFA1874" s="27"/>
      <c r="XFB1874" s="27"/>
      <c r="XFC1874" s="27"/>
      <c r="XFD1874" s="27"/>
    </row>
    <row r="1875" s="42" customFormat="true" ht="14.15" hidden="false" customHeight="true" outlineLevel="0" collapsed="false">
      <c r="A1875" s="28" t="s">
        <v>10249</v>
      </c>
      <c r="B1875" s="29" t="s">
        <v>1460</v>
      </c>
      <c r="C1875" s="29" t="s">
        <v>10250</v>
      </c>
      <c r="D1875" s="30" t="s">
        <v>50</v>
      </c>
      <c r="E1875" s="31"/>
      <c r="F1875" s="32" t="n">
        <v>39</v>
      </c>
      <c r="G1875" s="31"/>
      <c r="H1875" s="31" t="n">
        <v>3</v>
      </c>
      <c r="I1875" s="31" t="s">
        <v>173</v>
      </c>
      <c r="J1875" s="29"/>
      <c r="K1875" s="29" t="s">
        <v>3174</v>
      </c>
      <c r="L1875" s="32" t="n">
        <v>45</v>
      </c>
      <c r="M1875" s="33" t="s">
        <v>175</v>
      </c>
      <c r="N1875" s="34" t="n">
        <v>75016</v>
      </c>
      <c r="O1875" s="35" t="s">
        <v>55</v>
      </c>
      <c r="P1875" s="36" t="s">
        <v>10251</v>
      </c>
      <c r="Q1875" s="36" t="n">
        <v>2</v>
      </c>
      <c r="R1875" s="32"/>
      <c r="S1875" s="32" t="n">
        <v>1</v>
      </c>
      <c r="T1875" s="32"/>
      <c r="U1875" s="32"/>
      <c r="V1875" s="37"/>
      <c r="W1875" s="32"/>
      <c r="X1875" s="34"/>
      <c r="Y1875" s="34"/>
      <c r="Z1875" s="36"/>
      <c r="AA1875" s="32" t="s">
        <v>10252</v>
      </c>
      <c r="AB1875" s="32"/>
      <c r="AC1875" s="38" t="str">
        <f aca="false">HYPERLINK("https://biocodex6--c.vf.force.com/0014L00000KFO7eQAH", "PALVAIR AUDREY")</f>
        <v>PALVAIR AUDREY</v>
      </c>
      <c r="AD1875" s="38"/>
      <c r="AE1875" s="39"/>
      <c r="AF1875" s="40"/>
      <c r="AG1875" s="41"/>
      <c r="AH1875" s="32" t="s">
        <v>179</v>
      </c>
      <c r="AI1875" s="32"/>
      <c r="AL1875" s="32"/>
      <c r="AM1875" s="32"/>
      <c r="AN1875" s="32"/>
      <c r="AO1875" s="32"/>
      <c r="AP1875" s="32"/>
      <c r="AQ1875" s="32"/>
      <c r="AR1875" s="32"/>
      <c r="AS1875" s="32"/>
      <c r="AT1875" s="32"/>
      <c r="AU1875" s="32"/>
      <c r="XEY1875" s="27"/>
      <c r="XEZ1875" s="27"/>
      <c r="XFA1875" s="27"/>
      <c r="XFB1875" s="27"/>
      <c r="XFC1875" s="27"/>
      <c r="XFD1875" s="27"/>
    </row>
    <row r="1876" s="42" customFormat="true" ht="14.15" hidden="false" customHeight="true" outlineLevel="0" collapsed="false">
      <c r="A1876" s="28" t="s">
        <v>10253</v>
      </c>
      <c r="B1876" s="29" t="s">
        <v>10254</v>
      </c>
      <c r="C1876" s="29" t="s">
        <v>10255</v>
      </c>
      <c r="D1876" s="30" t="s">
        <v>50</v>
      </c>
      <c r="E1876" s="31"/>
      <c r="F1876" s="32" t="n">
        <v>48</v>
      </c>
      <c r="G1876" s="31"/>
      <c r="H1876" s="31" t="n">
        <v>1</v>
      </c>
      <c r="I1876" s="31" t="s">
        <v>173</v>
      </c>
      <c r="J1876" s="29"/>
      <c r="K1876" s="29" t="s">
        <v>3566</v>
      </c>
      <c r="L1876" s="32" t="n">
        <v>50</v>
      </c>
      <c r="M1876" s="33" t="s">
        <v>175</v>
      </c>
      <c r="N1876" s="34" t="n">
        <v>75016</v>
      </c>
      <c r="O1876" s="35" t="s">
        <v>55</v>
      </c>
      <c r="P1876" s="36" t="s">
        <v>3567</v>
      </c>
      <c r="Q1876" s="36" t="n">
        <v>5</v>
      </c>
      <c r="R1876" s="32"/>
      <c r="S1876" s="32" t="n">
        <v>1</v>
      </c>
      <c r="T1876" s="32"/>
      <c r="U1876" s="32"/>
      <c r="V1876" s="37"/>
      <c r="W1876" s="32"/>
      <c r="X1876" s="34"/>
      <c r="Y1876" s="34"/>
      <c r="Z1876" s="36"/>
      <c r="AA1876" s="32" t="s">
        <v>10256</v>
      </c>
      <c r="AB1876" s="32"/>
      <c r="AC1876" s="38" t="str">
        <f aca="false">HYPERLINK("https://biocodex6--c.vf.force.com/0014L00000KG9blQAD", "SOUAMI KAHINA DAYANA")</f>
        <v>SOUAMI KAHINA DAYANA</v>
      </c>
      <c r="AD1876" s="38"/>
      <c r="AE1876" s="39"/>
      <c r="AF1876" s="40"/>
      <c r="AG1876" s="41"/>
      <c r="AH1876" s="32" t="s">
        <v>179</v>
      </c>
      <c r="AI1876" s="32"/>
      <c r="AL1876" s="32"/>
      <c r="AM1876" s="32"/>
      <c r="AN1876" s="32"/>
      <c r="AO1876" s="32"/>
      <c r="AP1876" s="32"/>
      <c r="AQ1876" s="32"/>
      <c r="AR1876" s="32"/>
      <c r="AS1876" s="32"/>
      <c r="AT1876" s="32"/>
      <c r="AU1876" s="32"/>
      <c r="XEY1876" s="27"/>
      <c r="XEZ1876" s="27"/>
      <c r="XFA1876" s="27"/>
      <c r="XFB1876" s="27"/>
      <c r="XFC1876" s="27"/>
      <c r="XFD1876" s="27"/>
    </row>
    <row r="1877" s="42" customFormat="true" ht="14.15" hidden="false" customHeight="true" outlineLevel="0" collapsed="false">
      <c r="A1877" s="28" t="s">
        <v>10257</v>
      </c>
      <c r="B1877" s="29" t="s">
        <v>10258</v>
      </c>
      <c r="C1877" s="29" t="s">
        <v>10259</v>
      </c>
      <c r="D1877" s="30" t="s">
        <v>50</v>
      </c>
      <c r="E1877" s="31"/>
      <c r="F1877" s="32" t="n">
        <v>32</v>
      </c>
      <c r="G1877" s="31"/>
      <c r="H1877" s="31" t="n">
        <v>1</v>
      </c>
      <c r="I1877" s="31" t="s">
        <v>173</v>
      </c>
      <c r="J1877" s="29"/>
      <c r="K1877" s="29" t="s">
        <v>10260</v>
      </c>
      <c r="L1877" s="32" t="n">
        <v>6</v>
      </c>
      <c r="M1877" s="33" t="s">
        <v>9137</v>
      </c>
      <c r="N1877" s="34" t="n">
        <v>75016</v>
      </c>
      <c r="O1877" s="35" t="s">
        <v>55</v>
      </c>
      <c r="P1877" s="36" t="s">
        <v>10261</v>
      </c>
      <c r="Q1877" s="36" t="n">
        <v>3</v>
      </c>
      <c r="R1877" s="32"/>
      <c r="S1877" s="32" t="n">
        <v>1</v>
      </c>
      <c r="T1877" s="32"/>
      <c r="U1877" s="32"/>
      <c r="V1877" s="37"/>
      <c r="W1877" s="32"/>
      <c r="X1877" s="34"/>
      <c r="Y1877" s="34"/>
      <c r="Z1877" s="36"/>
      <c r="AA1877" s="32" t="s">
        <v>10262</v>
      </c>
      <c r="AB1877" s="32"/>
      <c r="AC1877" s="38" t="str">
        <f aca="false">HYPERLINK("https://biocodex6--c.vf.force.com/0014L00000bN1VsQAK", "ABITBOL BENACIN TIFANIE")</f>
        <v>ABITBOL BENACIN TIFANIE</v>
      </c>
      <c r="AD1877" s="38"/>
      <c r="AE1877" s="39"/>
      <c r="AF1877" s="40"/>
      <c r="AG1877" s="41"/>
      <c r="AH1877" s="32" t="s">
        <v>179</v>
      </c>
      <c r="AI1877" s="32"/>
      <c r="AL1877" s="32"/>
      <c r="AM1877" s="32"/>
      <c r="AN1877" s="32"/>
      <c r="AO1877" s="32"/>
      <c r="AP1877" s="32"/>
      <c r="AQ1877" s="32"/>
      <c r="AR1877" s="32"/>
      <c r="AS1877" s="32"/>
      <c r="AT1877" s="32"/>
      <c r="AU1877" s="32"/>
      <c r="XEY1877" s="27"/>
      <c r="XEZ1877" s="27"/>
      <c r="XFA1877" s="27"/>
      <c r="XFB1877" s="27"/>
      <c r="XFC1877" s="27"/>
      <c r="XFD1877" s="27"/>
    </row>
    <row r="1878" s="42" customFormat="true" ht="14.15" hidden="false" customHeight="true" outlineLevel="0" collapsed="false">
      <c r="A1878" s="28" t="s">
        <v>10263</v>
      </c>
      <c r="B1878" s="29" t="s">
        <v>10264</v>
      </c>
      <c r="C1878" s="29" t="s">
        <v>10265</v>
      </c>
      <c r="D1878" s="30" t="s">
        <v>50</v>
      </c>
      <c r="E1878" s="31"/>
      <c r="F1878" s="32" t="n">
        <v>34</v>
      </c>
      <c r="G1878" s="31"/>
      <c r="H1878" s="31" t="n">
        <v>1</v>
      </c>
      <c r="I1878" s="31" t="s">
        <v>173</v>
      </c>
      <c r="J1878" s="29"/>
      <c r="K1878" s="29" t="s">
        <v>10260</v>
      </c>
      <c r="L1878" s="32" t="n">
        <v>6</v>
      </c>
      <c r="M1878" s="33" t="s">
        <v>9137</v>
      </c>
      <c r="N1878" s="34" t="n">
        <v>75016</v>
      </c>
      <c r="O1878" s="35" t="s">
        <v>55</v>
      </c>
      <c r="P1878" s="36" t="s">
        <v>10261</v>
      </c>
      <c r="Q1878" s="36" t="n">
        <v>3</v>
      </c>
      <c r="R1878" s="32"/>
      <c r="S1878" s="32" t="n">
        <v>1</v>
      </c>
      <c r="T1878" s="32"/>
      <c r="U1878" s="32"/>
      <c r="V1878" s="37"/>
      <c r="W1878" s="32"/>
      <c r="X1878" s="34"/>
      <c r="Y1878" s="34"/>
      <c r="Z1878" s="36"/>
      <c r="AA1878" s="32" t="s">
        <v>10266</v>
      </c>
      <c r="AB1878" s="32"/>
      <c r="AC1878" s="38" t="str">
        <f aca="false">HYPERLINK("https://biocodex6--c.vf.force.com/0014L00000KHyzoQAD", "CIUP LEON SHARON")</f>
        <v>CIUP LEON SHARON</v>
      </c>
      <c r="AD1878" s="38"/>
      <c r="AE1878" s="39"/>
      <c r="AF1878" s="40"/>
      <c r="AG1878" s="41"/>
      <c r="AH1878" s="32" t="s">
        <v>179</v>
      </c>
      <c r="AI1878" s="32"/>
      <c r="AL1878" s="32"/>
      <c r="AM1878" s="32"/>
      <c r="AN1878" s="32"/>
      <c r="AO1878" s="32"/>
      <c r="AP1878" s="32"/>
      <c r="AQ1878" s="32"/>
      <c r="AR1878" s="32"/>
      <c r="AS1878" s="32"/>
      <c r="AT1878" s="32"/>
      <c r="AU1878" s="32"/>
      <c r="XEY1878" s="27"/>
      <c r="XEZ1878" s="27"/>
      <c r="XFA1878" s="27"/>
      <c r="XFB1878" s="27"/>
      <c r="XFC1878" s="27"/>
      <c r="XFD1878" s="27"/>
    </row>
    <row r="1879" s="42" customFormat="true" ht="14.15" hidden="false" customHeight="true" outlineLevel="0" collapsed="false">
      <c r="A1879" s="28" t="s">
        <v>10267</v>
      </c>
      <c r="B1879" s="29" t="s">
        <v>10268</v>
      </c>
      <c r="C1879" s="29" t="s">
        <v>10269</v>
      </c>
      <c r="D1879" s="30" t="s">
        <v>50</v>
      </c>
      <c r="E1879" s="31"/>
      <c r="F1879" s="32" t="n">
        <v>34</v>
      </c>
      <c r="G1879" s="31" t="s">
        <v>98</v>
      </c>
      <c r="H1879" s="31" t="n">
        <v>1</v>
      </c>
      <c r="I1879" s="31" t="s">
        <v>173</v>
      </c>
      <c r="J1879" s="29"/>
      <c r="K1879" s="29" t="s">
        <v>10260</v>
      </c>
      <c r="L1879" s="32" t="n">
        <v>6</v>
      </c>
      <c r="M1879" s="33" t="s">
        <v>9137</v>
      </c>
      <c r="N1879" s="34" t="n">
        <v>75016</v>
      </c>
      <c r="O1879" s="35" t="s">
        <v>55</v>
      </c>
      <c r="P1879" s="36" t="s">
        <v>10261</v>
      </c>
      <c r="Q1879" s="36" t="n">
        <v>3</v>
      </c>
      <c r="R1879" s="32"/>
      <c r="S1879" s="32" t="n">
        <v>1</v>
      </c>
      <c r="T1879" s="32"/>
      <c r="U1879" s="32"/>
      <c r="V1879" s="37"/>
      <c r="W1879" s="32"/>
      <c r="X1879" s="34"/>
      <c r="Y1879" s="34"/>
      <c r="Z1879" s="36"/>
      <c r="AA1879" s="32" t="s">
        <v>10270</v>
      </c>
      <c r="AB1879" s="32" t="s">
        <v>10271</v>
      </c>
      <c r="AC1879" s="38" t="str">
        <f aca="false">HYPERLINK("https://biocodex6--c.vf.force.com/0014L00000KGIPSQA5", "LEON SAUL")</f>
        <v>LEON SAUL</v>
      </c>
      <c r="AD1879" s="38" t="str">
        <f aca="false">HYPERLINK("https://annuairesante.ameli.fr/professionnels-de-sante/recherche/fiche-detaillee-B7c1kzE0NjW2.html", "LEON SAUL")</f>
        <v>LEON SAUL</v>
      </c>
      <c r="AE1879" s="39"/>
      <c r="AF1879" s="40"/>
      <c r="AG1879" s="41"/>
      <c r="AH1879" s="32" t="s">
        <v>179</v>
      </c>
      <c r="AI1879" s="32"/>
      <c r="AL1879" s="32"/>
      <c r="AM1879" s="32"/>
      <c r="AN1879" s="32"/>
      <c r="AO1879" s="32"/>
      <c r="AP1879" s="32"/>
      <c r="AQ1879" s="32"/>
      <c r="AR1879" s="32"/>
      <c r="AS1879" s="32"/>
      <c r="AT1879" s="32"/>
      <c r="AU1879" s="32"/>
      <c r="XEY1879" s="27"/>
      <c r="XEZ1879" s="27"/>
      <c r="XFA1879" s="27"/>
      <c r="XFB1879" s="27"/>
      <c r="XFC1879" s="27"/>
      <c r="XFD1879" s="27"/>
    </row>
    <row r="1880" s="42" customFormat="true" ht="14.15" hidden="false" customHeight="true" outlineLevel="0" collapsed="false">
      <c r="A1880" s="28" t="s">
        <v>10272</v>
      </c>
      <c r="B1880" s="29" t="s">
        <v>10014</v>
      </c>
      <c r="C1880" s="29" t="s">
        <v>10273</v>
      </c>
      <c r="D1880" s="30" t="s">
        <v>172</v>
      </c>
      <c r="E1880" s="31"/>
      <c r="F1880" s="32" t="n">
        <v>31</v>
      </c>
      <c r="G1880" s="31"/>
      <c r="H1880" s="31" t="n">
        <v>1</v>
      </c>
      <c r="I1880" s="31" t="s">
        <v>233</v>
      </c>
      <c r="J1880" s="29"/>
      <c r="K1880" s="29" t="s">
        <v>2822</v>
      </c>
      <c r="L1880" s="32" t="n">
        <v>3</v>
      </c>
      <c r="M1880" s="33" t="s">
        <v>2823</v>
      </c>
      <c r="N1880" s="34" t="n">
        <v>75015</v>
      </c>
      <c r="O1880" s="35" t="s">
        <v>55</v>
      </c>
      <c r="P1880" s="36" t="s">
        <v>3699</v>
      </c>
      <c r="Q1880" s="36" t="n">
        <v>5</v>
      </c>
      <c r="R1880" s="32"/>
      <c r="S1880" s="32" t="n">
        <v>1</v>
      </c>
      <c r="T1880" s="43" t="s">
        <v>316</v>
      </c>
      <c r="U1880" s="32"/>
      <c r="V1880" s="37"/>
      <c r="W1880" s="32"/>
      <c r="X1880" s="34"/>
      <c r="Y1880" s="34"/>
      <c r="Z1880" s="32"/>
      <c r="AA1880" s="32" t="s">
        <v>10274</v>
      </c>
      <c r="AB1880" s="32"/>
      <c r="AC1880" s="38" t="str">
        <f aca="false">HYPERLINK("https://biocodex6--c.vf.force.com/0014L00000NCY0qQAH", "PECHAUD LOUISE")</f>
        <v>PECHAUD LOUISE</v>
      </c>
      <c r="AD1880" s="38"/>
      <c r="AE1880" s="39"/>
      <c r="AF1880" s="40"/>
      <c r="AG1880" s="41"/>
      <c r="AH1880" s="32"/>
      <c r="AI1880" s="32"/>
      <c r="AL1880" s="32"/>
      <c r="AM1880" s="32"/>
      <c r="AN1880" s="32"/>
      <c r="AO1880" s="32"/>
      <c r="AP1880" s="32"/>
      <c r="AQ1880" s="32"/>
      <c r="AR1880" s="32"/>
      <c r="AS1880" s="32"/>
      <c r="AT1880" s="32"/>
      <c r="AU1880" s="32"/>
      <c r="XEY1880" s="27"/>
      <c r="XEZ1880" s="27"/>
      <c r="XFA1880" s="27"/>
      <c r="XFB1880" s="27"/>
      <c r="XFC1880" s="27"/>
      <c r="XFD1880" s="27"/>
    </row>
    <row r="1881" s="42" customFormat="true" ht="14.15" hidden="false" customHeight="true" outlineLevel="0" collapsed="false">
      <c r="A1881" s="28" t="s">
        <v>10275</v>
      </c>
      <c r="B1881" s="29" t="s">
        <v>10276</v>
      </c>
      <c r="C1881" s="29" t="s">
        <v>10277</v>
      </c>
      <c r="D1881" s="30" t="s">
        <v>50</v>
      </c>
      <c r="E1881" s="30" t="s">
        <v>245</v>
      </c>
      <c r="F1881" s="32" t="n">
        <v>32</v>
      </c>
      <c r="G1881" s="31" t="s">
        <v>98</v>
      </c>
      <c r="H1881" s="31" t="n">
        <v>1</v>
      </c>
      <c r="I1881" s="31" t="s">
        <v>233</v>
      </c>
      <c r="J1881" s="29" t="s">
        <v>234</v>
      </c>
      <c r="K1881" s="29" t="s">
        <v>235</v>
      </c>
      <c r="L1881" s="32" t="n">
        <v>223</v>
      </c>
      <c r="M1881" s="33" t="s">
        <v>236</v>
      </c>
      <c r="N1881" s="34" t="n">
        <v>75015</v>
      </c>
      <c r="O1881" s="35" t="s">
        <v>55</v>
      </c>
      <c r="P1881" s="36" t="s">
        <v>237</v>
      </c>
      <c r="Q1881" s="36" t="n">
        <v>7</v>
      </c>
      <c r="R1881" s="32"/>
      <c r="S1881" s="32" t="n">
        <v>1</v>
      </c>
      <c r="T1881" s="32"/>
      <c r="U1881" s="32"/>
      <c r="V1881" s="37"/>
      <c r="W1881" s="32"/>
      <c r="X1881" s="34"/>
      <c r="Y1881" s="34"/>
      <c r="Z1881" s="36"/>
      <c r="AA1881" s="32" t="s">
        <v>10278</v>
      </c>
      <c r="AB1881" s="32" t="s">
        <v>10279</v>
      </c>
      <c r="AC1881" s="38" t="str">
        <f aca="false">HYPERLINK("https://biocodex6--c.vf.force.com/001Py000001q9YGIAY", "DE SEVIN AURIANE")</f>
        <v>DE SEVIN AURIANE</v>
      </c>
      <c r="AD1881" s="38" t="str">
        <f aca="false">HYPERLINK("https://annuairesante.ameli.fr/professionnels-de-sante/recherche/fiche-detaillee-B7c1kzE3NTS3.html", "DE SEVIN AURIANE")</f>
        <v>DE SEVIN AURIANE</v>
      </c>
      <c r="AE1881" s="39"/>
      <c r="AF1881" s="40"/>
      <c r="AG1881" s="41"/>
      <c r="AH1881" s="32" t="s">
        <v>179</v>
      </c>
      <c r="AI1881" s="32"/>
      <c r="AL1881" s="43" t="s">
        <v>657</v>
      </c>
      <c r="AM1881" s="43" t="s">
        <v>108</v>
      </c>
      <c r="AN1881" s="43" t="s">
        <v>657</v>
      </c>
      <c r="AO1881" s="43" t="s">
        <v>108</v>
      </c>
      <c r="AP1881" s="43" t="s">
        <v>657</v>
      </c>
      <c r="AQ1881" s="43" t="s">
        <v>108</v>
      </c>
      <c r="AR1881" s="43" t="s">
        <v>657</v>
      </c>
      <c r="AS1881" s="43" t="s">
        <v>108</v>
      </c>
      <c r="AT1881" s="43" t="s">
        <v>657</v>
      </c>
      <c r="AU1881" s="43" t="s">
        <v>108</v>
      </c>
      <c r="XEY1881" s="27"/>
      <c r="XEZ1881" s="27"/>
      <c r="XFA1881" s="27"/>
      <c r="XFB1881" s="27"/>
      <c r="XFC1881" s="27"/>
      <c r="XFD1881" s="27"/>
    </row>
    <row r="1882" s="42" customFormat="true" ht="14.15" hidden="false" customHeight="true" outlineLevel="0" collapsed="false">
      <c r="A1882" s="28" t="s">
        <v>10280</v>
      </c>
      <c r="B1882" s="29" t="s">
        <v>10281</v>
      </c>
      <c r="C1882" s="29" t="s">
        <v>10282</v>
      </c>
      <c r="D1882" s="30" t="s">
        <v>50</v>
      </c>
      <c r="E1882" s="31"/>
      <c r="F1882" s="32" t="n">
        <v>33</v>
      </c>
      <c r="G1882" s="31" t="s">
        <v>98</v>
      </c>
      <c r="H1882" s="31" t="n">
        <v>1</v>
      </c>
      <c r="I1882" s="31" t="s">
        <v>295</v>
      </c>
      <c r="J1882" s="29"/>
      <c r="K1882" s="29" t="s">
        <v>4014</v>
      </c>
      <c r="L1882" s="32" t="n">
        <v>72</v>
      </c>
      <c r="M1882" s="33" t="s">
        <v>2864</v>
      </c>
      <c r="N1882" s="34" t="n">
        <v>92300</v>
      </c>
      <c r="O1882" s="35" t="s">
        <v>298</v>
      </c>
      <c r="P1882" s="36" t="s">
        <v>4015</v>
      </c>
      <c r="Q1882" s="36" t="n">
        <v>4</v>
      </c>
      <c r="R1882" s="32"/>
      <c r="S1882" s="32" t="n">
        <v>1</v>
      </c>
      <c r="T1882" s="32"/>
      <c r="U1882" s="32"/>
      <c r="V1882" s="37"/>
      <c r="W1882" s="32"/>
      <c r="X1882" s="34"/>
      <c r="Y1882" s="34"/>
      <c r="Z1882" s="36"/>
      <c r="AA1882" s="32" t="s">
        <v>10283</v>
      </c>
      <c r="AB1882" s="32" t="s">
        <v>10284</v>
      </c>
      <c r="AC1882" s="38" t="str">
        <f aca="false">HYPERLINK("https://biocodex6--c.vf.force.com/0014L00000KGIQoQAP", "SIDALI DALILA")</f>
        <v>SIDALI DALILA</v>
      </c>
      <c r="AD1882" s="38" t="str">
        <f aca="false">HYPERLINK("https://annuairesante.ameli.fr/professionnels-de-sante/recherche/fiche-detaillee-CbA1kjQyODu1.html", "SIDALI DALILA")</f>
        <v>SIDALI DALILA</v>
      </c>
      <c r="AE1882" s="39"/>
      <c r="AF1882" s="40"/>
      <c r="AG1882" s="41"/>
      <c r="AH1882" s="32" t="s">
        <v>179</v>
      </c>
      <c r="AI1882" s="32"/>
      <c r="AL1882" s="43" t="s">
        <v>107</v>
      </c>
      <c r="AM1882" s="43" t="s">
        <v>126</v>
      </c>
      <c r="AN1882" s="43" t="s">
        <v>107</v>
      </c>
      <c r="AO1882" s="43" t="s">
        <v>126</v>
      </c>
      <c r="AP1882" s="43" t="s">
        <v>107</v>
      </c>
      <c r="AQ1882" s="43" t="s">
        <v>126</v>
      </c>
      <c r="AR1882" s="43" t="s">
        <v>107</v>
      </c>
      <c r="AS1882" s="43" t="s">
        <v>126</v>
      </c>
      <c r="AT1882" s="43" t="s">
        <v>107</v>
      </c>
      <c r="AU1882" s="43" t="s">
        <v>126</v>
      </c>
      <c r="XEY1882" s="27"/>
      <c r="XEZ1882" s="27"/>
      <c r="XFA1882" s="27"/>
      <c r="XFB1882" s="27"/>
      <c r="XFC1882" s="27"/>
      <c r="XFD1882" s="27"/>
    </row>
    <row r="1883" s="42" customFormat="true" ht="14.15" hidden="false" customHeight="true" outlineLevel="0" collapsed="false">
      <c r="A1883" s="28" t="s">
        <v>10285</v>
      </c>
      <c r="B1883" s="29" t="s">
        <v>9013</v>
      </c>
      <c r="C1883" s="29" t="s">
        <v>10286</v>
      </c>
      <c r="D1883" s="30" t="s">
        <v>50</v>
      </c>
      <c r="E1883" s="31"/>
      <c r="F1883" s="32" t="n">
        <v>35</v>
      </c>
      <c r="G1883" s="31" t="s">
        <v>98</v>
      </c>
      <c r="H1883" s="31" t="n">
        <v>1</v>
      </c>
      <c r="I1883" s="31" t="s">
        <v>295</v>
      </c>
      <c r="J1883" s="29"/>
      <c r="K1883" s="29" t="s">
        <v>5382</v>
      </c>
      <c r="L1883" s="32" t="n">
        <v>40</v>
      </c>
      <c r="M1883" s="33" t="s">
        <v>1050</v>
      </c>
      <c r="N1883" s="34" t="n">
        <v>92300</v>
      </c>
      <c r="O1883" s="35" t="s">
        <v>298</v>
      </c>
      <c r="P1883" s="36" t="s">
        <v>10287</v>
      </c>
      <c r="Q1883" s="36" t="n">
        <v>3</v>
      </c>
      <c r="R1883" s="32"/>
      <c r="S1883" s="32" t="n">
        <v>1</v>
      </c>
      <c r="T1883" s="32"/>
      <c r="U1883" s="32"/>
      <c r="V1883" s="37"/>
      <c r="W1883" s="32"/>
      <c r="X1883" s="34"/>
      <c r="Y1883" s="34"/>
      <c r="Z1883" s="36"/>
      <c r="AA1883" s="32" t="s">
        <v>10288</v>
      </c>
      <c r="AB1883" s="32" t="s">
        <v>10289</v>
      </c>
      <c r="AC1883" s="38" t="str">
        <f aca="false">HYPERLINK("https://biocodex6--c.vf.force.com/0014L00000KGoyjQAD", "BONNARDEL MORGANE")</f>
        <v>BONNARDEL MORGANE</v>
      </c>
      <c r="AD1883" s="38" t="str">
        <f aca="false">HYPERLINK("https://annuairesante.ameli.fr/professionnels-de-sante/recherche/fiche-detaillee-CbA1kjQyNzGz.html", "BONNARDEL MORGANE")</f>
        <v>BONNARDEL MORGANE</v>
      </c>
      <c r="AE1883" s="39"/>
      <c r="AF1883" s="40"/>
      <c r="AG1883" s="41"/>
      <c r="AH1883" s="32" t="s">
        <v>179</v>
      </c>
      <c r="AI1883" s="32"/>
      <c r="AL1883" s="43" t="s">
        <v>3890</v>
      </c>
      <c r="AM1883" s="43" t="s">
        <v>262</v>
      </c>
      <c r="AN1883" s="32"/>
      <c r="AO1883" s="32"/>
      <c r="AP1883" s="43" t="s">
        <v>1352</v>
      </c>
      <c r="AQ1883" s="43" t="s">
        <v>10290</v>
      </c>
      <c r="AR1883" s="43" t="s">
        <v>3890</v>
      </c>
      <c r="AS1883" s="43" t="s">
        <v>262</v>
      </c>
      <c r="AT1883" s="43" t="s">
        <v>3470</v>
      </c>
      <c r="AU1883" s="43" t="s">
        <v>5818</v>
      </c>
      <c r="XEY1883" s="27"/>
      <c r="XEZ1883" s="27"/>
      <c r="XFA1883" s="27"/>
      <c r="XFB1883" s="27"/>
      <c r="XFC1883" s="27"/>
      <c r="XFD1883" s="27"/>
    </row>
    <row r="1884" s="42" customFormat="true" ht="14.15" hidden="false" customHeight="true" outlineLevel="0" collapsed="false">
      <c r="A1884" s="28" t="s">
        <v>10291</v>
      </c>
      <c r="B1884" s="29" t="s">
        <v>9702</v>
      </c>
      <c r="C1884" s="29" t="s">
        <v>10292</v>
      </c>
      <c r="D1884" s="30" t="s">
        <v>172</v>
      </c>
      <c r="E1884" s="31"/>
      <c r="F1884" s="32" t="n">
        <v>36</v>
      </c>
      <c r="G1884" s="31"/>
      <c r="H1884" s="31" t="n">
        <v>1</v>
      </c>
      <c r="I1884" s="31" t="s">
        <v>295</v>
      </c>
      <c r="J1884" s="29"/>
      <c r="K1884" s="29" t="s">
        <v>1586</v>
      </c>
      <c r="L1884" s="32" t="n">
        <v>86</v>
      </c>
      <c r="M1884" s="33" t="s">
        <v>1050</v>
      </c>
      <c r="N1884" s="34" t="n">
        <v>92300</v>
      </c>
      <c r="O1884" s="35" t="s">
        <v>298</v>
      </c>
      <c r="P1884" s="36" t="s">
        <v>1587</v>
      </c>
      <c r="Q1884" s="36" t="n">
        <v>3</v>
      </c>
      <c r="R1884" s="32"/>
      <c r="S1884" s="32" t="n">
        <v>1</v>
      </c>
      <c r="T1884" s="43" t="s">
        <v>316</v>
      </c>
      <c r="U1884" s="32"/>
      <c r="V1884" s="37"/>
      <c r="W1884" s="32"/>
      <c r="X1884" s="34"/>
      <c r="Y1884" s="34"/>
      <c r="Z1884" s="36"/>
      <c r="AA1884" s="32" t="s">
        <v>10293</v>
      </c>
      <c r="AB1884" s="32"/>
      <c r="AC1884" s="38" t="str">
        <f aca="false">HYPERLINK("https://biocodex6--c.vf.force.com/0014L00000KGHlLQAX", "BOCCARA MOISE")</f>
        <v>BOCCARA MOISE</v>
      </c>
      <c r="AD1884" s="38"/>
      <c r="AE1884" s="39"/>
      <c r="AF1884" s="40"/>
      <c r="AG1884" s="41"/>
      <c r="AH1884" s="32" t="s">
        <v>179</v>
      </c>
      <c r="AI1884" s="32"/>
      <c r="AL1884" s="32"/>
      <c r="AM1884" s="32"/>
      <c r="AN1884" s="32"/>
      <c r="AO1884" s="32"/>
      <c r="AP1884" s="32"/>
      <c r="AQ1884" s="32"/>
      <c r="AR1884" s="32"/>
      <c r="AS1884" s="32"/>
      <c r="AT1884" s="32"/>
      <c r="AU1884" s="32"/>
      <c r="XEY1884" s="27"/>
      <c r="XEZ1884" s="27"/>
      <c r="XFA1884" s="27"/>
      <c r="XFB1884" s="27"/>
      <c r="XFC1884" s="27"/>
      <c r="XFD1884" s="27"/>
    </row>
    <row r="1885" s="42" customFormat="true" ht="14.15" hidden="false" customHeight="true" outlineLevel="0" collapsed="false">
      <c r="A1885" s="28" t="s">
        <v>3984</v>
      </c>
      <c r="B1885" s="29" t="s">
        <v>4292</v>
      </c>
      <c r="C1885" s="29" t="s">
        <v>10294</v>
      </c>
      <c r="D1885" s="30" t="s">
        <v>75</v>
      </c>
      <c r="E1885" s="31"/>
      <c r="F1885" s="32" t="n">
        <v>32</v>
      </c>
      <c r="G1885" s="31"/>
      <c r="H1885" s="31" t="n">
        <v>1</v>
      </c>
      <c r="I1885" s="31" t="s">
        <v>295</v>
      </c>
      <c r="J1885" s="29" t="s">
        <v>489</v>
      </c>
      <c r="K1885" s="29" t="s">
        <v>1183</v>
      </c>
      <c r="L1885" s="32" t="n">
        <v>4</v>
      </c>
      <c r="M1885" s="33" t="s">
        <v>297</v>
      </c>
      <c r="N1885" s="34" t="n">
        <v>92300</v>
      </c>
      <c r="O1885" s="35" t="s">
        <v>298</v>
      </c>
      <c r="P1885" s="36" t="s">
        <v>2134</v>
      </c>
      <c r="Q1885" s="36" t="n">
        <v>27</v>
      </c>
      <c r="R1885" s="32"/>
      <c r="S1885" s="32" t="n">
        <v>1</v>
      </c>
      <c r="T1885" s="32"/>
      <c r="U1885" s="32"/>
      <c r="V1885" s="37"/>
      <c r="W1885" s="32"/>
      <c r="X1885" s="34"/>
      <c r="Y1885" s="34"/>
      <c r="Z1885" s="32"/>
      <c r="AA1885" s="32" t="s">
        <v>10295</v>
      </c>
      <c r="AB1885" s="32"/>
      <c r="AC1885" s="38" t="str">
        <f aca="false">HYPERLINK("https://biocodex6--c.vf.force.com/0014L00000KGIV9QAP", "LEVY ILANA")</f>
        <v>LEVY ILANA</v>
      </c>
      <c r="AD1885" s="38"/>
      <c r="AE1885" s="39"/>
      <c r="AF1885" s="40"/>
      <c r="AG1885" s="41"/>
      <c r="AH1885" s="32"/>
      <c r="AI1885" s="32"/>
      <c r="AL1885" s="32"/>
      <c r="AM1885" s="32"/>
      <c r="AN1885" s="32"/>
      <c r="AO1885" s="32"/>
      <c r="AP1885" s="32"/>
      <c r="AQ1885" s="32"/>
      <c r="AR1885" s="32"/>
      <c r="AS1885" s="32"/>
      <c r="AT1885" s="32"/>
      <c r="AU1885" s="32"/>
      <c r="XEY1885" s="27"/>
      <c r="XEZ1885" s="27"/>
      <c r="XFA1885" s="27"/>
      <c r="XFB1885" s="27"/>
      <c r="XFC1885" s="27"/>
      <c r="XFD1885" s="27"/>
    </row>
    <row r="1886" s="42" customFormat="true" ht="14.15" hidden="false" customHeight="true" outlineLevel="0" collapsed="false">
      <c r="A1886" s="28" t="s">
        <v>10296</v>
      </c>
      <c r="B1886" s="29" t="s">
        <v>9953</v>
      </c>
      <c r="C1886" s="29" t="s">
        <v>10297</v>
      </c>
      <c r="D1886" s="30" t="s">
        <v>50</v>
      </c>
      <c r="E1886" s="31"/>
      <c r="F1886" s="32" t="n">
        <v>34</v>
      </c>
      <c r="G1886" s="31" t="s">
        <v>98</v>
      </c>
      <c r="H1886" s="31" t="n">
        <v>1</v>
      </c>
      <c r="I1886" s="31" t="s">
        <v>77</v>
      </c>
      <c r="J1886" s="29"/>
      <c r="K1886" s="29" t="s">
        <v>5902</v>
      </c>
      <c r="L1886" s="32" t="n">
        <v>1</v>
      </c>
      <c r="M1886" s="33" t="s">
        <v>5903</v>
      </c>
      <c r="N1886" s="34" t="n">
        <v>92200</v>
      </c>
      <c r="O1886" s="35" t="s">
        <v>298</v>
      </c>
      <c r="P1886" s="36" t="s">
        <v>10298</v>
      </c>
      <c r="Q1886" s="36" t="n">
        <v>2</v>
      </c>
      <c r="R1886" s="32"/>
      <c r="S1886" s="32" t="n">
        <v>1</v>
      </c>
      <c r="T1886" s="32"/>
      <c r="U1886" s="32"/>
      <c r="V1886" s="37"/>
      <c r="W1886" s="32"/>
      <c r="X1886" s="34"/>
      <c r="Y1886" s="34"/>
      <c r="Z1886" s="36"/>
      <c r="AA1886" s="32" t="s">
        <v>10299</v>
      </c>
      <c r="AB1886" s="32" t="s">
        <v>10300</v>
      </c>
      <c r="AC1886" s="38" t="str">
        <f aca="false">HYPERLINK("https://biocodex6--c.vf.force.com/0014L00000KGoypQAD", "NETTER ARTHUR")</f>
        <v>NETTER ARTHUR</v>
      </c>
      <c r="AD1886" s="38" t="str">
        <f aca="false">HYPERLINK("https://annuairesante.ameli.fr/professionnels-de-sante/recherche/fiche-detaillee-CbA1kjY3MTK6.html", "NETTER ARTHUR")</f>
        <v>NETTER ARTHUR</v>
      </c>
      <c r="AE1886" s="39"/>
      <c r="AF1886" s="40"/>
      <c r="AG1886" s="41"/>
      <c r="AH1886" s="32" t="s">
        <v>179</v>
      </c>
      <c r="AI1886" s="32"/>
      <c r="AL1886" s="43" t="s">
        <v>657</v>
      </c>
      <c r="AM1886" s="43" t="s">
        <v>137</v>
      </c>
      <c r="AN1886" s="43" t="s">
        <v>657</v>
      </c>
      <c r="AO1886" s="43" t="s">
        <v>137</v>
      </c>
      <c r="AP1886" s="43" t="s">
        <v>657</v>
      </c>
      <c r="AQ1886" s="43" t="s">
        <v>137</v>
      </c>
      <c r="AR1886" s="43" t="s">
        <v>657</v>
      </c>
      <c r="AS1886" s="43" t="s">
        <v>137</v>
      </c>
      <c r="AT1886" s="43" t="s">
        <v>657</v>
      </c>
      <c r="AU1886" s="43" t="s">
        <v>2764</v>
      </c>
      <c r="XEY1886" s="27"/>
      <c r="XEZ1886" s="27"/>
      <c r="XFA1886" s="27"/>
      <c r="XFB1886" s="27"/>
      <c r="XFC1886" s="27"/>
      <c r="XFD1886" s="27"/>
    </row>
    <row r="1887" s="42" customFormat="true" ht="14.15" hidden="false" customHeight="true" outlineLevel="0" collapsed="false">
      <c r="A1887" s="28" t="s">
        <v>10301</v>
      </c>
      <c r="B1887" s="29" t="s">
        <v>10302</v>
      </c>
      <c r="C1887" s="29" t="s">
        <v>10303</v>
      </c>
      <c r="D1887" s="30" t="s">
        <v>50</v>
      </c>
      <c r="E1887" s="31"/>
      <c r="F1887" s="32" t="n">
        <v>31</v>
      </c>
      <c r="G1887" s="31"/>
      <c r="H1887" s="31" t="n">
        <v>1</v>
      </c>
      <c r="I1887" s="31" t="s">
        <v>77</v>
      </c>
      <c r="J1887" s="29"/>
      <c r="K1887" s="29" t="s">
        <v>1861</v>
      </c>
      <c r="L1887" s="32" t="n">
        <v>136</v>
      </c>
      <c r="M1887" s="33" t="s">
        <v>1297</v>
      </c>
      <c r="N1887" s="34" t="n">
        <v>92200</v>
      </c>
      <c r="O1887" s="35" t="s">
        <v>81</v>
      </c>
      <c r="P1887" s="36" t="s">
        <v>5077</v>
      </c>
      <c r="Q1887" s="36" t="n">
        <v>3</v>
      </c>
      <c r="R1887" s="32"/>
      <c r="S1887" s="32" t="n">
        <v>1</v>
      </c>
      <c r="T1887" s="32"/>
      <c r="U1887" s="32"/>
      <c r="V1887" s="37"/>
      <c r="W1887" s="32"/>
      <c r="X1887" s="34"/>
      <c r="Y1887" s="34"/>
      <c r="Z1887" s="36"/>
      <c r="AA1887" s="32" t="s">
        <v>10304</v>
      </c>
      <c r="AB1887" s="32"/>
      <c r="AC1887" s="38" t="str">
        <f aca="false">HYPERLINK("https://biocodex6--c.vf.force.com/0014L00000kT9EbQAK", "SELLAMI FATIM ZAHRA")</f>
        <v>SELLAMI FATIM ZAHRA</v>
      </c>
      <c r="AD1887" s="38"/>
      <c r="AE1887" s="39"/>
      <c r="AF1887" s="40"/>
      <c r="AG1887" s="41"/>
      <c r="AH1887" s="32" t="s">
        <v>179</v>
      </c>
      <c r="AI1887" s="32"/>
      <c r="AL1887" s="32"/>
      <c r="AM1887" s="32"/>
      <c r="AN1887" s="32"/>
      <c r="AO1887" s="32"/>
      <c r="AP1887" s="32"/>
      <c r="AQ1887" s="32"/>
      <c r="AR1887" s="32"/>
      <c r="AS1887" s="32"/>
      <c r="AT1887" s="32"/>
      <c r="AU1887" s="32"/>
      <c r="XEY1887" s="27"/>
      <c r="XEZ1887" s="27"/>
      <c r="XFA1887" s="27"/>
      <c r="XFB1887" s="27"/>
      <c r="XFC1887" s="27"/>
      <c r="XFD1887" s="27"/>
    </row>
    <row r="1888" s="42" customFormat="true" ht="14.15" hidden="false" customHeight="true" outlineLevel="0" collapsed="false">
      <c r="A1888" s="28" t="s">
        <v>10305</v>
      </c>
      <c r="B1888" s="29" t="s">
        <v>643</v>
      </c>
      <c r="C1888" s="29" t="s">
        <v>10306</v>
      </c>
      <c r="D1888" s="30" t="s">
        <v>172</v>
      </c>
      <c r="E1888" s="31"/>
      <c r="F1888" s="32" t="n">
        <v>52</v>
      </c>
      <c r="G1888" s="31"/>
      <c r="H1888" s="31" t="n">
        <v>2</v>
      </c>
      <c r="I1888" s="31" t="s">
        <v>77</v>
      </c>
      <c r="J1888" s="29"/>
      <c r="K1888" s="29" t="s">
        <v>7312</v>
      </c>
      <c r="L1888" s="32" t="n">
        <v>88</v>
      </c>
      <c r="M1888" s="33" t="s">
        <v>379</v>
      </c>
      <c r="N1888" s="34" t="n">
        <v>92200</v>
      </c>
      <c r="O1888" s="35" t="s">
        <v>81</v>
      </c>
      <c r="P1888" s="36" t="s">
        <v>10307</v>
      </c>
      <c r="Q1888" s="36" t="n">
        <v>2</v>
      </c>
      <c r="R1888" s="32"/>
      <c r="S1888" s="32" t="n">
        <v>1</v>
      </c>
      <c r="T1888" s="32"/>
      <c r="U1888" s="32"/>
      <c r="V1888" s="37"/>
      <c r="W1888" s="32"/>
      <c r="X1888" s="34"/>
      <c r="Y1888" s="34"/>
      <c r="Z1888" s="32"/>
      <c r="AA1888" s="32" t="s">
        <v>10308</v>
      </c>
      <c r="AB1888" s="44"/>
      <c r="AC1888" s="38" t="str">
        <f aca="false">HYPERLINK("https://biocodex6--c.vf.force.com/0014L00000KG2LvQAL", "SAULNIER PIERRE")</f>
        <v>SAULNIER PIERRE</v>
      </c>
      <c r="AD1888" s="38"/>
      <c r="AE1888" s="39"/>
      <c r="AF1888" s="40"/>
      <c r="AG1888" s="41"/>
      <c r="AH1888" s="32"/>
      <c r="AI1888" s="32"/>
      <c r="AL1888" s="32"/>
      <c r="AM1888" s="32"/>
      <c r="AN1888" s="32"/>
      <c r="AO1888" s="32"/>
      <c r="AP1888" s="32"/>
      <c r="AQ1888" s="32"/>
      <c r="AR1888" s="32"/>
      <c r="AS1888" s="32"/>
      <c r="AT1888" s="32"/>
      <c r="AU1888" s="32"/>
      <c r="XEY1888" s="27"/>
      <c r="XEZ1888" s="27"/>
      <c r="XFA1888" s="27"/>
      <c r="XFB1888" s="27"/>
      <c r="XFC1888" s="27"/>
      <c r="XFD1888" s="27"/>
    </row>
    <row r="1889" s="42" customFormat="true" ht="14.15" hidden="false" customHeight="true" outlineLevel="0" collapsed="false">
      <c r="A1889" s="28" t="s">
        <v>10309</v>
      </c>
      <c r="B1889" s="29" t="s">
        <v>195</v>
      </c>
      <c r="C1889" s="29" t="s">
        <v>10310</v>
      </c>
      <c r="D1889" s="30" t="s">
        <v>268</v>
      </c>
      <c r="E1889" s="31"/>
      <c r="F1889" s="32" t="n">
        <v>69</v>
      </c>
      <c r="G1889" s="31" t="s">
        <v>215</v>
      </c>
      <c r="H1889" s="31" t="n">
        <v>1</v>
      </c>
      <c r="I1889" s="31" t="s">
        <v>119</v>
      </c>
      <c r="J1889" s="29"/>
      <c r="K1889" s="29" t="s">
        <v>10311</v>
      </c>
      <c r="L1889" s="32" t="n">
        <v>5</v>
      </c>
      <c r="M1889" s="33" t="s">
        <v>5621</v>
      </c>
      <c r="N1889" s="34" t="n">
        <v>75007</v>
      </c>
      <c r="O1889" s="35" t="s">
        <v>55</v>
      </c>
      <c r="P1889" s="36" t="s">
        <v>10312</v>
      </c>
      <c r="Q1889" s="36" t="n">
        <v>1</v>
      </c>
      <c r="R1889" s="32" t="n">
        <v>736</v>
      </c>
      <c r="S1889" s="32" t="n">
        <v>0</v>
      </c>
      <c r="T1889" s="32"/>
      <c r="U1889" s="32"/>
      <c r="V1889" s="37"/>
      <c r="W1889" s="32"/>
      <c r="X1889" s="34"/>
      <c r="Y1889" s="34"/>
      <c r="Z1889" s="36"/>
      <c r="AA1889" s="32" t="s">
        <v>10313</v>
      </c>
      <c r="AB1889" s="32" t="s">
        <v>10314</v>
      </c>
      <c r="AC1889" s="38" t="str">
        <f aca="false">HYPERLINK("https://biocodex6--c.vf.force.com/0014L00000KFufbQAD", "PARISER PHILIPPE")</f>
        <v>PARISER PHILIPPE</v>
      </c>
      <c r="AD1889" s="38" t="str">
        <f aca="false">HYPERLINK("https://annuairesante.ameli.fr/professionnels-de-sante/recherche/fiche-detaillee-B7c1lTI3NDaz.html", "PARISER PHILIPPE")</f>
        <v>PARISER PHILIPPE</v>
      </c>
      <c r="AE1889" s="39"/>
      <c r="AF1889" s="40"/>
      <c r="AG1889" s="41"/>
      <c r="AH1889" s="32" t="s">
        <v>179</v>
      </c>
      <c r="AI1889" s="32"/>
      <c r="AL1889" s="43" t="s">
        <v>263</v>
      </c>
      <c r="AM1889" s="43" t="s">
        <v>534</v>
      </c>
      <c r="AN1889" s="43" t="s">
        <v>263</v>
      </c>
      <c r="AO1889" s="43" t="s">
        <v>534</v>
      </c>
      <c r="AP1889" s="43" t="s">
        <v>263</v>
      </c>
      <c r="AQ1889" s="43" t="s">
        <v>534</v>
      </c>
      <c r="AR1889" s="43" t="s">
        <v>263</v>
      </c>
      <c r="AS1889" s="43" t="s">
        <v>534</v>
      </c>
      <c r="AT1889" s="43" t="s">
        <v>263</v>
      </c>
      <c r="AU1889" s="43" t="s">
        <v>534</v>
      </c>
      <c r="XEY1889" s="27"/>
      <c r="XEZ1889" s="27"/>
      <c r="XFA1889" s="27"/>
      <c r="XFB1889" s="27"/>
      <c r="XFC1889" s="27"/>
      <c r="XFD1889" s="27"/>
    </row>
    <row r="1890" s="42" customFormat="true" ht="14.15" hidden="false" customHeight="true" outlineLevel="0" collapsed="false">
      <c r="A1890" s="28" t="s">
        <v>10315</v>
      </c>
      <c r="B1890" s="29" t="s">
        <v>10316</v>
      </c>
      <c r="C1890" s="29" t="s">
        <v>10317</v>
      </c>
      <c r="D1890" s="30" t="s">
        <v>268</v>
      </c>
      <c r="E1890" s="31"/>
      <c r="F1890" s="32" t="n">
        <v>70</v>
      </c>
      <c r="G1890" s="31"/>
      <c r="H1890" s="31" t="n">
        <v>1</v>
      </c>
      <c r="I1890" s="31" t="s">
        <v>387</v>
      </c>
      <c r="J1890" s="29"/>
      <c r="K1890" s="29" t="s">
        <v>3790</v>
      </c>
      <c r="L1890" s="32" t="n">
        <v>6</v>
      </c>
      <c r="M1890" s="33" t="s">
        <v>3791</v>
      </c>
      <c r="N1890" s="34" t="n">
        <v>75016</v>
      </c>
      <c r="O1890" s="35" t="s">
        <v>55</v>
      </c>
      <c r="P1890" s="36" t="s">
        <v>3792</v>
      </c>
      <c r="Q1890" s="36" t="n">
        <v>5</v>
      </c>
      <c r="R1890" s="32" t="n">
        <v>563</v>
      </c>
      <c r="S1890" s="32" t="n">
        <v>0</v>
      </c>
      <c r="T1890" s="32"/>
      <c r="U1890" s="32"/>
      <c r="V1890" s="37"/>
      <c r="W1890" s="32"/>
      <c r="X1890" s="34"/>
      <c r="Y1890" s="34"/>
      <c r="Z1890" s="36"/>
      <c r="AA1890" s="32" t="s">
        <v>10318</v>
      </c>
      <c r="AB1890" s="32"/>
      <c r="AC1890" s="38" t="str">
        <f aca="false">HYPERLINK("https://biocodex6--c.vf.force.com/0014L00000KG61qQAD", "YAKOVLEFF ANTON")</f>
        <v>YAKOVLEFF ANTON</v>
      </c>
      <c r="AD1890" s="38"/>
      <c r="AE1890" s="39"/>
      <c r="AF1890" s="40"/>
      <c r="AG1890" s="41"/>
      <c r="AH1890" s="32" t="s">
        <v>179</v>
      </c>
      <c r="AI1890" s="32"/>
      <c r="AL1890" s="32"/>
      <c r="AM1890" s="32"/>
      <c r="AN1890" s="32"/>
      <c r="AO1890" s="32"/>
      <c r="AP1890" s="32"/>
      <c r="AQ1890" s="32"/>
      <c r="AR1890" s="32"/>
      <c r="AS1890" s="32"/>
      <c r="AT1890" s="32"/>
      <c r="AU1890" s="32"/>
      <c r="XEY1890" s="27"/>
      <c r="XEZ1890" s="27"/>
      <c r="XFA1890" s="27"/>
      <c r="XFB1890" s="27"/>
      <c r="XFC1890" s="27"/>
      <c r="XFD1890" s="27"/>
    </row>
    <row r="1891" s="42" customFormat="true" ht="14.15" hidden="false" customHeight="true" outlineLevel="0" collapsed="false">
      <c r="A1891" s="28" t="s">
        <v>10319</v>
      </c>
      <c r="B1891" s="29" t="s">
        <v>399</v>
      </c>
      <c r="C1891" s="29" t="s">
        <v>10320</v>
      </c>
      <c r="D1891" s="30" t="s">
        <v>50</v>
      </c>
      <c r="E1891" s="31"/>
      <c r="F1891" s="32" t="n">
        <v>66</v>
      </c>
      <c r="G1891" s="31" t="s">
        <v>98</v>
      </c>
      <c r="H1891" s="31" t="n">
        <v>1</v>
      </c>
      <c r="I1891" s="31" t="s">
        <v>119</v>
      </c>
      <c r="J1891" s="29"/>
      <c r="K1891" s="29" t="s">
        <v>10321</v>
      </c>
      <c r="L1891" s="32" t="n">
        <v>176</v>
      </c>
      <c r="M1891" s="33" t="s">
        <v>1221</v>
      </c>
      <c r="N1891" s="34" t="n">
        <v>75007</v>
      </c>
      <c r="O1891" s="35" t="s">
        <v>55</v>
      </c>
      <c r="P1891" s="36" t="s">
        <v>10322</v>
      </c>
      <c r="Q1891" s="36" t="n">
        <v>1</v>
      </c>
      <c r="R1891" s="32" t="n">
        <v>472</v>
      </c>
      <c r="S1891" s="32" t="n">
        <v>0</v>
      </c>
      <c r="T1891" s="32"/>
      <c r="U1891" s="32"/>
      <c r="V1891" s="37"/>
      <c r="W1891" s="32"/>
      <c r="X1891" s="34"/>
      <c r="Y1891" s="34"/>
      <c r="Z1891" s="32"/>
      <c r="AA1891" s="32" t="s">
        <v>10323</v>
      </c>
      <c r="AB1891" s="32" t="s">
        <v>10324</v>
      </c>
      <c r="AC1891" s="38" t="str">
        <f aca="false">HYPERLINK("https://biocodex6--c.vf.force.com/0014L00000KFp66QAD", "LORIN DE REURE OLIVIER")</f>
        <v>LORIN DE REURE OLIVIER</v>
      </c>
      <c r="AD1891" s="38" t="str">
        <f aca="false">HYPERLINK("https://annuairesante.ameli.fr/professionnels-de-sante/recherche/fiche-detaillee-B7c1lDIzNTO1.html", "LORIN DE REURE OLIVIER")</f>
        <v>LORIN DE REURE OLIVIER</v>
      </c>
      <c r="AE1891" s="39"/>
      <c r="AF1891" s="40"/>
      <c r="AG1891" s="41"/>
      <c r="AH1891" s="32"/>
      <c r="AI1891" s="32"/>
      <c r="AL1891" s="32"/>
      <c r="AM1891" s="32"/>
      <c r="AN1891" s="32"/>
      <c r="AO1891" s="32"/>
      <c r="AP1891" s="32"/>
      <c r="AQ1891" s="32"/>
      <c r="AR1891" s="32"/>
      <c r="AS1891" s="32"/>
      <c r="AT1891" s="32"/>
      <c r="AU1891" s="32"/>
      <c r="XEY1891" s="27"/>
      <c r="XEZ1891" s="27"/>
      <c r="XFA1891" s="27"/>
      <c r="XFB1891" s="27"/>
      <c r="XFC1891" s="27"/>
      <c r="XFD1891" s="27"/>
    </row>
    <row r="1892" s="42" customFormat="true" ht="14.15" hidden="false" customHeight="true" outlineLevel="0" collapsed="false">
      <c r="A1892" s="28" t="s">
        <v>10325</v>
      </c>
      <c r="B1892" s="29" t="s">
        <v>883</v>
      </c>
      <c r="C1892" s="29" t="s">
        <v>10326</v>
      </c>
      <c r="D1892" s="30" t="s">
        <v>50</v>
      </c>
      <c r="E1892" s="31"/>
      <c r="F1892" s="32" t="n">
        <v>80</v>
      </c>
      <c r="G1892" s="31" t="s">
        <v>345</v>
      </c>
      <c r="H1892" s="31" t="n">
        <v>1</v>
      </c>
      <c r="I1892" s="31" t="s">
        <v>119</v>
      </c>
      <c r="J1892" s="29"/>
      <c r="K1892" s="29" t="s">
        <v>10327</v>
      </c>
      <c r="L1892" s="32" t="n">
        <v>94</v>
      </c>
      <c r="M1892" s="33" t="s">
        <v>54</v>
      </c>
      <c r="N1892" s="34" t="n">
        <v>75007</v>
      </c>
      <c r="O1892" s="35" t="s">
        <v>55</v>
      </c>
      <c r="P1892" s="36" t="s">
        <v>10328</v>
      </c>
      <c r="Q1892" s="36" t="n">
        <v>1</v>
      </c>
      <c r="R1892" s="32" t="n">
        <v>414</v>
      </c>
      <c r="S1892" s="32" t="n">
        <v>0</v>
      </c>
      <c r="T1892" s="32"/>
      <c r="U1892" s="32"/>
      <c r="V1892" s="37"/>
      <c r="W1892" s="32"/>
      <c r="X1892" s="34"/>
      <c r="Y1892" s="34"/>
      <c r="Z1892" s="32"/>
      <c r="AA1892" s="32" t="s">
        <v>10329</v>
      </c>
      <c r="AB1892" s="32" t="s">
        <v>10330</v>
      </c>
      <c r="AC1892" s="38" t="str">
        <f aca="false">HYPERLINK("https://biocodex6--c.vf.force.com/0014L00000KG2PxQAL", "SZEFNER JACQUES")</f>
        <v>SZEFNER JACQUES</v>
      </c>
      <c r="AD1892" s="38" t="str">
        <f aca="false">HYPERLINK("https://annuairesante.ameli.fr/professionnels-de-sante/recherche/fiche-detaillee-B7c1lDY5NTux.html", "SZEFNER JACQUES")</f>
        <v>SZEFNER JACQUES</v>
      </c>
      <c r="AE1892" s="39"/>
      <c r="AF1892" s="40"/>
      <c r="AG1892" s="41"/>
      <c r="AH1892" s="32"/>
      <c r="AI1892" s="32"/>
      <c r="AL1892" s="32"/>
      <c r="AM1892" s="32"/>
      <c r="AN1892" s="32"/>
      <c r="AO1892" s="32"/>
      <c r="AP1892" s="32"/>
      <c r="AQ1892" s="32"/>
      <c r="AR1892" s="32"/>
      <c r="AS1892" s="32"/>
      <c r="AT1892" s="32"/>
      <c r="AU1892" s="32"/>
      <c r="XEY1892" s="27"/>
      <c r="XEZ1892" s="27"/>
      <c r="XFA1892" s="27"/>
      <c r="XFB1892" s="27"/>
      <c r="XFC1892" s="27"/>
      <c r="XFD1892" s="27"/>
    </row>
    <row r="1893" s="42" customFormat="true" ht="14.15" hidden="false" customHeight="true" outlineLevel="0" collapsed="false">
      <c r="A1893" s="28" t="s">
        <v>10331</v>
      </c>
      <c r="B1893" s="29" t="s">
        <v>578</v>
      </c>
      <c r="C1893" s="29" t="s">
        <v>10332</v>
      </c>
      <c r="D1893" s="30" t="s">
        <v>50</v>
      </c>
      <c r="E1893" s="30" t="s">
        <v>916</v>
      </c>
      <c r="F1893" s="32" t="n">
        <v>63</v>
      </c>
      <c r="G1893" s="31" t="s">
        <v>215</v>
      </c>
      <c r="H1893" s="31" t="n">
        <v>1</v>
      </c>
      <c r="I1893" s="31" t="s">
        <v>119</v>
      </c>
      <c r="J1893" s="29"/>
      <c r="K1893" s="29" t="s">
        <v>10333</v>
      </c>
      <c r="L1893" s="32" t="n">
        <v>108</v>
      </c>
      <c r="M1893" s="33" t="s">
        <v>8688</v>
      </c>
      <c r="N1893" s="34" t="n">
        <v>75007</v>
      </c>
      <c r="O1893" s="35" t="s">
        <v>55</v>
      </c>
      <c r="P1893" s="36" t="s">
        <v>10334</v>
      </c>
      <c r="Q1893" s="36" t="n">
        <v>1</v>
      </c>
      <c r="R1893" s="32" t="n">
        <v>402</v>
      </c>
      <c r="S1893" s="32" t="n">
        <v>0</v>
      </c>
      <c r="T1893" s="32"/>
      <c r="U1893" s="32"/>
      <c r="V1893" s="37"/>
      <c r="W1893" s="32"/>
      <c r="X1893" s="34"/>
      <c r="Y1893" s="34"/>
      <c r="Z1893" s="32"/>
      <c r="AA1893" s="32" t="s">
        <v>10335</v>
      </c>
      <c r="AB1893" s="32" t="s">
        <v>10336</v>
      </c>
      <c r="AC1893" s="38" t="str">
        <f aca="false">HYPERLINK("https://biocodex6--c.vf.force.com/0014L00000KFhCEQA1", "GROSGOGEAT HERVE")</f>
        <v>GROSGOGEAT HERVE</v>
      </c>
      <c r="AD1893" s="38" t="str">
        <f aca="false">HYPERLINK("https://annuairesante.ameli.fr/professionnels-de-sante/recherche/fiche-detaillee-B7c1lTIzODOw.html", "GROSGOGEAT HERVE")</f>
        <v>GROSGOGEAT HERVE</v>
      </c>
      <c r="AE1893" s="39"/>
      <c r="AF1893" s="40"/>
      <c r="AG1893" s="41"/>
      <c r="AH1893" s="32"/>
      <c r="AI1893" s="32"/>
      <c r="AL1893" s="32"/>
      <c r="AM1893" s="32"/>
      <c r="AN1893" s="32"/>
      <c r="AO1893" s="32"/>
      <c r="AP1893" s="32"/>
      <c r="AQ1893" s="32"/>
      <c r="AR1893" s="32"/>
      <c r="AS1893" s="32"/>
      <c r="AT1893" s="32"/>
      <c r="AU1893" s="32"/>
      <c r="XEY1893" s="27"/>
      <c r="XEZ1893" s="27"/>
      <c r="XFA1893" s="27"/>
      <c r="XFB1893" s="27"/>
      <c r="XFC1893" s="27"/>
      <c r="XFD1893" s="27"/>
    </row>
    <row r="1894" s="42" customFormat="true" ht="14.15" hidden="false" customHeight="true" outlineLevel="0" collapsed="false">
      <c r="A1894" s="28" t="s">
        <v>3589</v>
      </c>
      <c r="B1894" s="29" t="s">
        <v>619</v>
      </c>
      <c r="C1894" s="29" t="s">
        <v>10337</v>
      </c>
      <c r="D1894" s="30" t="s">
        <v>50</v>
      </c>
      <c r="E1894" s="31"/>
      <c r="F1894" s="32" t="n">
        <v>0</v>
      </c>
      <c r="G1894" s="31"/>
      <c r="H1894" s="31" t="n">
        <v>1</v>
      </c>
      <c r="I1894" s="31" t="s">
        <v>51</v>
      </c>
      <c r="J1894" s="29" t="s">
        <v>52</v>
      </c>
      <c r="K1894" s="29" t="s">
        <v>53</v>
      </c>
      <c r="L1894" s="32" t="n">
        <v>149</v>
      </c>
      <c r="M1894" s="33" t="s">
        <v>54</v>
      </c>
      <c r="N1894" s="34" t="n">
        <v>75015</v>
      </c>
      <c r="O1894" s="35" t="s">
        <v>55</v>
      </c>
      <c r="P1894" s="36" t="s">
        <v>10338</v>
      </c>
      <c r="Q1894" s="36" t="n">
        <v>236</v>
      </c>
      <c r="R1894" s="32" t="n">
        <v>400</v>
      </c>
      <c r="S1894" s="32" t="n">
        <v>0</v>
      </c>
      <c r="T1894" s="32"/>
      <c r="U1894" s="32"/>
      <c r="V1894" s="37"/>
      <c r="W1894" s="32"/>
      <c r="X1894" s="34"/>
      <c r="Y1894" s="34"/>
      <c r="Z1894" s="32"/>
      <c r="AA1894" s="32" t="s">
        <v>10339</v>
      </c>
      <c r="AB1894" s="32"/>
      <c r="AC1894" s="38" t="str">
        <f aca="false">HYPERLINK("https://biocodex6--c.vf.force.com/0014L00000KGKwUQAX", "TAIEB CHARLES")</f>
        <v>TAIEB CHARLES</v>
      </c>
      <c r="AD1894" s="38"/>
      <c r="AE1894" s="39"/>
      <c r="AF1894" s="40"/>
      <c r="AG1894" s="41"/>
      <c r="AH1894" s="32"/>
      <c r="AI1894" s="32"/>
      <c r="AL1894" s="32"/>
      <c r="AM1894" s="32"/>
      <c r="AN1894" s="32"/>
      <c r="AO1894" s="32"/>
      <c r="AP1894" s="32"/>
      <c r="AQ1894" s="32"/>
      <c r="AR1894" s="32"/>
      <c r="AS1894" s="32"/>
      <c r="AT1894" s="32"/>
      <c r="AU1894" s="32"/>
      <c r="XEY1894" s="27"/>
      <c r="XEZ1894" s="27"/>
      <c r="XFA1894" s="27"/>
      <c r="XFB1894" s="27"/>
      <c r="XFC1894" s="27"/>
      <c r="XFD1894" s="27"/>
    </row>
    <row r="1895" s="42" customFormat="true" ht="14.15" hidden="false" customHeight="true" outlineLevel="0" collapsed="false">
      <c r="A1895" s="28" t="s">
        <v>10340</v>
      </c>
      <c r="B1895" s="29" t="s">
        <v>117</v>
      </c>
      <c r="C1895" s="29" t="s">
        <v>10341</v>
      </c>
      <c r="D1895" s="30" t="s">
        <v>50</v>
      </c>
      <c r="E1895" s="30" t="s">
        <v>255</v>
      </c>
      <c r="F1895" s="32" t="n">
        <v>75</v>
      </c>
      <c r="G1895" s="31"/>
      <c r="H1895" s="31" t="n">
        <v>2</v>
      </c>
      <c r="I1895" s="31" t="s">
        <v>99</v>
      </c>
      <c r="J1895" s="29"/>
      <c r="K1895" s="29" t="s">
        <v>10342</v>
      </c>
      <c r="L1895" s="32" t="n">
        <v>57</v>
      </c>
      <c r="M1895" s="33" t="s">
        <v>2324</v>
      </c>
      <c r="N1895" s="34" t="n">
        <v>75015</v>
      </c>
      <c r="O1895" s="35" t="s">
        <v>55</v>
      </c>
      <c r="P1895" s="36" t="s">
        <v>10343</v>
      </c>
      <c r="Q1895" s="36" t="n">
        <v>1</v>
      </c>
      <c r="R1895" s="32" t="n">
        <v>388</v>
      </c>
      <c r="S1895" s="32" t="n">
        <v>0</v>
      </c>
      <c r="T1895" s="32"/>
      <c r="U1895" s="32"/>
      <c r="V1895" s="37"/>
      <c r="W1895" s="32"/>
      <c r="X1895" s="34"/>
      <c r="Y1895" s="34"/>
      <c r="Z1895" s="32"/>
      <c r="AA1895" s="32" t="s">
        <v>10344</v>
      </c>
      <c r="AB1895" s="32"/>
      <c r="AC1895" s="38" t="str">
        <f aca="false">HYPERLINK("https://biocodex6--c.vf.force.com/0014L00000KFo1cQAD", "LEONI DOMINIQUE")</f>
        <v>LEONI DOMINIQUE</v>
      </c>
      <c r="AD1895" s="38"/>
      <c r="AE1895" s="39"/>
      <c r="AF1895" s="40"/>
      <c r="AG1895" s="41"/>
      <c r="AH1895" s="32"/>
      <c r="AI1895" s="32"/>
      <c r="AL1895" s="32"/>
      <c r="AM1895" s="32"/>
      <c r="AN1895" s="32"/>
      <c r="AO1895" s="32"/>
      <c r="AP1895" s="32"/>
      <c r="AQ1895" s="32"/>
      <c r="AR1895" s="32"/>
      <c r="AS1895" s="32"/>
      <c r="AT1895" s="32"/>
      <c r="AU1895" s="32"/>
      <c r="XEY1895" s="27"/>
      <c r="XEZ1895" s="27"/>
      <c r="XFA1895" s="27"/>
      <c r="XFB1895" s="27"/>
      <c r="XFC1895" s="27"/>
      <c r="XFD1895" s="27"/>
    </row>
    <row r="1896" s="42" customFormat="true" ht="14.15" hidden="false" customHeight="true" outlineLevel="0" collapsed="false">
      <c r="A1896" s="28" t="s">
        <v>10345</v>
      </c>
      <c r="B1896" s="29" t="s">
        <v>1226</v>
      </c>
      <c r="C1896" s="29" t="s">
        <v>10346</v>
      </c>
      <c r="D1896" s="30" t="s">
        <v>50</v>
      </c>
      <c r="E1896" s="31"/>
      <c r="F1896" s="32" t="n">
        <v>78</v>
      </c>
      <c r="G1896" s="31" t="s">
        <v>215</v>
      </c>
      <c r="H1896" s="31" t="n">
        <v>1</v>
      </c>
      <c r="I1896" s="31" t="s">
        <v>119</v>
      </c>
      <c r="J1896" s="29"/>
      <c r="K1896" s="29" t="s">
        <v>10347</v>
      </c>
      <c r="L1896" s="32" t="n">
        <v>5</v>
      </c>
      <c r="M1896" s="33" t="s">
        <v>10348</v>
      </c>
      <c r="N1896" s="34" t="n">
        <v>75007</v>
      </c>
      <c r="O1896" s="35" t="s">
        <v>55</v>
      </c>
      <c r="P1896" s="36" t="s">
        <v>10349</v>
      </c>
      <c r="Q1896" s="36" t="n">
        <v>2</v>
      </c>
      <c r="R1896" s="32" t="n">
        <v>377</v>
      </c>
      <c r="S1896" s="32" t="n">
        <v>0</v>
      </c>
      <c r="T1896" s="32"/>
      <c r="U1896" s="32"/>
      <c r="V1896" s="37"/>
      <c r="W1896" s="32"/>
      <c r="X1896" s="34"/>
      <c r="Y1896" s="34"/>
      <c r="Z1896" s="32"/>
      <c r="AA1896" s="32" t="s">
        <v>10350</v>
      </c>
      <c r="AB1896" s="32" t="s">
        <v>10351</v>
      </c>
      <c r="AC1896" s="38" t="str">
        <f aca="false">HYPERLINK("https://biocodex6--c.vf.force.com/0014L00000KFVDJQA5", "CAHANE JEAN PIERRE")</f>
        <v>CAHANE JEAN PIERRE</v>
      </c>
      <c r="AD1896" s="38" t="str">
        <f aca="false">HYPERLINK("https://annuairesante.ameli.fr/professionnels-de-sante/recherche/fiche-detaillee-B7c1kTMyMTS2.html", "CAHANE JEAN PIERRE")</f>
        <v>CAHANE JEAN PIERRE</v>
      </c>
      <c r="AE1896" s="39"/>
      <c r="AF1896" s="40"/>
      <c r="AG1896" s="41"/>
      <c r="AH1896" s="32"/>
      <c r="AI1896" s="32"/>
      <c r="AL1896" s="32"/>
      <c r="AM1896" s="32"/>
      <c r="AN1896" s="32"/>
      <c r="AO1896" s="32"/>
      <c r="AP1896" s="32"/>
      <c r="AQ1896" s="32"/>
      <c r="AR1896" s="32"/>
      <c r="AS1896" s="32"/>
      <c r="AT1896" s="32"/>
      <c r="AU1896" s="32"/>
      <c r="XEY1896" s="27"/>
      <c r="XEZ1896" s="27"/>
      <c r="XFA1896" s="27"/>
      <c r="XFB1896" s="27"/>
      <c r="XFC1896" s="27"/>
      <c r="XFD1896" s="27"/>
    </row>
    <row r="1897" s="42" customFormat="true" ht="14.15" hidden="false" customHeight="true" outlineLevel="0" collapsed="false">
      <c r="A1897" s="28" t="s">
        <v>10352</v>
      </c>
      <c r="B1897" s="29" t="s">
        <v>1736</v>
      </c>
      <c r="C1897" s="29" t="s">
        <v>10353</v>
      </c>
      <c r="D1897" s="30" t="s">
        <v>50</v>
      </c>
      <c r="E1897" s="31"/>
      <c r="F1897" s="32" t="n">
        <v>73</v>
      </c>
      <c r="G1897" s="31" t="s">
        <v>61</v>
      </c>
      <c r="H1897" s="31" t="n">
        <v>1</v>
      </c>
      <c r="I1897" s="31" t="s">
        <v>77</v>
      </c>
      <c r="J1897" s="29"/>
      <c r="K1897" s="29" t="s">
        <v>6934</v>
      </c>
      <c r="L1897" s="32" t="n">
        <v>109</v>
      </c>
      <c r="M1897" s="33" t="s">
        <v>379</v>
      </c>
      <c r="N1897" s="34" t="n">
        <v>92200</v>
      </c>
      <c r="O1897" s="35" t="s">
        <v>81</v>
      </c>
      <c r="P1897" s="36" t="s">
        <v>10354</v>
      </c>
      <c r="Q1897" s="36" t="n">
        <v>2</v>
      </c>
      <c r="R1897" s="32" t="n">
        <v>375</v>
      </c>
      <c r="S1897" s="32" t="n">
        <v>0</v>
      </c>
      <c r="T1897" s="32"/>
      <c r="U1897" s="32"/>
      <c r="V1897" s="37"/>
      <c r="W1897" s="32"/>
      <c r="X1897" s="34"/>
      <c r="Y1897" s="34"/>
      <c r="Z1897" s="32"/>
      <c r="AA1897" s="32" t="s">
        <v>10355</v>
      </c>
      <c r="AB1897" s="32" t="s">
        <v>10356</v>
      </c>
      <c r="AC1897" s="38" t="str">
        <f aca="false">HYPERLINK("https://biocodex6--c.vf.force.com/0014L00000KFfCxQAL", "GARRIGUE JEAN PAUL")</f>
        <v>GARRIGUE JEAN PAUL</v>
      </c>
      <c r="AD1897" s="38" t="str">
        <f aca="false">HYPERLINK("https://annuairesante.ameli.fr/professionnels-de-sante/recherche/fiche-detaillee-CbA1kjcwOTW3.html", "GARRIGUE JEAN PAUL")</f>
        <v>GARRIGUE JEAN PAUL</v>
      </c>
      <c r="AE1897" s="39"/>
      <c r="AF1897" s="40"/>
      <c r="AG1897" s="41"/>
      <c r="AH1897" s="32"/>
      <c r="AI1897" s="32"/>
      <c r="AL1897" s="32"/>
      <c r="AM1897" s="32"/>
      <c r="AN1897" s="32"/>
      <c r="AO1897" s="32"/>
      <c r="AP1897" s="32"/>
      <c r="AQ1897" s="32"/>
      <c r="AR1897" s="32"/>
      <c r="AS1897" s="32"/>
      <c r="AT1897" s="32"/>
      <c r="AU1897" s="32"/>
      <c r="XEY1897" s="27"/>
      <c r="XEZ1897" s="27"/>
      <c r="XFA1897" s="27"/>
      <c r="XFB1897" s="27"/>
      <c r="XFC1897" s="27"/>
      <c r="XFD1897" s="27"/>
    </row>
    <row r="1898" s="42" customFormat="true" ht="14.15" hidden="false" customHeight="true" outlineLevel="0" collapsed="false">
      <c r="A1898" s="28" t="s">
        <v>10357</v>
      </c>
      <c r="B1898" s="29" t="s">
        <v>1584</v>
      </c>
      <c r="C1898" s="29" t="s">
        <v>10358</v>
      </c>
      <c r="D1898" s="30" t="s">
        <v>50</v>
      </c>
      <c r="E1898" s="31"/>
      <c r="F1898" s="32" t="n">
        <v>48</v>
      </c>
      <c r="G1898" s="31" t="s">
        <v>98</v>
      </c>
      <c r="H1898" s="31" t="n">
        <v>1</v>
      </c>
      <c r="I1898" s="31" t="s">
        <v>77</v>
      </c>
      <c r="J1898" s="29"/>
      <c r="K1898" s="29" t="s">
        <v>5127</v>
      </c>
      <c r="L1898" s="32" t="n">
        <v>152</v>
      </c>
      <c r="M1898" s="33" t="s">
        <v>379</v>
      </c>
      <c r="N1898" s="34" t="n">
        <v>92200</v>
      </c>
      <c r="O1898" s="35" t="s">
        <v>81</v>
      </c>
      <c r="P1898" s="36" t="s">
        <v>10359</v>
      </c>
      <c r="Q1898" s="36" t="n">
        <v>2</v>
      </c>
      <c r="R1898" s="32" t="n">
        <v>364</v>
      </c>
      <c r="S1898" s="32" t="n">
        <v>0</v>
      </c>
      <c r="T1898" s="32"/>
      <c r="U1898" s="32"/>
      <c r="V1898" s="37"/>
      <c r="W1898" s="32"/>
      <c r="X1898" s="34"/>
      <c r="Y1898" s="34"/>
      <c r="Z1898" s="32"/>
      <c r="AA1898" s="32" t="s">
        <v>10360</v>
      </c>
      <c r="AB1898" s="32" t="s">
        <v>10361</v>
      </c>
      <c r="AC1898" s="38" t="str">
        <f aca="false">HYPERLINK("https://biocodex6--c.vf.force.com/0014L00000KG0FDQA1", "ROYER LAURENCE")</f>
        <v>ROYER LAURENCE</v>
      </c>
      <c r="AD1898" s="38" t="str">
        <f aca="false">HYPERLINK("https://annuairesante.ameli.fr/professionnels-de-sante/recherche/fiche-detaillee-CbA1lTIzMzK2.html", "ROYER LAURENCE")</f>
        <v>ROYER LAURENCE</v>
      </c>
      <c r="AE1898" s="39"/>
      <c r="AF1898" s="40"/>
      <c r="AG1898" s="41"/>
      <c r="AH1898" s="32"/>
      <c r="AI1898" s="32"/>
      <c r="AL1898" s="43" t="s">
        <v>5131</v>
      </c>
      <c r="AM1898" s="43" t="s">
        <v>443</v>
      </c>
      <c r="AN1898" s="43" t="s">
        <v>5131</v>
      </c>
      <c r="AO1898" s="43" t="s">
        <v>443</v>
      </c>
      <c r="AP1898" s="43" t="s">
        <v>5131</v>
      </c>
      <c r="AQ1898" s="32"/>
      <c r="AR1898" s="43" t="s">
        <v>5131</v>
      </c>
      <c r="AS1898" s="43" t="s">
        <v>443</v>
      </c>
      <c r="AT1898" s="43" t="s">
        <v>5131</v>
      </c>
      <c r="AU1898" s="43" t="s">
        <v>443</v>
      </c>
      <c r="XEY1898" s="27"/>
      <c r="XEZ1898" s="27"/>
      <c r="XFA1898" s="27"/>
      <c r="XFB1898" s="27"/>
      <c r="XFC1898" s="27"/>
      <c r="XFD1898" s="27"/>
    </row>
    <row r="1899" s="42" customFormat="true" ht="14.15" hidden="false" customHeight="true" outlineLevel="0" collapsed="false">
      <c r="A1899" s="28" t="s">
        <v>10362</v>
      </c>
      <c r="B1899" s="29" t="s">
        <v>1226</v>
      </c>
      <c r="C1899" s="29" t="s">
        <v>10363</v>
      </c>
      <c r="D1899" s="30" t="s">
        <v>50</v>
      </c>
      <c r="E1899" s="31"/>
      <c r="F1899" s="32" t="n">
        <v>67</v>
      </c>
      <c r="G1899" s="31"/>
      <c r="H1899" s="31" t="n">
        <v>1</v>
      </c>
      <c r="I1899" s="31" t="s">
        <v>295</v>
      </c>
      <c r="J1899" s="29"/>
      <c r="K1899" s="29" t="s">
        <v>634</v>
      </c>
      <c r="L1899" s="32" t="n">
        <v>89</v>
      </c>
      <c r="M1899" s="33" t="s">
        <v>635</v>
      </c>
      <c r="N1899" s="34" t="n">
        <v>92300</v>
      </c>
      <c r="O1899" s="35" t="s">
        <v>298</v>
      </c>
      <c r="P1899" s="36" t="s">
        <v>10364</v>
      </c>
      <c r="Q1899" s="36" t="n">
        <v>3</v>
      </c>
      <c r="R1899" s="32" t="n">
        <v>356</v>
      </c>
      <c r="S1899" s="32" t="n">
        <v>0</v>
      </c>
      <c r="T1899" s="32"/>
      <c r="U1899" s="32"/>
      <c r="V1899" s="37"/>
      <c r="W1899" s="32"/>
      <c r="X1899" s="34"/>
      <c r="Y1899" s="34"/>
      <c r="Z1899" s="32"/>
      <c r="AA1899" s="32" t="s">
        <v>10365</v>
      </c>
      <c r="AB1899" s="32"/>
      <c r="AC1899" s="38" t="str">
        <f aca="false">HYPERLINK("https://biocodex6--c.vf.force.com/0014L00000KFxUAQA1", "RAGEAU JEAN PIERRE")</f>
        <v>RAGEAU JEAN PIERRE</v>
      </c>
      <c r="AD1899" s="38"/>
      <c r="AE1899" s="39"/>
      <c r="AF1899" s="40"/>
      <c r="AG1899" s="41"/>
      <c r="AH1899" s="32"/>
      <c r="AI1899" s="32"/>
      <c r="AL1899" s="32"/>
      <c r="AM1899" s="32"/>
      <c r="AN1899" s="32"/>
      <c r="AO1899" s="32"/>
      <c r="AP1899" s="32"/>
      <c r="AQ1899" s="32"/>
      <c r="AR1899" s="32"/>
      <c r="AS1899" s="32"/>
      <c r="AT1899" s="32"/>
      <c r="AU1899" s="32"/>
      <c r="XEY1899" s="27"/>
      <c r="XEZ1899" s="27"/>
      <c r="XFA1899" s="27"/>
      <c r="XFB1899" s="27"/>
      <c r="XFC1899" s="27"/>
      <c r="XFD1899" s="27"/>
    </row>
    <row r="1900" s="42" customFormat="true" ht="14.15" hidden="false" customHeight="true" outlineLevel="0" collapsed="false">
      <c r="A1900" s="28" t="s">
        <v>10366</v>
      </c>
      <c r="B1900" s="29" t="s">
        <v>1101</v>
      </c>
      <c r="C1900" s="29" t="s">
        <v>10367</v>
      </c>
      <c r="D1900" s="30" t="s">
        <v>50</v>
      </c>
      <c r="E1900" s="30" t="s">
        <v>386</v>
      </c>
      <c r="F1900" s="32" t="n">
        <v>76</v>
      </c>
      <c r="G1900" s="31" t="s">
        <v>215</v>
      </c>
      <c r="H1900" s="31" t="n">
        <v>1</v>
      </c>
      <c r="I1900" s="31" t="s">
        <v>119</v>
      </c>
      <c r="J1900" s="29"/>
      <c r="K1900" s="29" t="s">
        <v>10368</v>
      </c>
      <c r="L1900" s="32" t="n">
        <v>8</v>
      </c>
      <c r="M1900" s="33" t="s">
        <v>10369</v>
      </c>
      <c r="N1900" s="34" t="n">
        <v>75007</v>
      </c>
      <c r="O1900" s="35" t="s">
        <v>55</v>
      </c>
      <c r="P1900" s="36" t="s">
        <v>10370</v>
      </c>
      <c r="Q1900" s="36" t="n">
        <v>1</v>
      </c>
      <c r="R1900" s="32" t="n">
        <v>322</v>
      </c>
      <c r="S1900" s="32" t="n">
        <v>0</v>
      </c>
      <c r="T1900" s="32"/>
      <c r="U1900" s="32"/>
      <c r="V1900" s="37"/>
      <c r="W1900" s="32"/>
      <c r="X1900" s="34"/>
      <c r="Y1900" s="34"/>
      <c r="Z1900" s="32"/>
      <c r="AA1900" s="32" t="s">
        <v>10371</v>
      </c>
      <c r="AB1900" s="32" t="s">
        <v>10372</v>
      </c>
      <c r="AC1900" s="38" t="str">
        <f aca="false">HYPERLINK("https://biocodex6--c.vf.force.com/0014L00000KG0cjQAD", "SAUVEGRAIN MASSIN ISABELLE")</f>
        <v>SAUVEGRAIN MASSIN ISABELLE</v>
      </c>
      <c r="AD1900" s="38" t="str">
        <f aca="false">HYPERLINK("https://annuairesante.ameli.fr/professionnels-de-sante/recherche/fiche-detaillee-B7c1kTAzNjG1.html", "SAUVEGRAIN MASSIN ISABELLE")</f>
        <v>SAUVEGRAIN MASSIN ISABELLE</v>
      </c>
      <c r="AE1900" s="39"/>
      <c r="AF1900" s="40"/>
      <c r="AG1900" s="41"/>
      <c r="AH1900" s="32"/>
      <c r="AI1900" s="32"/>
      <c r="AL1900" s="32"/>
      <c r="AM1900" s="32"/>
      <c r="AN1900" s="32"/>
      <c r="AO1900" s="32"/>
      <c r="AP1900" s="32"/>
      <c r="AQ1900" s="32"/>
      <c r="AR1900" s="32"/>
      <c r="AS1900" s="32"/>
      <c r="AT1900" s="32"/>
      <c r="AU1900" s="32"/>
      <c r="XEY1900" s="27"/>
      <c r="XEZ1900" s="27"/>
      <c r="XFA1900" s="27"/>
      <c r="XFB1900" s="27"/>
      <c r="XFC1900" s="27"/>
      <c r="XFD1900" s="27"/>
    </row>
    <row r="1901" s="42" customFormat="true" ht="14.15" hidden="false" customHeight="true" outlineLevel="0" collapsed="false">
      <c r="A1901" s="28" t="s">
        <v>10373</v>
      </c>
      <c r="B1901" s="29" t="s">
        <v>117</v>
      </c>
      <c r="C1901" s="29" t="s">
        <v>10374</v>
      </c>
      <c r="D1901" s="30" t="s">
        <v>50</v>
      </c>
      <c r="E1901" s="30" t="s">
        <v>421</v>
      </c>
      <c r="F1901" s="32" t="n">
        <v>71</v>
      </c>
      <c r="G1901" s="31" t="s">
        <v>345</v>
      </c>
      <c r="H1901" s="31" t="n">
        <v>1</v>
      </c>
      <c r="I1901" s="31" t="s">
        <v>119</v>
      </c>
      <c r="J1901" s="29"/>
      <c r="K1901" s="29" t="s">
        <v>10375</v>
      </c>
      <c r="L1901" s="32" t="n">
        <v>11</v>
      </c>
      <c r="M1901" s="33" t="s">
        <v>10369</v>
      </c>
      <c r="N1901" s="34" t="n">
        <v>75007</v>
      </c>
      <c r="O1901" s="35" t="s">
        <v>55</v>
      </c>
      <c r="P1901" s="36" t="s">
        <v>10376</v>
      </c>
      <c r="Q1901" s="36" t="n">
        <v>1</v>
      </c>
      <c r="R1901" s="32" t="n">
        <v>321</v>
      </c>
      <c r="S1901" s="32" t="n">
        <v>0</v>
      </c>
      <c r="T1901" s="32"/>
      <c r="U1901" s="32"/>
      <c r="V1901" s="37"/>
      <c r="W1901" s="32"/>
      <c r="X1901" s="34"/>
      <c r="Y1901" s="34"/>
      <c r="Z1901" s="32"/>
      <c r="AA1901" s="32" t="s">
        <v>10377</v>
      </c>
      <c r="AB1901" s="32" t="s">
        <v>10378</v>
      </c>
      <c r="AC1901" s="38" t="str">
        <f aca="false">HYPERLINK("https://biocodex6--c.vf.force.com/0014L00000KFrv4QAD", "PAULIN DOMINIQUE")</f>
        <v>PAULIN DOMINIQUE</v>
      </c>
      <c r="AD1901" s="38" t="str">
        <f aca="false">HYPERLINK("https://annuairesante.ameli.fr/professionnels-de-sante/recherche/fiche-detaillee-B7c1lDIwNDW1.html", "PAULIN DOMINIQUE")</f>
        <v>PAULIN DOMINIQUE</v>
      </c>
      <c r="AE1901" s="39"/>
      <c r="AF1901" s="40"/>
      <c r="AG1901" s="41"/>
      <c r="AH1901" s="32"/>
      <c r="AI1901" s="32"/>
      <c r="AL1901" s="32"/>
      <c r="AM1901" s="32"/>
      <c r="AN1901" s="32"/>
      <c r="AO1901" s="32"/>
      <c r="AP1901" s="32"/>
      <c r="AQ1901" s="32"/>
      <c r="AR1901" s="32"/>
      <c r="AS1901" s="32"/>
      <c r="AT1901" s="32"/>
      <c r="AU1901" s="32"/>
      <c r="XEY1901" s="27"/>
      <c r="XEZ1901" s="27"/>
      <c r="XFA1901" s="27"/>
      <c r="XFB1901" s="27"/>
      <c r="XFC1901" s="27"/>
      <c r="XFD1901" s="27"/>
    </row>
    <row r="1902" s="42" customFormat="true" ht="14.15" hidden="false" customHeight="true" outlineLevel="0" collapsed="false">
      <c r="A1902" s="28" t="s">
        <v>4799</v>
      </c>
      <c r="B1902" s="29" t="s">
        <v>429</v>
      </c>
      <c r="C1902" s="29" t="s">
        <v>10379</v>
      </c>
      <c r="D1902" s="30" t="s">
        <v>50</v>
      </c>
      <c r="E1902" s="31"/>
      <c r="F1902" s="32" t="n">
        <v>62</v>
      </c>
      <c r="G1902" s="31" t="s">
        <v>215</v>
      </c>
      <c r="H1902" s="31" t="n">
        <v>1</v>
      </c>
      <c r="I1902" s="31" t="s">
        <v>572</v>
      </c>
      <c r="J1902" s="29"/>
      <c r="K1902" s="29" t="s">
        <v>4685</v>
      </c>
      <c r="L1902" s="32" t="n">
        <v>35</v>
      </c>
      <c r="M1902" s="33" t="s">
        <v>4686</v>
      </c>
      <c r="N1902" s="34" t="n">
        <v>75008</v>
      </c>
      <c r="O1902" s="35" t="s">
        <v>55</v>
      </c>
      <c r="P1902" s="36" t="s">
        <v>10380</v>
      </c>
      <c r="Q1902" s="36" t="n">
        <v>2</v>
      </c>
      <c r="R1902" s="32" t="n">
        <v>310</v>
      </c>
      <c r="S1902" s="32" t="n">
        <v>0</v>
      </c>
      <c r="T1902" s="32"/>
      <c r="U1902" s="32"/>
      <c r="V1902" s="37"/>
      <c r="W1902" s="32"/>
      <c r="X1902" s="34"/>
      <c r="Y1902" s="34"/>
      <c r="Z1902" s="32"/>
      <c r="AA1902" s="32" t="s">
        <v>10381</v>
      </c>
      <c r="AB1902" s="32" t="s">
        <v>10382</v>
      </c>
      <c r="AC1902" s="38" t="str">
        <f aca="false">HYPERLINK("https://biocodex6--c.vf.force.com/0014L00000KFTDhQAP", "BESSE GUILLAUME")</f>
        <v>BESSE GUILLAUME</v>
      </c>
      <c r="AD1902" s="38" t="str">
        <f aca="false">HYPERLINK("https://annuairesante.ameli.fr/professionnels-de-sante/recherche/fiche-detaillee-B7c1lzE2MjW3.html", "BESSE GUILLAUME")</f>
        <v>BESSE GUILLAUME</v>
      </c>
      <c r="AE1902" s="39"/>
      <c r="AF1902" s="40"/>
      <c r="AG1902" s="41"/>
      <c r="AH1902" s="32"/>
      <c r="AI1902" s="32"/>
      <c r="AL1902" s="32"/>
      <c r="AM1902" s="32"/>
      <c r="AN1902" s="32"/>
      <c r="AO1902" s="32"/>
      <c r="AP1902" s="32"/>
      <c r="AQ1902" s="32"/>
      <c r="AR1902" s="32"/>
      <c r="AS1902" s="32"/>
      <c r="AT1902" s="32"/>
      <c r="AU1902" s="32"/>
      <c r="XEY1902" s="27"/>
      <c r="XEZ1902" s="27"/>
      <c r="XFA1902" s="27"/>
      <c r="XFB1902" s="27"/>
      <c r="XFC1902" s="27"/>
      <c r="XFD1902" s="27"/>
    </row>
    <row r="1903" s="42" customFormat="true" ht="14.15" hidden="false" customHeight="true" outlineLevel="0" collapsed="false">
      <c r="A1903" s="28" t="s">
        <v>10383</v>
      </c>
      <c r="B1903" s="29" t="s">
        <v>3447</v>
      </c>
      <c r="C1903" s="29" t="s">
        <v>10384</v>
      </c>
      <c r="D1903" s="30" t="s">
        <v>50</v>
      </c>
      <c r="E1903" s="30" t="s">
        <v>978</v>
      </c>
      <c r="F1903" s="32" t="n">
        <v>74</v>
      </c>
      <c r="G1903" s="31" t="s">
        <v>98</v>
      </c>
      <c r="H1903" s="31" t="n">
        <v>1</v>
      </c>
      <c r="I1903" s="31" t="s">
        <v>435</v>
      </c>
      <c r="J1903" s="29"/>
      <c r="K1903" s="29" t="s">
        <v>6088</v>
      </c>
      <c r="L1903" s="32" t="n">
        <v>17</v>
      </c>
      <c r="M1903" s="33" t="s">
        <v>1340</v>
      </c>
      <c r="N1903" s="34" t="n">
        <v>75016</v>
      </c>
      <c r="O1903" s="35" t="s">
        <v>55</v>
      </c>
      <c r="P1903" s="36" t="s">
        <v>10385</v>
      </c>
      <c r="Q1903" s="36" t="n">
        <v>3</v>
      </c>
      <c r="R1903" s="32" t="n">
        <v>299</v>
      </c>
      <c r="S1903" s="32" t="n">
        <v>0</v>
      </c>
      <c r="T1903" s="32"/>
      <c r="U1903" s="32"/>
      <c r="V1903" s="37"/>
      <c r="W1903" s="32"/>
      <c r="X1903" s="34"/>
      <c r="Y1903" s="34"/>
      <c r="Z1903" s="32"/>
      <c r="AA1903" s="32" t="s">
        <v>10386</v>
      </c>
      <c r="AB1903" s="32" t="s">
        <v>10387</v>
      </c>
      <c r="AC1903" s="38" t="str">
        <f aca="false">HYPERLINK("https://biocodex6--c.vf.force.com/0014L00000KFrJrQAL", "MENAHEM GUY")</f>
        <v>MENAHEM GUY</v>
      </c>
      <c r="AD1903" s="38" t="str">
        <f aca="false">HYPERLINK("https://annuairesante.ameli.fr/professionnels-de-sante/recherche/fiche-detaillee-B7c1lTM4MDu1.html", "MENAHEM GUY")</f>
        <v>MENAHEM GUY</v>
      </c>
      <c r="AE1903" s="39"/>
      <c r="AF1903" s="40"/>
      <c r="AG1903" s="41"/>
      <c r="AH1903" s="32"/>
      <c r="AI1903" s="32"/>
      <c r="AL1903" s="32"/>
      <c r="AM1903" s="32"/>
      <c r="AN1903" s="32"/>
      <c r="AO1903" s="32"/>
      <c r="AP1903" s="32"/>
      <c r="AQ1903" s="32"/>
      <c r="AR1903" s="32"/>
      <c r="AS1903" s="32"/>
      <c r="AT1903" s="32"/>
      <c r="AU1903" s="32"/>
      <c r="XEY1903" s="27"/>
      <c r="XEZ1903" s="27"/>
      <c r="XFA1903" s="27"/>
      <c r="XFB1903" s="27"/>
      <c r="XFC1903" s="27"/>
      <c r="XFD1903" s="27"/>
    </row>
    <row r="1904" s="42" customFormat="true" ht="14.15" hidden="false" customHeight="true" outlineLevel="0" collapsed="false">
      <c r="A1904" s="28" t="s">
        <v>10388</v>
      </c>
      <c r="B1904" s="29" t="s">
        <v>3570</v>
      </c>
      <c r="C1904" s="29" t="s">
        <v>10389</v>
      </c>
      <c r="D1904" s="30" t="s">
        <v>50</v>
      </c>
      <c r="E1904" s="30" t="s">
        <v>421</v>
      </c>
      <c r="F1904" s="32" t="n">
        <v>75</v>
      </c>
      <c r="G1904" s="31"/>
      <c r="H1904" s="31" t="n">
        <v>1</v>
      </c>
      <c r="I1904" s="31" t="s">
        <v>119</v>
      </c>
      <c r="J1904" s="29"/>
      <c r="K1904" s="29" t="s">
        <v>10347</v>
      </c>
      <c r="L1904" s="32" t="n">
        <v>5</v>
      </c>
      <c r="M1904" s="33" t="s">
        <v>10348</v>
      </c>
      <c r="N1904" s="34" t="n">
        <v>75007</v>
      </c>
      <c r="O1904" s="35" t="s">
        <v>55</v>
      </c>
      <c r="P1904" s="36" t="s">
        <v>10349</v>
      </c>
      <c r="Q1904" s="36" t="n">
        <v>2</v>
      </c>
      <c r="R1904" s="32" t="n">
        <v>284</v>
      </c>
      <c r="S1904" s="32" t="n">
        <v>0</v>
      </c>
      <c r="T1904" s="32"/>
      <c r="U1904" s="32"/>
      <c r="V1904" s="37"/>
      <c r="W1904" s="32"/>
      <c r="X1904" s="34"/>
      <c r="Y1904" s="34"/>
      <c r="Z1904" s="32"/>
      <c r="AA1904" s="32" t="s">
        <v>10390</v>
      </c>
      <c r="AB1904" s="32"/>
      <c r="AC1904" s="38" t="str">
        <f aca="false">HYPERLINK("https://biocodex6--c.vf.force.com/0014L00000KFVDKQA5", "CAHANE AKNIN MARIE CLAUDE")</f>
        <v>CAHANE AKNIN MARIE CLAUDE</v>
      </c>
      <c r="AD1904" s="38"/>
      <c r="AE1904" s="39"/>
      <c r="AF1904" s="40"/>
      <c r="AG1904" s="41"/>
      <c r="AH1904" s="32"/>
      <c r="AI1904" s="32"/>
      <c r="AL1904" s="32"/>
      <c r="AM1904" s="32"/>
      <c r="AN1904" s="32"/>
      <c r="AO1904" s="32"/>
      <c r="AP1904" s="32"/>
      <c r="AQ1904" s="32"/>
      <c r="AR1904" s="32"/>
      <c r="AS1904" s="32"/>
      <c r="AT1904" s="32"/>
      <c r="AU1904" s="32"/>
      <c r="XEY1904" s="27"/>
      <c r="XEZ1904" s="27"/>
      <c r="XFA1904" s="27"/>
      <c r="XFB1904" s="27"/>
      <c r="XFC1904" s="27"/>
      <c r="XFD1904" s="27"/>
    </row>
    <row r="1905" s="42" customFormat="true" ht="14.15" hidden="false" customHeight="true" outlineLevel="0" collapsed="false">
      <c r="A1905" s="28" t="s">
        <v>10391</v>
      </c>
      <c r="B1905" s="29" t="s">
        <v>10392</v>
      </c>
      <c r="C1905" s="29" t="s">
        <v>10393</v>
      </c>
      <c r="D1905" s="30" t="s">
        <v>50</v>
      </c>
      <c r="E1905" s="31"/>
      <c r="F1905" s="32" t="n">
        <v>61</v>
      </c>
      <c r="G1905" s="31"/>
      <c r="H1905" s="31" t="n">
        <v>2</v>
      </c>
      <c r="I1905" s="31" t="s">
        <v>51</v>
      </c>
      <c r="J1905" s="29" t="s">
        <v>850</v>
      </c>
      <c r="K1905" s="29" t="s">
        <v>851</v>
      </c>
      <c r="L1905" s="32" t="n">
        <v>178</v>
      </c>
      <c r="M1905" s="33" t="s">
        <v>852</v>
      </c>
      <c r="N1905" s="34" t="n">
        <v>75015</v>
      </c>
      <c r="O1905" s="35" t="s">
        <v>55</v>
      </c>
      <c r="P1905" s="36" t="s">
        <v>10394</v>
      </c>
      <c r="Q1905" s="36" t="n">
        <v>24</v>
      </c>
      <c r="R1905" s="32" t="n">
        <v>268</v>
      </c>
      <c r="S1905" s="32" t="n">
        <v>0</v>
      </c>
      <c r="T1905" s="32"/>
      <c r="U1905" s="32"/>
      <c r="V1905" s="37"/>
      <c r="W1905" s="32"/>
      <c r="X1905" s="34"/>
      <c r="Y1905" s="34"/>
      <c r="Z1905" s="32"/>
      <c r="AA1905" s="32" t="s">
        <v>10395</v>
      </c>
      <c r="AB1905" s="32"/>
      <c r="AC1905" s="38" t="str">
        <f aca="false">HYPERLINK("https://biocodex6--c.vf.force.com/0014L00000KFrGJQA1", "MEBAZAA HARETH")</f>
        <v>MEBAZAA HARETH</v>
      </c>
      <c r="AD1905" s="38"/>
      <c r="AE1905" s="39"/>
      <c r="AF1905" s="40"/>
      <c r="AG1905" s="41"/>
      <c r="AH1905" s="32"/>
      <c r="AI1905" s="32"/>
      <c r="AL1905" s="32"/>
      <c r="AM1905" s="32"/>
      <c r="AN1905" s="32"/>
      <c r="AO1905" s="32"/>
      <c r="AP1905" s="32"/>
      <c r="AQ1905" s="32"/>
      <c r="AR1905" s="32"/>
      <c r="AS1905" s="32"/>
      <c r="AT1905" s="32"/>
      <c r="AU1905" s="32"/>
      <c r="XEY1905" s="27"/>
      <c r="XEZ1905" s="27"/>
      <c r="XFA1905" s="27"/>
      <c r="XFB1905" s="27"/>
      <c r="XFC1905" s="27"/>
      <c r="XFD1905" s="27"/>
    </row>
    <row r="1906" s="42" customFormat="true" ht="14.15" hidden="false" customHeight="true" outlineLevel="0" collapsed="false">
      <c r="A1906" s="28" t="s">
        <v>10396</v>
      </c>
      <c r="B1906" s="29" t="s">
        <v>117</v>
      </c>
      <c r="C1906" s="29" t="s">
        <v>10397</v>
      </c>
      <c r="D1906" s="30" t="s">
        <v>50</v>
      </c>
      <c r="E1906" s="31"/>
      <c r="F1906" s="32" t="n">
        <v>65</v>
      </c>
      <c r="G1906" s="31"/>
      <c r="H1906" s="31" t="n">
        <v>1</v>
      </c>
      <c r="I1906" s="31" t="s">
        <v>62</v>
      </c>
      <c r="J1906" s="29"/>
      <c r="K1906" s="29" t="s">
        <v>10398</v>
      </c>
      <c r="L1906" s="32" t="n">
        <v>2</v>
      </c>
      <c r="M1906" s="33" t="s">
        <v>5007</v>
      </c>
      <c r="N1906" s="34" t="n">
        <v>75017</v>
      </c>
      <c r="O1906" s="35" t="s">
        <v>55</v>
      </c>
      <c r="P1906" s="36" t="s">
        <v>10399</v>
      </c>
      <c r="Q1906" s="36" t="n">
        <v>1</v>
      </c>
      <c r="R1906" s="32" t="n">
        <v>258</v>
      </c>
      <c r="S1906" s="32" t="n">
        <v>0</v>
      </c>
      <c r="T1906" s="32"/>
      <c r="U1906" s="32"/>
      <c r="V1906" s="37"/>
      <c r="W1906" s="32"/>
      <c r="X1906" s="34"/>
      <c r="Y1906" s="34"/>
      <c r="Z1906" s="32"/>
      <c r="AA1906" s="32" t="s">
        <v>10400</v>
      </c>
      <c r="AB1906" s="32"/>
      <c r="AC1906" s="38" t="str">
        <f aca="false">HYPERLINK("https://biocodex6--c.vf.force.com/0014L00000KFc1FQAT", "DUPAGNE DOMINIQUE")</f>
        <v>DUPAGNE DOMINIQUE</v>
      </c>
      <c r="AD1906" s="38"/>
      <c r="AE1906" s="39"/>
      <c r="AF1906" s="40"/>
      <c r="AG1906" s="41"/>
      <c r="AH1906" s="32"/>
      <c r="AI1906" s="32"/>
      <c r="AL1906" s="32"/>
      <c r="AM1906" s="32"/>
      <c r="AN1906" s="32"/>
      <c r="AO1906" s="32"/>
      <c r="AP1906" s="32"/>
      <c r="AQ1906" s="32"/>
      <c r="AR1906" s="32"/>
      <c r="AS1906" s="32"/>
      <c r="AT1906" s="32"/>
      <c r="AU1906" s="32"/>
      <c r="XEY1906" s="27"/>
      <c r="XEZ1906" s="27"/>
      <c r="XFA1906" s="27"/>
      <c r="XFB1906" s="27"/>
      <c r="XFC1906" s="27"/>
      <c r="XFD1906" s="27"/>
    </row>
    <row r="1907" s="42" customFormat="true" ht="14.15" hidden="false" customHeight="true" outlineLevel="0" collapsed="false">
      <c r="A1907" s="28" t="s">
        <v>10401</v>
      </c>
      <c r="B1907" s="29" t="s">
        <v>195</v>
      </c>
      <c r="C1907" s="29" t="s">
        <v>10402</v>
      </c>
      <c r="D1907" s="30" t="s">
        <v>50</v>
      </c>
      <c r="E1907" s="31"/>
      <c r="F1907" s="32" t="n">
        <v>0</v>
      </c>
      <c r="G1907" s="31"/>
      <c r="H1907" s="31" t="n">
        <v>1</v>
      </c>
      <c r="I1907" s="31" t="s">
        <v>119</v>
      </c>
      <c r="J1907" s="29"/>
      <c r="K1907" s="29" t="s">
        <v>10403</v>
      </c>
      <c r="L1907" s="32" t="n">
        <v>11</v>
      </c>
      <c r="M1907" s="33" t="s">
        <v>10404</v>
      </c>
      <c r="N1907" s="34" t="n">
        <v>75007</v>
      </c>
      <c r="O1907" s="35" t="s">
        <v>55</v>
      </c>
      <c r="P1907" s="36"/>
      <c r="Q1907" s="36" t="n">
        <v>1</v>
      </c>
      <c r="R1907" s="32" t="n">
        <v>244</v>
      </c>
      <c r="S1907" s="32" t="n">
        <v>0</v>
      </c>
      <c r="T1907" s="32"/>
      <c r="U1907" s="32"/>
      <c r="V1907" s="37"/>
      <c r="W1907" s="32"/>
      <c r="X1907" s="34"/>
      <c r="Y1907" s="34"/>
      <c r="Z1907" s="32"/>
      <c r="AA1907" s="32" t="s">
        <v>10405</v>
      </c>
      <c r="AB1907" s="32"/>
      <c r="AC1907" s="38" t="str">
        <f aca="false">HYPERLINK("https://biocodex6--c.vf.force.com/0014L00000KG7r3QAD", "VAUTHRIN PHILIPPE")</f>
        <v>VAUTHRIN PHILIPPE</v>
      </c>
      <c r="AD1907" s="38"/>
      <c r="AE1907" s="39"/>
      <c r="AF1907" s="40"/>
      <c r="AG1907" s="41"/>
      <c r="AH1907" s="32"/>
      <c r="AI1907" s="32"/>
      <c r="AL1907" s="32"/>
      <c r="AM1907" s="32"/>
      <c r="AN1907" s="32"/>
      <c r="AO1907" s="32"/>
      <c r="AP1907" s="32"/>
      <c r="AQ1907" s="32"/>
      <c r="AR1907" s="32"/>
      <c r="AS1907" s="32"/>
      <c r="AT1907" s="32"/>
      <c r="AU1907" s="32"/>
      <c r="XEY1907" s="27"/>
      <c r="XEZ1907" s="27"/>
      <c r="XFA1907" s="27"/>
      <c r="XFB1907" s="27"/>
      <c r="XFC1907" s="27"/>
      <c r="XFD1907" s="27"/>
    </row>
    <row r="1908" s="42" customFormat="true" ht="14.15" hidden="false" customHeight="true" outlineLevel="0" collapsed="false">
      <c r="A1908" s="28" t="s">
        <v>10406</v>
      </c>
      <c r="B1908" s="29" t="s">
        <v>10407</v>
      </c>
      <c r="C1908" s="29" t="s">
        <v>10408</v>
      </c>
      <c r="D1908" s="30" t="s">
        <v>268</v>
      </c>
      <c r="E1908" s="31"/>
      <c r="F1908" s="32" t="n">
        <v>45</v>
      </c>
      <c r="G1908" s="31" t="s">
        <v>215</v>
      </c>
      <c r="H1908" s="31" t="n">
        <v>3</v>
      </c>
      <c r="I1908" s="31" t="s">
        <v>435</v>
      </c>
      <c r="J1908" s="29"/>
      <c r="K1908" s="29" t="s">
        <v>10409</v>
      </c>
      <c r="L1908" s="32" t="n">
        <v>74</v>
      </c>
      <c r="M1908" s="33" t="s">
        <v>2100</v>
      </c>
      <c r="N1908" s="34" t="n">
        <v>75016</v>
      </c>
      <c r="O1908" s="35" t="s">
        <v>55</v>
      </c>
      <c r="P1908" s="50"/>
      <c r="Q1908" s="36" t="n">
        <v>2</v>
      </c>
      <c r="R1908" s="32" t="n">
        <v>243</v>
      </c>
      <c r="S1908" s="32" t="n">
        <v>0</v>
      </c>
      <c r="T1908" s="32"/>
      <c r="U1908" s="32"/>
      <c r="V1908" s="37"/>
      <c r="W1908" s="32"/>
      <c r="X1908" s="34"/>
      <c r="Y1908" s="34"/>
      <c r="Z1908" s="32"/>
      <c r="AA1908" s="32" t="s">
        <v>10410</v>
      </c>
      <c r="AB1908" s="32" t="s">
        <v>10411</v>
      </c>
      <c r="AC1908" s="38" t="str">
        <f aca="false">HYPERLINK("https://biocodex6--c.vf.force.com/0014L00000KFpr4QAD", "MELIKSETYAN GAYANE")</f>
        <v>MELIKSETYAN GAYANE</v>
      </c>
      <c r="AD1908" s="38" t="str">
        <f aca="false">HYPERLINK("https://annuairesante.ameli.fr/professionnels-de-sante/recherche/fiche-detaillee-B7c1mzcwMzC6.html", "MELIKSETYAN GAYANE")</f>
        <v>MELIKSETYAN GAYANE</v>
      </c>
      <c r="AE1908" s="39"/>
      <c r="AF1908" s="40"/>
      <c r="AG1908" s="41"/>
      <c r="AH1908" s="32"/>
      <c r="AI1908" s="32"/>
      <c r="AL1908" s="43" t="s">
        <v>657</v>
      </c>
      <c r="AM1908" s="43" t="s">
        <v>137</v>
      </c>
      <c r="AN1908" s="32"/>
      <c r="AO1908" s="32"/>
      <c r="AP1908" s="43" t="s">
        <v>657</v>
      </c>
      <c r="AQ1908" s="43" t="s">
        <v>137</v>
      </c>
      <c r="AR1908" s="43" t="s">
        <v>657</v>
      </c>
      <c r="AS1908" s="43" t="s">
        <v>137</v>
      </c>
      <c r="AT1908" s="32"/>
      <c r="AU1908" s="32"/>
      <c r="XEY1908" s="27"/>
      <c r="XEZ1908" s="27"/>
      <c r="XFA1908" s="27"/>
      <c r="XFB1908" s="27"/>
      <c r="XFC1908" s="27"/>
      <c r="XFD1908" s="27"/>
    </row>
    <row r="1909" s="42" customFormat="true" ht="14.15" hidden="false" customHeight="true" outlineLevel="0" collapsed="false">
      <c r="A1909" s="28" t="s">
        <v>10412</v>
      </c>
      <c r="B1909" s="29" t="s">
        <v>1166</v>
      </c>
      <c r="C1909" s="29" t="s">
        <v>10413</v>
      </c>
      <c r="D1909" s="30" t="s">
        <v>50</v>
      </c>
      <c r="E1909" s="30" t="s">
        <v>796</v>
      </c>
      <c r="F1909" s="32" t="n">
        <v>65</v>
      </c>
      <c r="G1909" s="31" t="s">
        <v>61</v>
      </c>
      <c r="H1909" s="31" t="n">
        <v>1</v>
      </c>
      <c r="I1909" s="31" t="s">
        <v>62</v>
      </c>
      <c r="J1909" s="29"/>
      <c r="K1909" s="29" t="s">
        <v>10218</v>
      </c>
      <c r="L1909" s="32" t="n">
        <v>5</v>
      </c>
      <c r="M1909" s="33" t="s">
        <v>4299</v>
      </c>
      <c r="N1909" s="34" t="n">
        <v>75017</v>
      </c>
      <c r="O1909" s="35" t="s">
        <v>55</v>
      </c>
      <c r="P1909" s="36" t="s">
        <v>10219</v>
      </c>
      <c r="Q1909" s="36" t="n">
        <v>2</v>
      </c>
      <c r="R1909" s="32" t="n">
        <v>240</v>
      </c>
      <c r="S1909" s="32" t="n">
        <v>0</v>
      </c>
      <c r="T1909" s="32"/>
      <c r="U1909" s="32"/>
      <c r="V1909" s="37"/>
      <c r="W1909" s="32"/>
      <c r="X1909" s="34"/>
      <c r="Y1909" s="34"/>
      <c r="Z1909" s="32"/>
      <c r="AA1909" s="32" t="s">
        <v>10414</v>
      </c>
      <c r="AB1909" s="32" t="s">
        <v>10415</v>
      </c>
      <c r="AC1909" s="38" t="str">
        <f aca="false">HYPERLINK("https://biocodex6--c.vf.force.com/0014L00000KFRqIQAX", "BARUCH DAN")</f>
        <v>BARUCH DAN</v>
      </c>
      <c r="AD1909" s="38" t="str">
        <f aca="false">HYPERLINK("https://annuairesante.ameli.fr/professionnels-de-sante/recherche/fiche-detaillee-B7c1ljc2NTWx.html", "BARUCH DAN")</f>
        <v>BARUCH DAN</v>
      </c>
      <c r="AE1909" s="39"/>
      <c r="AF1909" s="40"/>
      <c r="AG1909" s="41"/>
      <c r="AH1909" s="32"/>
      <c r="AI1909" s="32"/>
      <c r="AL1909" s="43" t="s">
        <v>10416</v>
      </c>
      <c r="AM1909" s="43" t="s">
        <v>2464</v>
      </c>
      <c r="AN1909" s="43" t="s">
        <v>10416</v>
      </c>
      <c r="AO1909" s="43" t="s">
        <v>2464</v>
      </c>
      <c r="AP1909" s="43" t="s">
        <v>10416</v>
      </c>
      <c r="AQ1909" s="43" t="s">
        <v>2464</v>
      </c>
      <c r="AR1909" s="32"/>
      <c r="AS1909" s="32"/>
      <c r="AT1909" s="43" t="s">
        <v>10417</v>
      </c>
      <c r="AU1909" s="43" t="s">
        <v>10418</v>
      </c>
      <c r="XEY1909" s="27"/>
      <c r="XEZ1909" s="27"/>
      <c r="XFA1909" s="27"/>
      <c r="XFB1909" s="27"/>
      <c r="XFC1909" s="27"/>
      <c r="XFD1909" s="27"/>
    </row>
    <row r="1910" s="42" customFormat="true" ht="14.15" hidden="false" customHeight="true" outlineLevel="0" collapsed="false">
      <c r="A1910" s="28" t="s">
        <v>10419</v>
      </c>
      <c r="B1910" s="29" t="s">
        <v>10420</v>
      </c>
      <c r="C1910" s="29" t="s">
        <v>10421</v>
      </c>
      <c r="D1910" s="30" t="s">
        <v>50</v>
      </c>
      <c r="E1910" s="31"/>
      <c r="F1910" s="32" t="n">
        <v>77</v>
      </c>
      <c r="G1910" s="31" t="s">
        <v>345</v>
      </c>
      <c r="H1910" s="31" t="n">
        <v>1</v>
      </c>
      <c r="I1910" s="31" t="s">
        <v>62</v>
      </c>
      <c r="J1910" s="29"/>
      <c r="K1910" s="29" t="s">
        <v>10422</v>
      </c>
      <c r="L1910" s="32" t="n">
        <v>38</v>
      </c>
      <c r="M1910" s="33" t="s">
        <v>730</v>
      </c>
      <c r="N1910" s="34" t="n">
        <v>75017</v>
      </c>
      <c r="O1910" s="35" t="s">
        <v>55</v>
      </c>
      <c r="P1910" s="36" t="s">
        <v>10423</v>
      </c>
      <c r="Q1910" s="36" t="n">
        <v>1</v>
      </c>
      <c r="R1910" s="32" t="n">
        <v>237</v>
      </c>
      <c r="S1910" s="32" t="n">
        <v>0</v>
      </c>
      <c r="T1910" s="32"/>
      <c r="U1910" s="32"/>
      <c r="V1910" s="37"/>
      <c r="W1910" s="32"/>
      <c r="X1910" s="34"/>
      <c r="Y1910" s="34"/>
      <c r="Z1910" s="32"/>
      <c r="AA1910" s="32" t="s">
        <v>10424</v>
      </c>
      <c r="AB1910" s="32" t="s">
        <v>10425</v>
      </c>
      <c r="AC1910" s="38" t="str">
        <f aca="false">HYPERLINK("https://biocodex6--c.vf.force.com/0014L00000KFaFdQAL", "DENISTY MICHEL PATRICK")</f>
        <v>DENISTY MICHEL PATRICK</v>
      </c>
      <c r="AD1910" s="38" t="str">
        <f aca="false">HYPERLINK("https://annuairesante.ameli.fr/professionnels-de-sante/recherche/fiche-detaillee-B7c1kTMzODa2.html", "DENISTY MICHEL PATRICK")</f>
        <v>DENISTY MICHEL PATRICK</v>
      </c>
      <c r="AE1910" s="39"/>
      <c r="AF1910" s="40"/>
      <c r="AG1910" s="41"/>
      <c r="AH1910" s="32"/>
      <c r="AI1910" s="32"/>
      <c r="AL1910" s="32"/>
      <c r="AM1910" s="32"/>
      <c r="AN1910" s="32"/>
      <c r="AO1910" s="32"/>
      <c r="AP1910" s="32"/>
      <c r="AQ1910" s="32"/>
      <c r="AR1910" s="32"/>
      <c r="AS1910" s="32"/>
      <c r="AT1910" s="32"/>
      <c r="AU1910" s="32"/>
      <c r="XEY1910" s="27"/>
      <c r="XEZ1910" s="27"/>
      <c r="XFA1910" s="27"/>
      <c r="XFB1910" s="27"/>
      <c r="XFC1910" s="27"/>
      <c r="XFD1910" s="27"/>
    </row>
    <row r="1911" s="42" customFormat="true" ht="14.15" hidden="false" customHeight="true" outlineLevel="0" collapsed="false">
      <c r="A1911" s="28" t="s">
        <v>10426</v>
      </c>
      <c r="B1911" s="29" t="s">
        <v>332</v>
      </c>
      <c r="C1911" s="29" t="s">
        <v>10427</v>
      </c>
      <c r="D1911" s="30" t="s">
        <v>50</v>
      </c>
      <c r="E1911" s="30" t="s">
        <v>386</v>
      </c>
      <c r="F1911" s="32" t="n">
        <v>65</v>
      </c>
      <c r="G1911" s="31" t="s">
        <v>345</v>
      </c>
      <c r="H1911" s="31" t="n">
        <v>1</v>
      </c>
      <c r="I1911" s="31" t="s">
        <v>572</v>
      </c>
      <c r="J1911" s="29"/>
      <c r="K1911" s="29" t="s">
        <v>10428</v>
      </c>
      <c r="L1911" s="32" t="n">
        <v>60</v>
      </c>
      <c r="M1911" s="33" t="s">
        <v>1379</v>
      </c>
      <c r="N1911" s="34" t="n">
        <v>75008</v>
      </c>
      <c r="O1911" s="35" t="s">
        <v>55</v>
      </c>
      <c r="P1911" s="36" t="s">
        <v>10429</v>
      </c>
      <c r="Q1911" s="36" t="n">
        <v>1</v>
      </c>
      <c r="R1911" s="32" t="n">
        <v>236</v>
      </c>
      <c r="S1911" s="32" t="n">
        <v>0</v>
      </c>
      <c r="T1911" s="32"/>
      <c r="U1911" s="32"/>
      <c r="V1911" s="37"/>
      <c r="W1911" s="32"/>
      <c r="X1911" s="34"/>
      <c r="Y1911" s="34"/>
      <c r="Z1911" s="32"/>
      <c r="AA1911" s="32" t="s">
        <v>10430</v>
      </c>
      <c r="AB1911" s="32" t="s">
        <v>10431</v>
      </c>
      <c r="AC1911" s="38" t="str">
        <f aca="false">HYPERLINK("https://biocodex6--c.vf.force.com/0014L00000KG5EQQA1", "VERMES CATHERINE")</f>
        <v>VERMES CATHERINE</v>
      </c>
      <c r="AD1911" s="38" t="str">
        <f aca="false">HYPERLINK("https://annuairesante.ameli.fr/professionnels-de-sante/recherche/fiche-detaillee-B7c1lDE5OTaz.html", "VERMES CATHERINE")</f>
        <v>VERMES CATHERINE</v>
      </c>
      <c r="AE1911" s="39"/>
      <c r="AF1911" s="40"/>
      <c r="AG1911" s="41"/>
      <c r="AH1911" s="32"/>
      <c r="AI1911" s="32"/>
      <c r="AL1911" s="32"/>
      <c r="AM1911" s="32"/>
      <c r="AN1911" s="32"/>
      <c r="AO1911" s="32"/>
      <c r="AP1911" s="32"/>
      <c r="AQ1911" s="32"/>
      <c r="AR1911" s="32"/>
      <c r="AS1911" s="32"/>
      <c r="AT1911" s="32"/>
      <c r="AU1911" s="32"/>
      <c r="XEY1911" s="27"/>
      <c r="XEZ1911" s="27"/>
      <c r="XFA1911" s="27"/>
      <c r="XFB1911" s="27"/>
      <c r="XFC1911" s="27"/>
      <c r="XFD1911" s="27"/>
    </row>
    <row r="1912" s="42" customFormat="true" ht="14.15" hidden="false" customHeight="true" outlineLevel="0" collapsed="false">
      <c r="A1912" s="28" t="s">
        <v>2249</v>
      </c>
      <c r="B1912" s="29" t="s">
        <v>2081</v>
      </c>
      <c r="C1912" s="29" t="s">
        <v>10432</v>
      </c>
      <c r="D1912" s="30" t="s">
        <v>50</v>
      </c>
      <c r="E1912" s="31"/>
      <c r="F1912" s="32" t="n">
        <v>63</v>
      </c>
      <c r="G1912" s="31"/>
      <c r="H1912" s="31" t="n">
        <v>1</v>
      </c>
      <c r="I1912" s="31" t="s">
        <v>99</v>
      </c>
      <c r="J1912" s="29"/>
      <c r="K1912" s="29" t="s">
        <v>10433</v>
      </c>
      <c r="L1912" s="32" t="n">
        <v>89</v>
      </c>
      <c r="M1912" s="33" t="s">
        <v>5281</v>
      </c>
      <c r="N1912" s="34" t="n">
        <v>75015</v>
      </c>
      <c r="O1912" s="35" t="s">
        <v>55</v>
      </c>
      <c r="P1912" s="36" t="s">
        <v>10434</v>
      </c>
      <c r="Q1912" s="36" t="n">
        <v>1</v>
      </c>
      <c r="R1912" s="32" t="n">
        <v>236</v>
      </c>
      <c r="S1912" s="32" t="n">
        <v>0</v>
      </c>
      <c r="T1912" s="32"/>
      <c r="U1912" s="32"/>
      <c r="V1912" s="37"/>
      <c r="W1912" s="32"/>
      <c r="X1912" s="34"/>
      <c r="Y1912" s="34"/>
      <c r="Z1912" s="32"/>
      <c r="AA1912" s="32" t="s">
        <v>10435</v>
      </c>
      <c r="AB1912" s="32"/>
      <c r="AC1912" s="38" t="str">
        <f aca="false">HYPERLINK("https://biocodex6--c.vf.force.com/0014L00000KFQB1QAP", "EMILIE PATRICIA")</f>
        <v>EMILIE PATRICIA</v>
      </c>
      <c r="AD1912" s="38"/>
      <c r="AE1912" s="39"/>
      <c r="AF1912" s="40"/>
      <c r="AG1912" s="41"/>
      <c r="AH1912" s="32"/>
      <c r="AI1912" s="32"/>
      <c r="AL1912" s="32"/>
      <c r="AM1912" s="32"/>
      <c r="AN1912" s="32"/>
      <c r="AO1912" s="32"/>
      <c r="AP1912" s="32"/>
      <c r="AQ1912" s="32"/>
      <c r="AR1912" s="32"/>
      <c r="AS1912" s="32"/>
      <c r="AT1912" s="32"/>
      <c r="AU1912" s="32"/>
      <c r="XEY1912" s="27"/>
      <c r="XEZ1912" s="27"/>
      <c r="XFA1912" s="27"/>
      <c r="XFB1912" s="27"/>
      <c r="XFC1912" s="27"/>
      <c r="XFD1912" s="27"/>
    </row>
    <row r="1913" s="42" customFormat="true" ht="14.15" hidden="false" customHeight="true" outlineLevel="0" collapsed="false">
      <c r="A1913" s="28" t="s">
        <v>10436</v>
      </c>
      <c r="B1913" s="29" t="s">
        <v>2433</v>
      </c>
      <c r="C1913" s="29" t="s">
        <v>10437</v>
      </c>
      <c r="D1913" s="30" t="s">
        <v>50</v>
      </c>
      <c r="E1913" s="30" t="s">
        <v>10438</v>
      </c>
      <c r="F1913" s="32" t="n">
        <v>76</v>
      </c>
      <c r="G1913" s="31" t="s">
        <v>215</v>
      </c>
      <c r="H1913" s="31" t="n">
        <v>1</v>
      </c>
      <c r="I1913" s="31" t="s">
        <v>197</v>
      </c>
      <c r="J1913" s="29"/>
      <c r="K1913" s="29" t="s">
        <v>10439</v>
      </c>
      <c r="L1913" s="32" t="n">
        <v>22</v>
      </c>
      <c r="M1913" s="33" t="s">
        <v>10440</v>
      </c>
      <c r="N1913" s="34" t="n">
        <v>75017</v>
      </c>
      <c r="O1913" s="35" t="s">
        <v>55</v>
      </c>
      <c r="P1913" s="36" t="s">
        <v>10441</v>
      </c>
      <c r="Q1913" s="36" t="n">
        <v>1</v>
      </c>
      <c r="R1913" s="32" t="n">
        <v>234</v>
      </c>
      <c r="S1913" s="32" t="n">
        <v>0</v>
      </c>
      <c r="T1913" s="32"/>
      <c r="U1913" s="32"/>
      <c r="V1913" s="37"/>
      <c r="W1913" s="32"/>
      <c r="X1913" s="34"/>
      <c r="Y1913" s="34"/>
      <c r="Z1913" s="32"/>
      <c r="AA1913" s="32" t="s">
        <v>10442</v>
      </c>
      <c r="AB1913" s="32" t="s">
        <v>10443</v>
      </c>
      <c r="AC1913" s="38" t="str">
        <f aca="false">HYPERLINK("https://biocodex6--c.vf.force.com/0014L00000KFkA9QAL", "JOUANJEAN BERNARD")</f>
        <v>JOUANJEAN BERNARD</v>
      </c>
      <c r="AD1913" s="38" t="str">
        <f aca="false">HYPERLINK("https://annuairesante.ameli.fr/professionnels-de-sante/recherche/fiche-detaillee-B7c1ljcwMzKx.html", "JOUANJEAN BERNARD")</f>
        <v>JOUANJEAN BERNARD</v>
      </c>
      <c r="AE1913" s="39"/>
      <c r="AF1913" s="40"/>
      <c r="AG1913" s="41"/>
      <c r="AH1913" s="32"/>
      <c r="AI1913" s="32"/>
      <c r="AL1913" s="32"/>
      <c r="AM1913" s="32"/>
      <c r="AN1913" s="32"/>
      <c r="AO1913" s="32"/>
      <c r="AP1913" s="32"/>
      <c r="AQ1913" s="32"/>
      <c r="AR1913" s="32"/>
      <c r="AS1913" s="32"/>
      <c r="AT1913" s="32"/>
      <c r="AU1913" s="32"/>
      <c r="XEY1913" s="27"/>
      <c r="XEZ1913" s="27"/>
      <c r="XFA1913" s="27"/>
      <c r="XFB1913" s="27"/>
      <c r="XFC1913" s="27"/>
      <c r="XFD1913" s="27"/>
    </row>
    <row r="1914" s="42" customFormat="true" ht="14.15" hidden="false" customHeight="true" outlineLevel="0" collapsed="false">
      <c r="A1914" s="28" t="s">
        <v>10444</v>
      </c>
      <c r="B1914" s="29" t="s">
        <v>10445</v>
      </c>
      <c r="C1914" s="29" t="s">
        <v>10446</v>
      </c>
      <c r="D1914" s="30" t="s">
        <v>50</v>
      </c>
      <c r="E1914" s="31"/>
      <c r="F1914" s="32" t="n">
        <v>60</v>
      </c>
      <c r="G1914" s="31"/>
      <c r="H1914" s="31" t="n">
        <v>1</v>
      </c>
      <c r="I1914" s="31" t="s">
        <v>173</v>
      </c>
      <c r="J1914" s="29"/>
      <c r="K1914" s="29" t="s">
        <v>10447</v>
      </c>
      <c r="L1914" s="32" t="n">
        <v>7</v>
      </c>
      <c r="M1914" s="33" t="s">
        <v>3105</v>
      </c>
      <c r="N1914" s="34" t="n">
        <v>75016</v>
      </c>
      <c r="O1914" s="35" t="s">
        <v>55</v>
      </c>
      <c r="P1914" s="36" t="s">
        <v>10448</v>
      </c>
      <c r="Q1914" s="36" t="n">
        <v>1</v>
      </c>
      <c r="R1914" s="32" t="n">
        <v>234</v>
      </c>
      <c r="S1914" s="32" t="n">
        <v>0</v>
      </c>
      <c r="T1914" s="32"/>
      <c r="U1914" s="32"/>
      <c r="V1914" s="37"/>
      <c r="W1914" s="32"/>
      <c r="X1914" s="34"/>
      <c r="Y1914" s="34"/>
      <c r="Z1914" s="32"/>
      <c r="AA1914" s="32" t="s">
        <v>10449</v>
      </c>
      <c r="AB1914" s="32"/>
      <c r="AC1914" s="38" t="str">
        <f aca="false">HYPERLINK("https://biocodex6--c.vf.force.com/0014L00000KFYHkQAP", "DAOUI SAMIR")</f>
        <v>DAOUI SAMIR</v>
      </c>
      <c r="AD1914" s="38"/>
      <c r="AE1914" s="39"/>
      <c r="AF1914" s="40"/>
      <c r="AG1914" s="41"/>
      <c r="AH1914" s="32"/>
      <c r="AI1914" s="32"/>
      <c r="AL1914" s="32"/>
      <c r="AM1914" s="32"/>
      <c r="AN1914" s="32"/>
      <c r="AO1914" s="32"/>
      <c r="AP1914" s="32"/>
      <c r="AQ1914" s="32"/>
      <c r="AR1914" s="32"/>
      <c r="AS1914" s="32"/>
      <c r="AT1914" s="32"/>
      <c r="AU1914" s="32"/>
      <c r="XEY1914" s="27"/>
      <c r="XEZ1914" s="27"/>
      <c r="XFA1914" s="27"/>
      <c r="XFB1914" s="27"/>
      <c r="XFC1914" s="27"/>
      <c r="XFD1914" s="27"/>
    </row>
    <row r="1915" s="42" customFormat="true" ht="14.15" hidden="false" customHeight="true" outlineLevel="0" collapsed="false">
      <c r="A1915" s="28" t="s">
        <v>10450</v>
      </c>
      <c r="B1915" s="29" t="s">
        <v>10451</v>
      </c>
      <c r="C1915" s="29" t="s">
        <v>10452</v>
      </c>
      <c r="D1915" s="30" t="s">
        <v>50</v>
      </c>
      <c r="E1915" s="30" t="s">
        <v>831</v>
      </c>
      <c r="F1915" s="32" t="n">
        <v>69</v>
      </c>
      <c r="G1915" s="31" t="s">
        <v>345</v>
      </c>
      <c r="H1915" s="31" t="n">
        <v>1</v>
      </c>
      <c r="I1915" s="31" t="s">
        <v>387</v>
      </c>
      <c r="J1915" s="29"/>
      <c r="K1915" s="29" t="s">
        <v>10453</v>
      </c>
      <c r="L1915" s="32" t="n">
        <v>33</v>
      </c>
      <c r="M1915" s="33" t="s">
        <v>10454</v>
      </c>
      <c r="N1915" s="34" t="n">
        <v>75016</v>
      </c>
      <c r="O1915" s="35" t="s">
        <v>55</v>
      </c>
      <c r="P1915" s="36" t="s">
        <v>10455</v>
      </c>
      <c r="Q1915" s="36" t="n">
        <v>1</v>
      </c>
      <c r="R1915" s="32" t="n">
        <v>231</v>
      </c>
      <c r="S1915" s="32" t="n">
        <v>0</v>
      </c>
      <c r="T1915" s="32"/>
      <c r="U1915" s="32"/>
      <c r="V1915" s="37"/>
      <c r="W1915" s="32"/>
      <c r="X1915" s="34"/>
      <c r="Y1915" s="34"/>
      <c r="Z1915" s="32"/>
      <c r="AA1915" s="32" t="s">
        <v>10456</v>
      </c>
      <c r="AB1915" s="32" t="s">
        <v>10457</v>
      </c>
      <c r="AC1915" s="38" t="str">
        <f aca="false">HYPERLINK("https://biocodex6--c.vf.force.com/0014L00000KFuH1QAL", "OUACHEE ODILE MYRIAM")</f>
        <v>OUACHEE ODILE MYRIAM</v>
      </c>
      <c r="AD1915" s="38" t="str">
        <f aca="false">HYPERLINK("https://annuairesante.ameli.fr/professionnels-de-sante/recherche/fiche-detaillee-B7c1ljszNjq1.html", "OUACHEE ODILE MYRIAM")</f>
        <v>OUACHEE ODILE MYRIAM</v>
      </c>
      <c r="AE1915" s="39"/>
      <c r="AF1915" s="40"/>
      <c r="AG1915" s="41"/>
      <c r="AH1915" s="32"/>
      <c r="AI1915" s="32"/>
      <c r="AL1915" s="32"/>
      <c r="AM1915" s="32"/>
      <c r="AN1915" s="32"/>
      <c r="AO1915" s="32"/>
      <c r="AP1915" s="32"/>
      <c r="AQ1915" s="32"/>
      <c r="AR1915" s="32"/>
      <c r="AS1915" s="32"/>
      <c r="AT1915" s="32"/>
      <c r="AU1915" s="32"/>
      <c r="XEY1915" s="27"/>
      <c r="XEZ1915" s="27"/>
      <c r="XFA1915" s="27"/>
      <c r="XFB1915" s="27"/>
      <c r="XFC1915" s="27"/>
      <c r="XFD1915" s="27"/>
    </row>
    <row r="1916" s="42" customFormat="true" ht="14.15" hidden="false" customHeight="true" outlineLevel="0" collapsed="false">
      <c r="A1916" s="28" t="s">
        <v>10458</v>
      </c>
      <c r="B1916" s="29" t="s">
        <v>3270</v>
      </c>
      <c r="C1916" s="29" t="s">
        <v>10459</v>
      </c>
      <c r="D1916" s="30" t="s">
        <v>50</v>
      </c>
      <c r="E1916" s="30" t="s">
        <v>776</v>
      </c>
      <c r="F1916" s="32" t="n">
        <v>55</v>
      </c>
      <c r="G1916" s="31"/>
      <c r="H1916" s="31" t="n">
        <v>1</v>
      </c>
      <c r="I1916" s="31" t="s">
        <v>197</v>
      </c>
      <c r="J1916" s="29"/>
      <c r="K1916" s="29" t="s">
        <v>10460</v>
      </c>
      <c r="L1916" s="32" t="n">
        <v>67</v>
      </c>
      <c r="M1916" s="33" t="s">
        <v>2804</v>
      </c>
      <c r="N1916" s="34" t="n">
        <v>75017</v>
      </c>
      <c r="O1916" s="35" t="s">
        <v>55</v>
      </c>
      <c r="P1916" s="36" t="s">
        <v>10461</v>
      </c>
      <c r="Q1916" s="36" t="n">
        <v>1</v>
      </c>
      <c r="R1916" s="32" t="n">
        <v>231</v>
      </c>
      <c r="S1916" s="32" t="n">
        <v>0</v>
      </c>
      <c r="T1916" s="32"/>
      <c r="U1916" s="32"/>
      <c r="V1916" s="37"/>
      <c r="W1916" s="32"/>
      <c r="X1916" s="34"/>
      <c r="Y1916" s="34"/>
      <c r="Z1916" s="32"/>
      <c r="AA1916" s="32" t="s">
        <v>10462</v>
      </c>
      <c r="AB1916" s="32"/>
      <c r="AC1916" s="38" t="str">
        <f aca="false">HYPERLINK("https://biocodex6--c.vf.force.com/0014L00000KFz4pQAD", "RATIO ANDRE")</f>
        <v>RATIO ANDRE</v>
      </c>
      <c r="AD1916" s="38"/>
      <c r="AE1916" s="39"/>
      <c r="AF1916" s="40"/>
      <c r="AG1916" s="41"/>
      <c r="AH1916" s="32"/>
      <c r="AI1916" s="32"/>
      <c r="AL1916" s="32"/>
      <c r="AM1916" s="32"/>
      <c r="AN1916" s="32"/>
      <c r="AO1916" s="32"/>
      <c r="AP1916" s="32"/>
      <c r="AQ1916" s="32"/>
      <c r="AR1916" s="32"/>
      <c r="AS1916" s="32"/>
      <c r="AT1916" s="32"/>
      <c r="AU1916" s="32"/>
      <c r="XEY1916" s="27"/>
      <c r="XEZ1916" s="27"/>
      <c r="XFA1916" s="27"/>
      <c r="XFB1916" s="27"/>
      <c r="XFC1916" s="27"/>
      <c r="XFD1916" s="27"/>
    </row>
    <row r="1917" s="42" customFormat="true" ht="14.15" hidden="false" customHeight="true" outlineLevel="0" collapsed="false">
      <c r="A1917" s="28" t="s">
        <v>10463</v>
      </c>
      <c r="B1917" s="29" t="s">
        <v>2038</v>
      </c>
      <c r="C1917" s="29" t="s">
        <v>10464</v>
      </c>
      <c r="D1917" s="30" t="s">
        <v>50</v>
      </c>
      <c r="E1917" s="31"/>
      <c r="F1917" s="32"/>
      <c r="G1917" s="31" t="s">
        <v>215</v>
      </c>
      <c r="H1917" s="31" t="n">
        <v>1</v>
      </c>
      <c r="I1917" s="31" t="s">
        <v>173</v>
      </c>
      <c r="J1917" s="29"/>
      <c r="K1917" s="29" t="s">
        <v>9219</v>
      </c>
      <c r="L1917" s="32" t="n">
        <v>36</v>
      </c>
      <c r="M1917" s="33" t="s">
        <v>9220</v>
      </c>
      <c r="N1917" s="34" t="n">
        <v>75016</v>
      </c>
      <c r="O1917" s="35" t="s">
        <v>55</v>
      </c>
      <c r="P1917" s="36" t="s">
        <v>10465</v>
      </c>
      <c r="Q1917" s="36" t="n">
        <v>2</v>
      </c>
      <c r="R1917" s="32" t="n">
        <v>220</v>
      </c>
      <c r="S1917" s="32" t="n">
        <v>0</v>
      </c>
      <c r="T1917" s="32"/>
      <c r="U1917" s="32"/>
      <c r="V1917" s="37"/>
      <c r="W1917" s="32"/>
      <c r="X1917" s="34"/>
      <c r="Y1917" s="34"/>
      <c r="Z1917" s="32"/>
      <c r="AA1917" s="32" t="s">
        <v>10466</v>
      </c>
      <c r="AB1917" s="32" t="s">
        <v>10467</v>
      </c>
      <c r="AC1917" s="38" t="str">
        <f aca="false">HYPERLINK("https://biocodex6--c.vf.force.com/0014L00000KFOtZQAX", "RAPP ANNIE")</f>
        <v>RAPP ANNIE</v>
      </c>
      <c r="AD1917" s="38" t="str">
        <f aca="false">HYPERLINK("https://annuairesante.ameli.fr/professionnels-de-sante/recherche/fiche-detaillee-B7c1ljEzMDWz.html", "RAPP ANNIE")</f>
        <v>RAPP ANNIE</v>
      </c>
      <c r="AE1917" s="39"/>
      <c r="AF1917" s="40"/>
      <c r="AG1917" s="41"/>
      <c r="AH1917" s="32"/>
      <c r="AI1917" s="32"/>
      <c r="AL1917" s="32"/>
      <c r="AM1917" s="32"/>
      <c r="AN1917" s="32"/>
      <c r="AO1917" s="32"/>
      <c r="AP1917" s="32"/>
      <c r="AQ1917" s="32"/>
      <c r="AR1917" s="32"/>
      <c r="AS1917" s="32"/>
      <c r="AT1917" s="32"/>
      <c r="AU1917" s="32"/>
      <c r="XEY1917" s="27"/>
      <c r="XEZ1917" s="27"/>
      <c r="XFA1917" s="27"/>
      <c r="XFB1917" s="27"/>
      <c r="XFC1917" s="27"/>
      <c r="XFD1917" s="27"/>
    </row>
    <row r="1918" s="42" customFormat="true" ht="14.15" hidden="false" customHeight="true" outlineLevel="0" collapsed="false">
      <c r="A1918" s="28" t="s">
        <v>10468</v>
      </c>
      <c r="B1918" s="29" t="s">
        <v>170</v>
      </c>
      <c r="C1918" s="29" t="s">
        <v>10469</v>
      </c>
      <c r="D1918" s="30" t="s">
        <v>112</v>
      </c>
      <c r="E1918" s="31"/>
      <c r="F1918" s="32" t="n">
        <v>56</v>
      </c>
      <c r="G1918" s="31" t="s">
        <v>215</v>
      </c>
      <c r="H1918" s="31" t="n">
        <v>1</v>
      </c>
      <c r="I1918" s="31" t="s">
        <v>435</v>
      </c>
      <c r="J1918" s="29"/>
      <c r="K1918" s="29" t="s">
        <v>10470</v>
      </c>
      <c r="L1918" s="32" t="n">
        <v>5</v>
      </c>
      <c r="M1918" s="33" t="s">
        <v>10471</v>
      </c>
      <c r="N1918" s="34" t="n">
        <v>75016</v>
      </c>
      <c r="O1918" s="35" t="s">
        <v>55</v>
      </c>
      <c r="P1918" s="36" t="s">
        <v>10472</v>
      </c>
      <c r="Q1918" s="36" t="n">
        <v>1</v>
      </c>
      <c r="R1918" s="32" t="n">
        <v>215</v>
      </c>
      <c r="S1918" s="32" t="n">
        <v>0</v>
      </c>
      <c r="T1918" s="32"/>
      <c r="U1918" s="32"/>
      <c r="V1918" s="37"/>
      <c r="W1918" s="32"/>
      <c r="X1918" s="34"/>
      <c r="Y1918" s="34"/>
      <c r="Z1918" s="32"/>
      <c r="AA1918" s="32" t="s">
        <v>10473</v>
      </c>
      <c r="AB1918" s="32" t="s">
        <v>10474</v>
      </c>
      <c r="AC1918" s="38" t="str">
        <f aca="false">HYPERLINK("https://biocodex6--c.vf.force.com/0014L00000KG6vVQAT", "DESANGES ZABE CAROLE")</f>
        <v>DESANGES ZABE CAROLE</v>
      </c>
      <c r="AD1918" s="38" t="str">
        <f aca="false">HYPERLINK("https://annuairesante.ameli.fr/professionnels-de-sante/recherche/fiche-detaillee-B7c1lTY0Nju0.html", "DESANGES ZABE CAROLE")</f>
        <v>DESANGES ZABE CAROLE</v>
      </c>
      <c r="AE1918" s="39"/>
      <c r="AF1918" s="40"/>
      <c r="AG1918" s="41"/>
      <c r="AH1918" s="32"/>
      <c r="AI1918" s="32"/>
      <c r="AL1918" s="32"/>
      <c r="AM1918" s="32"/>
      <c r="AN1918" s="32"/>
      <c r="AO1918" s="32"/>
      <c r="AP1918" s="32"/>
      <c r="AQ1918" s="32"/>
      <c r="AR1918" s="32"/>
      <c r="AS1918" s="32"/>
      <c r="AT1918" s="32"/>
      <c r="AU1918" s="32"/>
      <c r="XEY1918" s="27"/>
      <c r="XEZ1918" s="27"/>
      <c r="XFA1918" s="27"/>
      <c r="XFB1918" s="27"/>
      <c r="XFC1918" s="27"/>
      <c r="XFD1918" s="27"/>
    </row>
    <row r="1919" s="42" customFormat="true" ht="14.15" hidden="false" customHeight="true" outlineLevel="0" collapsed="false">
      <c r="A1919" s="28" t="s">
        <v>10475</v>
      </c>
      <c r="B1919" s="29" t="s">
        <v>632</v>
      </c>
      <c r="C1919" s="29" t="s">
        <v>10476</v>
      </c>
      <c r="D1919" s="30" t="s">
        <v>50</v>
      </c>
      <c r="E1919" s="31"/>
      <c r="F1919" s="32" t="n">
        <v>73</v>
      </c>
      <c r="G1919" s="31" t="s">
        <v>215</v>
      </c>
      <c r="H1919" s="31" t="n">
        <v>1</v>
      </c>
      <c r="I1919" s="31" t="s">
        <v>387</v>
      </c>
      <c r="J1919" s="29"/>
      <c r="K1919" s="29" t="s">
        <v>10477</v>
      </c>
      <c r="L1919" s="32" t="n">
        <v>13</v>
      </c>
      <c r="M1919" s="33" t="s">
        <v>10478</v>
      </c>
      <c r="N1919" s="34" t="n">
        <v>75016</v>
      </c>
      <c r="O1919" s="35" t="s">
        <v>55</v>
      </c>
      <c r="P1919" s="36" t="s">
        <v>10479</v>
      </c>
      <c r="Q1919" s="36" t="n">
        <v>1</v>
      </c>
      <c r="R1919" s="32" t="n">
        <v>212</v>
      </c>
      <c r="S1919" s="32" t="n">
        <v>0</v>
      </c>
      <c r="T1919" s="32"/>
      <c r="U1919" s="32"/>
      <c r="V1919" s="37"/>
      <c r="W1919" s="32"/>
      <c r="X1919" s="34"/>
      <c r="Y1919" s="34"/>
      <c r="Z1919" s="32"/>
      <c r="AA1919" s="32" t="s">
        <v>10480</v>
      </c>
      <c r="AB1919" s="32" t="s">
        <v>10481</v>
      </c>
      <c r="AC1919" s="38" t="str">
        <f aca="false">HYPERLINK("https://biocodex6--c.vf.force.com/0014L00000KFyaIQAT", "RENARD MARIE CHRISTINE")</f>
        <v>RENARD MARIE CHRISTINE</v>
      </c>
      <c r="AD1919" s="38" t="str">
        <f aca="false">HYPERLINK("https://annuairesante.ameli.fr/professionnels-de-sante/recherche/fiche-detaillee-B7c1kTA4NDaw.html", "RENARD MARIE CHRISTINE")</f>
        <v>RENARD MARIE CHRISTINE</v>
      </c>
      <c r="AE1919" s="39"/>
      <c r="AF1919" s="40"/>
      <c r="AG1919" s="41"/>
      <c r="AH1919" s="32"/>
      <c r="AI1919" s="32"/>
      <c r="AL1919" s="32"/>
      <c r="AM1919" s="43" t="s">
        <v>10482</v>
      </c>
      <c r="AN1919" s="43" t="s">
        <v>1301</v>
      </c>
      <c r="AO1919" s="32"/>
      <c r="AP1919" s="43" t="s">
        <v>1301</v>
      </c>
      <c r="AQ1919" s="32"/>
      <c r="AR1919" s="32"/>
      <c r="AS1919" s="43" t="s">
        <v>10482</v>
      </c>
      <c r="AT1919" s="43" t="s">
        <v>1470</v>
      </c>
      <c r="AU1919" s="32"/>
      <c r="XEY1919" s="27"/>
      <c r="XEZ1919" s="27"/>
      <c r="XFA1919" s="27"/>
      <c r="XFB1919" s="27"/>
      <c r="XFC1919" s="27"/>
      <c r="XFD1919" s="27"/>
    </row>
    <row r="1920" s="42" customFormat="true" ht="14.15" hidden="false" customHeight="true" outlineLevel="0" collapsed="false">
      <c r="A1920" s="28" t="s">
        <v>10483</v>
      </c>
      <c r="B1920" s="29" t="s">
        <v>1174</v>
      </c>
      <c r="C1920" s="29" t="s">
        <v>10484</v>
      </c>
      <c r="D1920" s="30" t="s">
        <v>50</v>
      </c>
      <c r="E1920" s="31"/>
      <c r="F1920" s="32" t="n">
        <v>0</v>
      </c>
      <c r="G1920" s="31"/>
      <c r="H1920" s="31" t="n">
        <v>3</v>
      </c>
      <c r="I1920" s="31" t="s">
        <v>119</v>
      </c>
      <c r="J1920" s="29"/>
      <c r="K1920" s="29" t="s">
        <v>10485</v>
      </c>
      <c r="L1920" s="32" t="n">
        <v>21</v>
      </c>
      <c r="M1920" s="33" t="s">
        <v>4429</v>
      </c>
      <c r="N1920" s="34" t="n">
        <v>75007</v>
      </c>
      <c r="O1920" s="35" t="s">
        <v>55</v>
      </c>
      <c r="P1920" s="36" t="s">
        <v>10486</v>
      </c>
      <c r="Q1920" s="36" t="n">
        <v>1</v>
      </c>
      <c r="R1920" s="32" t="n">
        <v>212</v>
      </c>
      <c r="S1920" s="32" t="n">
        <v>0</v>
      </c>
      <c r="T1920" s="32"/>
      <c r="U1920" s="32"/>
      <c r="V1920" s="37"/>
      <c r="W1920" s="32"/>
      <c r="X1920" s="34"/>
      <c r="Y1920" s="34"/>
      <c r="Z1920" s="32"/>
      <c r="AA1920" s="32" t="s">
        <v>10487</v>
      </c>
      <c r="AB1920" s="32"/>
      <c r="AC1920" s="38" t="str">
        <f aca="false">HYPERLINK("https://biocodex6--c.vf.force.com/0014L00000KFYzQQAX", "DUBOST MARTINE")</f>
        <v>DUBOST MARTINE</v>
      </c>
      <c r="AD1920" s="38"/>
      <c r="AE1920" s="39"/>
      <c r="AF1920" s="40"/>
      <c r="AG1920" s="41"/>
      <c r="AH1920" s="32"/>
      <c r="AI1920" s="32"/>
      <c r="AL1920" s="32"/>
      <c r="AM1920" s="32"/>
      <c r="AN1920" s="32"/>
      <c r="AO1920" s="32"/>
      <c r="AP1920" s="32"/>
      <c r="AQ1920" s="32"/>
      <c r="AR1920" s="32"/>
      <c r="AS1920" s="32"/>
      <c r="AT1920" s="32"/>
      <c r="AU1920" s="32"/>
      <c r="XEY1920" s="27"/>
      <c r="XEZ1920" s="27"/>
      <c r="XFA1920" s="27"/>
      <c r="XFB1920" s="27"/>
      <c r="XFC1920" s="27"/>
      <c r="XFD1920" s="27"/>
    </row>
    <row r="1921" s="42" customFormat="true" ht="14.15" hidden="false" customHeight="true" outlineLevel="0" collapsed="false">
      <c r="A1921" s="28" t="s">
        <v>10488</v>
      </c>
      <c r="B1921" s="29" t="s">
        <v>10489</v>
      </c>
      <c r="C1921" s="29" t="s">
        <v>10490</v>
      </c>
      <c r="D1921" s="30" t="s">
        <v>50</v>
      </c>
      <c r="E1921" s="30" t="s">
        <v>255</v>
      </c>
      <c r="F1921" s="32" t="n">
        <v>0</v>
      </c>
      <c r="G1921" s="31"/>
      <c r="H1921" s="31" t="n">
        <v>1</v>
      </c>
      <c r="I1921" s="31" t="s">
        <v>119</v>
      </c>
      <c r="J1921" s="29"/>
      <c r="K1921" s="29" t="s">
        <v>10491</v>
      </c>
      <c r="L1921" s="32" t="n">
        <v>16</v>
      </c>
      <c r="M1921" s="33" t="s">
        <v>10492</v>
      </c>
      <c r="N1921" s="34" t="n">
        <v>75007</v>
      </c>
      <c r="O1921" s="35" t="s">
        <v>55</v>
      </c>
      <c r="P1921" s="36" t="s">
        <v>10493</v>
      </c>
      <c r="Q1921" s="36" t="n">
        <v>1</v>
      </c>
      <c r="R1921" s="32" t="n">
        <v>212</v>
      </c>
      <c r="S1921" s="32" t="n">
        <v>0</v>
      </c>
      <c r="T1921" s="32"/>
      <c r="U1921" s="32"/>
      <c r="V1921" s="37"/>
      <c r="W1921" s="32"/>
      <c r="X1921" s="34"/>
      <c r="Y1921" s="34"/>
      <c r="Z1921" s="32"/>
      <c r="AA1921" s="32" t="s">
        <v>10494</v>
      </c>
      <c r="AB1921" s="32"/>
      <c r="AC1921" s="38" t="str">
        <f aca="false">HYPERLINK("https://biocodex6--c.vf.force.com/0014L00000KG6p4QAD", "YAHYABEY KADER")</f>
        <v>YAHYABEY KADER</v>
      </c>
      <c r="AD1921" s="38"/>
      <c r="AE1921" s="39"/>
      <c r="AF1921" s="40"/>
      <c r="AG1921" s="41"/>
      <c r="AH1921" s="32"/>
      <c r="AI1921" s="32"/>
      <c r="AL1921" s="32"/>
      <c r="AM1921" s="32"/>
      <c r="AN1921" s="32"/>
      <c r="AO1921" s="32"/>
      <c r="AP1921" s="32"/>
      <c r="AQ1921" s="32"/>
      <c r="AR1921" s="32"/>
      <c r="AS1921" s="32"/>
      <c r="AT1921" s="32"/>
      <c r="AU1921" s="32"/>
      <c r="XEY1921" s="27"/>
      <c r="XEZ1921" s="27"/>
      <c r="XFA1921" s="27"/>
      <c r="XFB1921" s="27"/>
      <c r="XFC1921" s="27"/>
      <c r="XFD1921" s="27"/>
    </row>
    <row r="1922" s="42" customFormat="true" ht="14.15" hidden="false" customHeight="true" outlineLevel="0" collapsed="false">
      <c r="A1922" s="28" t="s">
        <v>10495</v>
      </c>
      <c r="B1922" s="29" t="s">
        <v>10496</v>
      </c>
      <c r="C1922" s="29" t="s">
        <v>10497</v>
      </c>
      <c r="D1922" s="30" t="s">
        <v>50</v>
      </c>
      <c r="E1922" s="30" t="s">
        <v>172</v>
      </c>
      <c r="F1922" s="32" t="n">
        <v>77</v>
      </c>
      <c r="G1922" s="31"/>
      <c r="H1922" s="31" t="n">
        <v>1</v>
      </c>
      <c r="I1922" s="31" t="s">
        <v>173</v>
      </c>
      <c r="J1922" s="29"/>
      <c r="K1922" s="29" t="s">
        <v>6548</v>
      </c>
      <c r="L1922" s="32" t="n">
        <v>82</v>
      </c>
      <c r="M1922" s="33" t="s">
        <v>6504</v>
      </c>
      <c r="N1922" s="34" t="n">
        <v>75016</v>
      </c>
      <c r="O1922" s="35" t="s">
        <v>55</v>
      </c>
      <c r="P1922" s="36"/>
      <c r="Q1922" s="36" t="n">
        <v>4</v>
      </c>
      <c r="R1922" s="32" t="n">
        <v>210</v>
      </c>
      <c r="S1922" s="32" t="n">
        <v>0</v>
      </c>
      <c r="T1922" s="32"/>
      <c r="U1922" s="32"/>
      <c r="V1922" s="37"/>
      <c r="W1922" s="32"/>
      <c r="X1922" s="34"/>
      <c r="Y1922" s="34"/>
      <c r="Z1922" s="32"/>
      <c r="AA1922" s="32" t="s">
        <v>10498</v>
      </c>
      <c r="AB1922" s="32"/>
      <c r="AC1922" s="38" t="str">
        <f aca="false">HYPERLINK("https://biocodex6--c.vf.force.com/0014L00000KFcsyQAD", "EVRARD MONIQUE MAYA")</f>
        <v>EVRARD MONIQUE MAYA</v>
      </c>
      <c r="AD1922" s="38"/>
      <c r="AE1922" s="39"/>
      <c r="AF1922" s="40"/>
      <c r="AG1922" s="41"/>
      <c r="AH1922" s="32"/>
      <c r="AI1922" s="32"/>
      <c r="AL1922" s="32"/>
      <c r="AM1922" s="32"/>
      <c r="AN1922" s="32"/>
      <c r="AO1922" s="32"/>
      <c r="AP1922" s="32"/>
      <c r="AQ1922" s="32"/>
      <c r="AR1922" s="32"/>
      <c r="AS1922" s="32"/>
      <c r="AT1922" s="32"/>
      <c r="AU1922" s="32"/>
      <c r="XEY1922" s="27"/>
      <c r="XEZ1922" s="27"/>
      <c r="XFA1922" s="27"/>
      <c r="XFB1922" s="27"/>
      <c r="XFC1922" s="27"/>
      <c r="XFD1922" s="27"/>
    </row>
    <row r="1923" s="42" customFormat="true" ht="14.15" hidden="false" customHeight="true" outlineLevel="0" collapsed="false">
      <c r="A1923" s="28" t="s">
        <v>10499</v>
      </c>
      <c r="B1923" s="29" t="s">
        <v>1837</v>
      </c>
      <c r="C1923" s="29" t="s">
        <v>10500</v>
      </c>
      <c r="D1923" s="30" t="s">
        <v>244</v>
      </c>
      <c r="E1923" s="30" t="s">
        <v>245</v>
      </c>
      <c r="F1923" s="32" t="n">
        <v>48</v>
      </c>
      <c r="G1923" s="31" t="s">
        <v>215</v>
      </c>
      <c r="H1923" s="31" t="n">
        <v>3</v>
      </c>
      <c r="I1923" s="31" t="s">
        <v>173</v>
      </c>
      <c r="J1923" s="29"/>
      <c r="K1923" s="29" t="s">
        <v>3104</v>
      </c>
      <c r="L1923" s="32" t="n">
        <v>3</v>
      </c>
      <c r="M1923" s="33" t="s">
        <v>3105</v>
      </c>
      <c r="N1923" s="34" t="n">
        <v>75016</v>
      </c>
      <c r="O1923" s="35" t="s">
        <v>55</v>
      </c>
      <c r="P1923" s="36" t="s">
        <v>6866</v>
      </c>
      <c r="Q1923" s="36" t="n">
        <v>3</v>
      </c>
      <c r="R1923" s="32" t="n">
        <v>206</v>
      </c>
      <c r="S1923" s="32" t="n">
        <v>0</v>
      </c>
      <c r="T1923" s="32"/>
      <c r="U1923" s="32" t="n">
        <v>3</v>
      </c>
      <c r="V1923" s="37"/>
      <c r="W1923" s="32" t="n">
        <v>3</v>
      </c>
      <c r="X1923" s="34"/>
      <c r="Y1923" s="34" t="n">
        <v>2</v>
      </c>
      <c r="Z1923" s="32" t="s">
        <v>10501</v>
      </c>
      <c r="AA1923" s="32" t="s">
        <v>10502</v>
      </c>
      <c r="AB1923" s="32" t="s">
        <v>10503</v>
      </c>
      <c r="AC1923" s="38" t="str">
        <f aca="false">HYPERLINK("https://biocodex6--c.vf.force.com/0014L00000KFsFhQAL", "MIKAYELYAN MARIE")</f>
        <v>MIKAYELYAN MARIE</v>
      </c>
      <c r="AD1923" s="38" t="str">
        <f aca="false">HYPERLINK("https://annuairesante.ameli.fr/professionnels-de-sante/recherche/fiche-detaillee-B7c1lTAxNjGw.html", "MIKAYELYAN MARIE")</f>
        <v>MIKAYELYAN MARIE</v>
      </c>
      <c r="AE1923" s="39" t="n">
        <v>45362.7083333333</v>
      </c>
      <c r="AF1923" s="40"/>
      <c r="AG1923" s="41"/>
      <c r="AH1923" s="32"/>
      <c r="AI1923" s="32"/>
      <c r="AL1923" s="32"/>
      <c r="AM1923" s="32"/>
      <c r="AN1923" s="32"/>
      <c r="AO1923" s="32"/>
      <c r="AP1923" s="32"/>
      <c r="AQ1923" s="32"/>
      <c r="AR1923" s="32"/>
      <c r="AS1923" s="32"/>
      <c r="AT1923" s="32"/>
      <c r="AU1923" s="32"/>
      <c r="XEY1923" s="27"/>
      <c r="XEZ1923" s="27"/>
      <c r="XFA1923" s="27"/>
      <c r="XFB1923" s="27"/>
      <c r="XFC1923" s="27"/>
      <c r="XFD1923" s="27"/>
    </row>
    <row r="1924" s="42" customFormat="true" ht="14.15" hidden="false" customHeight="true" outlineLevel="0" collapsed="false">
      <c r="A1924" s="28" t="s">
        <v>10504</v>
      </c>
      <c r="B1924" s="29" t="s">
        <v>4463</v>
      </c>
      <c r="C1924" s="29" t="s">
        <v>10505</v>
      </c>
      <c r="D1924" s="30" t="s">
        <v>50</v>
      </c>
      <c r="E1924" s="31"/>
      <c r="F1924" s="32" t="n">
        <v>46</v>
      </c>
      <c r="G1924" s="31"/>
      <c r="H1924" s="31" t="n">
        <v>1</v>
      </c>
      <c r="I1924" s="31" t="s">
        <v>197</v>
      </c>
      <c r="J1924" s="29"/>
      <c r="K1924" s="29" t="s">
        <v>10506</v>
      </c>
      <c r="L1924" s="32" t="n">
        <v>1</v>
      </c>
      <c r="M1924" s="33" t="s">
        <v>10507</v>
      </c>
      <c r="N1924" s="34" t="n">
        <v>75017</v>
      </c>
      <c r="O1924" s="35" t="s">
        <v>55</v>
      </c>
      <c r="P1924" s="36" t="s">
        <v>10508</v>
      </c>
      <c r="Q1924" s="36" t="n">
        <v>3</v>
      </c>
      <c r="R1924" s="32" t="n">
        <v>196</v>
      </c>
      <c r="S1924" s="32" t="n">
        <v>0</v>
      </c>
      <c r="T1924" s="32"/>
      <c r="U1924" s="32"/>
      <c r="V1924" s="37"/>
      <c r="W1924" s="32"/>
      <c r="X1924" s="34"/>
      <c r="Y1924" s="34"/>
      <c r="Z1924" s="32"/>
      <c r="AA1924" s="32" t="s">
        <v>10509</v>
      </c>
      <c r="AB1924" s="32"/>
      <c r="AC1924" s="38" t="str">
        <f aca="false">HYPERLINK("https://biocodex6--c.vf.force.com/0014L00000KFgQeQAL", "GENOTELLE NICOLAS")</f>
        <v>GENOTELLE NICOLAS</v>
      </c>
      <c r="AD1924" s="38"/>
      <c r="AE1924" s="39"/>
      <c r="AF1924" s="40"/>
      <c r="AG1924" s="41"/>
      <c r="AH1924" s="32"/>
      <c r="AI1924" s="32"/>
      <c r="AL1924" s="32"/>
      <c r="AM1924" s="32"/>
      <c r="AN1924" s="32"/>
      <c r="AO1924" s="32"/>
      <c r="AP1924" s="32"/>
      <c r="AQ1924" s="32"/>
      <c r="AR1924" s="32"/>
      <c r="AS1924" s="32"/>
      <c r="AT1924" s="32"/>
      <c r="AU1924" s="32"/>
      <c r="XEY1924" s="27"/>
      <c r="XEZ1924" s="27"/>
      <c r="XFA1924" s="27"/>
      <c r="XFB1924" s="27"/>
      <c r="XFC1924" s="27"/>
      <c r="XFD1924" s="27"/>
    </row>
    <row r="1925" s="42" customFormat="true" ht="14.15" hidden="false" customHeight="true" outlineLevel="0" collapsed="false">
      <c r="A1925" s="28" t="s">
        <v>10510</v>
      </c>
      <c r="B1925" s="29" t="s">
        <v>231</v>
      </c>
      <c r="C1925" s="29" t="s">
        <v>10511</v>
      </c>
      <c r="D1925" s="30" t="s">
        <v>50</v>
      </c>
      <c r="E1925" s="30" t="s">
        <v>916</v>
      </c>
      <c r="F1925" s="32" t="n">
        <v>58</v>
      </c>
      <c r="G1925" s="31"/>
      <c r="H1925" s="31" t="n">
        <v>1</v>
      </c>
      <c r="I1925" s="31" t="s">
        <v>173</v>
      </c>
      <c r="J1925" s="29"/>
      <c r="K1925" s="29" t="s">
        <v>10512</v>
      </c>
      <c r="L1925" s="32" t="n">
        <v>46</v>
      </c>
      <c r="M1925" s="33" t="s">
        <v>6504</v>
      </c>
      <c r="N1925" s="34" t="n">
        <v>75016</v>
      </c>
      <c r="O1925" s="35" t="s">
        <v>55</v>
      </c>
      <c r="P1925" s="36" t="s">
        <v>10513</v>
      </c>
      <c r="Q1925" s="36" t="n">
        <v>1</v>
      </c>
      <c r="R1925" s="32" t="n">
        <v>196</v>
      </c>
      <c r="S1925" s="32" t="n">
        <v>0</v>
      </c>
      <c r="T1925" s="32"/>
      <c r="U1925" s="32"/>
      <c r="V1925" s="37"/>
      <c r="W1925" s="32"/>
      <c r="X1925" s="34"/>
      <c r="Y1925" s="34"/>
      <c r="Z1925" s="32"/>
      <c r="AA1925" s="32" t="s">
        <v>10514</v>
      </c>
      <c r="AB1925" s="32"/>
      <c r="AC1925" s="38" t="str">
        <f aca="false">HYPERLINK("https://biocodex6--c.vf.force.com/0014L00000KG3wOQAT", "TEYSSEDOU MAIRE ANNE")</f>
        <v>TEYSSEDOU MAIRE ANNE</v>
      </c>
      <c r="AD1925" s="38"/>
      <c r="AE1925" s="39"/>
      <c r="AF1925" s="40"/>
      <c r="AG1925" s="41"/>
      <c r="AH1925" s="32"/>
      <c r="AI1925" s="32"/>
      <c r="AL1925" s="32"/>
      <c r="AM1925" s="32"/>
      <c r="AN1925" s="32"/>
      <c r="AO1925" s="32"/>
      <c r="AP1925" s="32"/>
      <c r="AQ1925" s="32"/>
      <c r="AR1925" s="32"/>
      <c r="AS1925" s="32"/>
      <c r="AT1925" s="32"/>
      <c r="AU1925" s="32"/>
      <c r="XEY1925" s="27"/>
      <c r="XEZ1925" s="27"/>
      <c r="XFA1925" s="27"/>
      <c r="XFB1925" s="27"/>
      <c r="XFC1925" s="27"/>
      <c r="XFD1925" s="27"/>
    </row>
    <row r="1926" s="42" customFormat="true" ht="14.15" hidden="false" customHeight="true" outlineLevel="0" collapsed="false">
      <c r="A1926" s="28" t="s">
        <v>10515</v>
      </c>
      <c r="B1926" s="29" t="s">
        <v>183</v>
      </c>
      <c r="C1926" s="29" t="s">
        <v>10516</v>
      </c>
      <c r="D1926" s="30" t="s">
        <v>50</v>
      </c>
      <c r="E1926" s="31"/>
      <c r="F1926" s="32" t="n">
        <v>56</v>
      </c>
      <c r="G1926" s="31"/>
      <c r="H1926" s="31" t="n">
        <v>1</v>
      </c>
      <c r="I1926" s="31" t="s">
        <v>51</v>
      </c>
      <c r="J1926" s="29" t="s">
        <v>52</v>
      </c>
      <c r="K1926" s="29" t="s">
        <v>53</v>
      </c>
      <c r="L1926" s="32" t="n">
        <v>149</v>
      </c>
      <c r="M1926" s="33" t="s">
        <v>54</v>
      </c>
      <c r="N1926" s="34" t="n">
        <v>75015</v>
      </c>
      <c r="O1926" s="35" t="s">
        <v>55</v>
      </c>
      <c r="P1926" s="36" t="s">
        <v>1710</v>
      </c>
      <c r="Q1926" s="36" t="n">
        <v>236</v>
      </c>
      <c r="R1926" s="32" t="n">
        <v>195</v>
      </c>
      <c r="S1926" s="32" t="n">
        <v>0</v>
      </c>
      <c r="T1926" s="32"/>
      <c r="U1926" s="32"/>
      <c r="V1926" s="37"/>
      <c r="W1926" s="32"/>
      <c r="X1926" s="34"/>
      <c r="Y1926" s="34"/>
      <c r="Z1926" s="32"/>
      <c r="AA1926" s="32" t="s">
        <v>10517</v>
      </c>
      <c r="AB1926" s="32"/>
      <c r="AC1926" s="38" t="str">
        <f aca="false">HYPERLINK("https://biocodex6--c.vf.force.com/0014L00000KG7ATQA1", "HUET CHRISTIAN")</f>
        <v>HUET CHRISTIAN</v>
      </c>
      <c r="AD1926" s="38"/>
      <c r="AE1926" s="39"/>
      <c r="AF1926" s="40"/>
      <c r="AG1926" s="41"/>
      <c r="AH1926" s="32"/>
      <c r="AI1926" s="32"/>
      <c r="AL1926" s="32"/>
      <c r="AM1926" s="32"/>
      <c r="AN1926" s="32"/>
      <c r="AO1926" s="32"/>
      <c r="AP1926" s="32"/>
      <c r="AQ1926" s="32"/>
      <c r="AR1926" s="32"/>
      <c r="AS1926" s="32"/>
      <c r="AT1926" s="32"/>
      <c r="AU1926" s="32"/>
      <c r="XEY1926" s="27"/>
      <c r="XEZ1926" s="27"/>
      <c r="XFA1926" s="27"/>
      <c r="XFB1926" s="27"/>
      <c r="XFC1926" s="27"/>
      <c r="XFD1926" s="27"/>
    </row>
    <row r="1927" s="42" customFormat="true" ht="14.15" hidden="false" customHeight="true" outlineLevel="0" collapsed="false">
      <c r="A1927" s="28" t="s">
        <v>10518</v>
      </c>
      <c r="B1927" s="29" t="s">
        <v>7056</v>
      </c>
      <c r="C1927" s="29" t="s">
        <v>10519</v>
      </c>
      <c r="D1927" s="30" t="s">
        <v>50</v>
      </c>
      <c r="E1927" s="31"/>
      <c r="F1927" s="32" t="n">
        <v>44</v>
      </c>
      <c r="G1927" s="31"/>
      <c r="H1927" s="31" t="n">
        <v>1</v>
      </c>
      <c r="I1927" s="31" t="s">
        <v>51</v>
      </c>
      <c r="J1927" s="29" t="s">
        <v>52</v>
      </c>
      <c r="K1927" s="29" t="s">
        <v>53</v>
      </c>
      <c r="L1927" s="32" t="n">
        <v>149</v>
      </c>
      <c r="M1927" s="33" t="s">
        <v>54</v>
      </c>
      <c r="N1927" s="34" t="n">
        <v>75015</v>
      </c>
      <c r="O1927" s="35" t="s">
        <v>55</v>
      </c>
      <c r="P1927" s="36" t="s">
        <v>1710</v>
      </c>
      <c r="Q1927" s="36" t="n">
        <v>236</v>
      </c>
      <c r="R1927" s="32" t="n">
        <v>195</v>
      </c>
      <c r="S1927" s="32" t="n">
        <v>0</v>
      </c>
      <c r="T1927" s="32"/>
      <c r="U1927" s="32"/>
      <c r="V1927" s="37"/>
      <c r="W1927" s="32"/>
      <c r="X1927" s="34"/>
      <c r="Y1927" s="34"/>
      <c r="Z1927" s="32"/>
      <c r="AA1927" s="32" t="s">
        <v>10520</v>
      </c>
      <c r="AB1927" s="32"/>
      <c r="AC1927" s="38" t="str">
        <f aca="false">HYPERLINK("https://biocodex6--c.vf.force.com/0014L00000KFqnOQAT", "MALARTIC MIREILLE")</f>
        <v>MALARTIC MIREILLE</v>
      </c>
      <c r="AD1927" s="38"/>
      <c r="AE1927" s="39"/>
      <c r="AF1927" s="40"/>
      <c r="AG1927" s="41"/>
      <c r="AH1927" s="32"/>
      <c r="AI1927" s="32"/>
      <c r="AL1927" s="32"/>
      <c r="AM1927" s="32"/>
      <c r="AN1927" s="32"/>
      <c r="AO1927" s="32"/>
      <c r="AP1927" s="32"/>
      <c r="AQ1927" s="32"/>
      <c r="AR1927" s="32"/>
      <c r="AS1927" s="32"/>
      <c r="AT1927" s="32"/>
      <c r="AU1927" s="32"/>
      <c r="XEY1927" s="27"/>
      <c r="XEZ1927" s="27"/>
      <c r="XFA1927" s="27"/>
      <c r="XFB1927" s="27"/>
      <c r="XFC1927" s="27"/>
      <c r="XFD1927" s="27"/>
    </row>
    <row r="1928" s="42" customFormat="true" ht="14.15" hidden="false" customHeight="true" outlineLevel="0" collapsed="false">
      <c r="A1928" s="28" t="s">
        <v>10521</v>
      </c>
      <c r="B1928" s="29" t="s">
        <v>1174</v>
      </c>
      <c r="C1928" s="29" t="s">
        <v>10522</v>
      </c>
      <c r="D1928" s="30" t="s">
        <v>50</v>
      </c>
      <c r="E1928" s="31"/>
      <c r="F1928" s="32" t="n">
        <v>0</v>
      </c>
      <c r="G1928" s="31"/>
      <c r="H1928" s="31" t="n">
        <v>1</v>
      </c>
      <c r="I1928" s="31" t="s">
        <v>51</v>
      </c>
      <c r="J1928" s="29" t="s">
        <v>2010</v>
      </c>
      <c r="K1928" s="29" t="s">
        <v>2011</v>
      </c>
      <c r="L1928" s="32" t="n">
        <v>37</v>
      </c>
      <c r="M1928" s="33" t="s">
        <v>2012</v>
      </c>
      <c r="N1928" s="34" t="n">
        <v>75015</v>
      </c>
      <c r="O1928" s="35" t="s">
        <v>55</v>
      </c>
      <c r="P1928" s="36" t="s">
        <v>7251</v>
      </c>
      <c r="Q1928" s="36" t="n">
        <v>19</v>
      </c>
      <c r="R1928" s="32" t="n">
        <v>195</v>
      </c>
      <c r="S1928" s="32" t="n">
        <v>0</v>
      </c>
      <c r="T1928" s="32"/>
      <c r="U1928" s="32"/>
      <c r="V1928" s="37"/>
      <c r="W1928" s="32"/>
      <c r="X1928" s="34"/>
      <c r="Y1928" s="34"/>
      <c r="Z1928" s="32"/>
      <c r="AA1928" s="32" t="s">
        <v>10523</v>
      </c>
      <c r="AB1928" s="32"/>
      <c r="AC1928" s="38" t="str">
        <f aca="false">HYPERLINK("https://biocodex6--c.vf.force.com/0014L00000KFlIZQA1", "CONTE MARTINE")</f>
        <v>CONTE MARTINE</v>
      </c>
      <c r="AD1928" s="38"/>
      <c r="AE1928" s="39"/>
      <c r="AF1928" s="40"/>
      <c r="AG1928" s="41"/>
      <c r="AH1928" s="32"/>
      <c r="AI1928" s="32"/>
      <c r="AL1928" s="32"/>
      <c r="AM1928" s="32"/>
      <c r="AN1928" s="32"/>
      <c r="AO1928" s="32"/>
      <c r="AP1928" s="32"/>
      <c r="AQ1928" s="32"/>
      <c r="AR1928" s="32"/>
      <c r="AS1928" s="32"/>
      <c r="AT1928" s="32"/>
      <c r="AU1928" s="32"/>
      <c r="XEY1928" s="27"/>
      <c r="XEZ1928" s="27"/>
      <c r="XFA1928" s="27"/>
      <c r="XFB1928" s="27"/>
      <c r="XFC1928" s="27"/>
      <c r="XFD1928" s="27"/>
    </row>
    <row r="1929" s="42" customFormat="true" ht="14.15" hidden="false" customHeight="true" outlineLevel="0" collapsed="false">
      <c r="A1929" s="28" t="s">
        <v>10524</v>
      </c>
      <c r="B1929" s="29" t="s">
        <v>10525</v>
      </c>
      <c r="C1929" s="29" t="s">
        <v>10526</v>
      </c>
      <c r="D1929" s="30" t="s">
        <v>50</v>
      </c>
      <c r="E1929" s="31"/>
      <c r="F1929" s="32" t="n">
        <v>58</v>
      </c>
      <c r="G1929" s="31"/>
      <c r="H1929" s="31" t="n">
        <v>1</v>
      </c>
      <c r="I1929" s="31" t="s">
        <v>51</v>
      </c>
      <c r="J1929" s="29" t="s">
        <v>2010</v>
      </c>
      <c r="K1929" s="29" t="s">
        <v>2011</v>
      </c>
      <c r="L1929" s="32" t="n">
        <v>37</v>
      </c>
      <c r="M1929" s="33" t="s">
        <v>2012</v>
      </c>
      <c r="N1929" s="34" t="n">
        <v>75015</v>
      </c>
      <c r="O1929" s="35" t="s">
        <v>55</v>
      </c>
      <c r="P1929" s="36" t="s">
        <v>7251</v>
      </c>
      <c r="Q1929" s="36" t="n">
        <v>19</v>
      </c>
      <c r="R1929" s="32" t="n">
        <v>195</v>
      </c>
      <c r="S1929" s="32" t="n">
        <v>0</v>
      </c>
      <c r="T1929" s="32"/>
      <c r="U1929" s="32"/>
      <c r="V1929" s="37"/>
      <c r="W1929" s="32"/>
      <c r="X1929" s="34"/>
      <c r="Y1929" s="34"/>
      <c r="Z1929" s="32"/>
      <c r="AA1929" s="32" t="s">
        <v>10527</v>
      </c>
      <c r="AB1929" s="32"/>
      <c r="AC1929" s="38" t="str">
        <f aca="false">HYPERLINK("https://biocodex6--c.vf.force.com/0014L00000KFsPuQAL", "MIRCHER CLOTILDE")</f>
        <v>MIRCHER CLOTILDE</v>
      </c>
      <c r="AD1929" s="38"/>
      <c r="AE1929" s="39"/>
      <c r="AF1929" s="40"/>
      <c r="AG1929" s="41"/>
      <c r="AH1929" s="32"/>
      <c r="AI1929" s="32"/>
      <c r="AL1929" s="32"/>
      <c r="AM1929" s="32"/>
      <c r="AN1929" s="32"/>
      <c r="AO1929" s="32"/>
      <c r="AP1929" s="32"/>
      <c r="AQ1929" s="32"/>
      <c r="AR1929" s="32"/>
      <c r="AS1929" s="32"/>
      <c r="AT1929" s="32"/>
      <c r="AU1929" s="32"/>
      <c r="XEY1929" s="27"/>
      <c r="XEZ1929" s="27"/>
      <c r="XFA1929" s="27"/>
      <c r="XFB1929" s="27"/>
      <c r="XFC1929" s="27"/>
      <c r="XFD1929" s="27"/>
    </row>
    <row r="1930" s="42" customFormat="true" ht="14.15" hidden="false" customHeight="true" outlineLevel="0" collapsed="false">
      <c r="A1930" s="28" t="s">
        <v>10528</v>
      </c>
      <c r="B1930" s="29" t="s">
        <v>1130</v>
      </c>
      <c r="C1930" s="29" t="s">
        <v>10529</v>
      </c>
      <c r="D1930" s="30" t="s">
        <v>50</v>
      </c>
      <c r="E1930" s="31"/>
      <c r="F1930" s="32" t="n">
        <v>60</v>
      </c>
      <c r="G1930" s="31"/>
      <c r="H1930" s="31" t="n">
        <v>1</v>
      </c>
      <c r="I1930" s="31" t="s">
        <v>197</v>
      </c>
      <c r="J1930" s="29"/>
      <c r="K1930" s="29" t="s">
        <v>10506</v>
      </c>
      <c r="L1930" s="32" t="n">
        <v>1</v>
      </c>
      <c r="M1930" s="33" t="s">
        <v>10507</v>
      </c>
      <c r="N1930" s="34" t="n">
        <v>75017</v>
      </c>
      <c r="O1930" s="35" t="s">
        <v>55</v>
      </c>
      <c r="P1930" s="36" t="s">
        <v>10508</v>
      </c>
      <c r="Q1930" s="36" t="n">
        <v>3</v>
      </c>
      <c r="R1930" s="32" t="n">
        <v>194</v>
      </c>
      <c r="S1930" s="32" t="n">
        <v>0</v>
      </c>
      <c r="T1930" s="32"/>
      <c r="U1930" s="32"/>
      <c r="V1930" s="37"/>
      <c r="W1930" s="32"/>
      <c r="X1930" s="34"/>
      <c r="Y1930" s="34"/>
      <c r="Z1930" s="32"/>
      <c r="AA1930" s="32" t="s">
        <v>10530</v>
      </c>
      <c r="AB1930" s="32"/>
      <c r="AC1930" s="38" t="str">
        <f aca="false">HYPERLINK("https://biocodex6--c.vf.force.com/0014L00000KFk88QAD", "JOST DANIEL")</f>
        <v>JOST DANIEL</v>
      </c>
      <c r="AD1930" s="38"/>
      <c r="AE1930" s="39"/>
      <c r="AF1930" s="40"/>
      <c r="AG1930" s="41"/>
      <c r="AH1930" s="32"/>
      <c r="AI1930" s="32"/>
      <c r="AL1930" s="32"/>
      <c r="AM1930" s="32"/>
      <c r="AN1930" s="32"/>
      <c r="AO1930" s="32"/>
      <c r="AP1930" s="32"/>
      <c r="AQ1930" s="32"/>
      <c r="AR1930" s="32"/>
      <c r="AS1930" s="32"/>
      <c r="AT1930" s="32"/>
      <c r="AU1930" s="32"/>
      <c r="XEY1930" s="27"/>
      <c r="XEZ1930" s="27"/>
      <c r="XFA1930" s="27"/>
      <c r="XFB1930" s="27"/>
      <c r="XFC1930" s="27"/>
      <c r="XFD1930" s="27"/>
    </row>
    <row r="1931" s="42" customFormat="true" ht="14.15" hidden="false" customHeight="true" outlineLevel="0" collapsed="false">
      <c r="A1931" s="28" t="s">
        <v>10531</v>
      </c>
      <c r="B1931" s="29" t="s">
        <v>10532</v>
      </c>
      <c r="C1931" s="29" t="s">
        <v>10533</v>
      </c>
      <c r="D1931" s="30" t="s">
        <v>50</v>
      </c>
      <c r="E1931" s="31"/>
      <c r="F1931" s="32" t="n">
        <v>75</v>
      </c>
      <c r="G1931" s="31"/>
      <c r="H1931" s="31" t="n">
        <v>1</v>
      </c>
      <c r="I1931" s="31" t="s">
        <v>51</v>
      </c>
      <c r="J1931" s="29" t="s">
        <v>52</v>
      </c>
      <c r="K1931" s="29" t="s">
        <v>53</v>
      </c>
      <c r="L1931" s="32" t="n">
        <v>149</v>
      </c>
      <c r="M1931" s="33" t="s">
        <v>54</v>
      </c>
      <c r="N1931" s="34" t="n">
        <v>75015</v>
      </c>
      <c r="O1931" s="35" t="s">
        <v>55</v>
      </c>
      <c r="P1931" s="36" t="s">
        <v>10534</v>
      </c>
      <c r="Q1931" s="36" t="n">
        <v>236</v>
      </c>
      <c r="R1931" s="32" t="n">
        <v>186</v>
      </c>
      <c r="S1931" s="32" t="n">
        <v>0</v>
      </c>
      <c r="T1931" s="32"/>
      <c r="U1931" s="32"/>
      <c r="V1931" s="37"/>
      <c r="W1931" s="32"/>
      <c r="X1931" s="34"/>
      <c r="Y1931" s="34"/>
      <c r="Z1931" s="32"/>
      <c r="AA1931" s="32" t="s">
        <v>10535</v>
      </c>
      <c r="AB1931" s="32"/>
      <c r="AC1931" s="38" t="str">
        <f aca="false">HYPERLINK("https://biocodex6--c.vf.force.com/0014L00000KFfTYQA1", "CHATENOUD LUCIENNE")</f>
        <v>CHATENOUD LUCIENNE</v>
      </c>
      <c r="AD1931" s="38"/>
      <c r="AE1931" s="39"/>
      <c r="AF1931" s="40"/>
      <c r="AG1931" s="41"/>
      <c r="AH1931" s="32"/>
      <c r="AI1931" s="32"/>
      <c r="AL1931" s="32"/>
      <c r="AM1931" s="32"/>
      <c r="AN1931" s="32"/>
      <c r="AO1931" s="32"/>
      <c r="AP1931" s="32"/>
      <c r="AQ1931" s="32"/>
      <c r="AR1931" s="32"/>
      <c r="AS1931" s="32"/>
      <c r="AT1931" s="32"/>
      <c r="AU1931" s="32"/>
      <c r="XEY1931" s="27"/>
      <c r="XEZ1931" s="27"/>
      <c r="XFA1931" s="27"/>
      <c r="XFB1931" s="27"/>
      <c r="XFC1931" s="27"/>
      <c r="XFD1931" s="27"/>
    </row>
    <row r="1932" s="42" customFormat="true" ht="14.15" hidden="false" customHeight="true" outlineLevel="0" collapsed="false">
      <c r="A1932" s="28" t="s">
        <v>5052</v>
      </c>
      <c r="B1932" s="29" t="s">
        <v>643</v>
      </c>
      <c r="C1932" s="29" t="s">
        <v>10536</v>
      </c>
      <c r="D1932" s="30" t="s">
        <v>50</v>
      </c>
      <c r="E1932" s="30" t="s">
        <v>401</v>
      </c>
      <c r="F1932" s="32" t="n">
        <v>72</v>
      </c>
      <c r="G1932" s="31" t="s">
        <v>98</v>
      </c>
      <c r="H1932" s="31" t="n">
        <v>1</v>
      </c>
      <c r="I1932" s="31" t="s">
        <v>62</v>
      </c>
      <c r="J1932" s="29"/>
      <c r="K1932" s="29" t="s">
        <v>10537</v>
      </c>
      <c r="L1932" s="32" t="n">
        <v>105</v>
      </c>
      <c r="M1932" s="33" t="s">
        <v>4230</v>
      </c>
      <c r="N1932" s="34" t="n">
        <v>75017</v>
      </c>
      <c r="O1932" s="35" t="s">
        <v>55</v>
      </c>
      <c r="P1932" s="36"/>
      <c r="Q1932" s="36" t="n">
        <v>1</v>
      </c>
      <c r="R1932" s="32" t="n">
        <v>172</v>
      </c>
      <c r="S1932" s="32" t="n">
        <v>0</v>
      </c>
      <c r="T1932" s="32"/>
      <c r="U1932" s="32"/>
      <c r="V1932" s="37"/>
      <c r="W1932" s="32"/>
      <c r="X1932" s="34"/>
      <c r="Y1932" s="34"/>
      <c r="Z1932" s="32"/>
      <c r="AA1932" s="32" t="s">
        <v>10538</v>
      </c>
      <c r="AB1932" s="32" t="s">
        <v>10539</v>
      </c>
      <c r="AC1932" s="38" t="str">
        <f aca="false">HYPERLINK("https://biocodex6--c.vf.force.com/0014L00000KFqt8QAD", "MAURICE PIERRE")</f>
        <v>MAURICE PIERRE</v>
      </c>
      <c r="AD1932" s="38" t="str">
        <f aca="false">HYPERLINK("https://annuairesante.ameli.fr/professionnels-de-sante/recherche/fiche-detaillee-B7c1mjA1ODGy.html", "MAURICE PIERRE")</f>
        <v>MAURICE PIERRE</v>
      </c>
      <c r="AE1932" s="39"/>
      <c r="AF1932" s="40"/>
      <c r="AG1932" s="41"/>
      <c r="AH1932" s="32"/>
      <c r="AI1932" s="32"/>
      <c r="AL1932" s="32"/>
      <c r="AM1932" s="32"/>
      <c r="AN1932" s="32"/>
      <c r="AO1932" s="32"/>
      <c r="AP1932" s="32"/>
      <c r="AQ1932" s="32"/>
      <c r="AR1932" s="32"/>
      <c r="AS1932" s="32"/>
      <c r="AT1932" s="32"/>
      <c r="AU1932" s="32"/>
      <c r="XEY1932" s="27"/>
      <c r="XEZ1932" s="27"/>
      <c r="XFA1932" s="27"/>
      <c r="XFB1932" s="27"/>
      <c r="XFC1932" s="27"/>
      <c r="XFD1932" s="27"/>
    </row>
    <row r="1933" s="42" customFormat="true" ht="14.15" hidden="false" customHeight="true" outlineLevel="0" collapsed="false">
      <c r="A1933" s="28" t="s">
        <v>9413</v>
      </c>
      <c r="B1933" s="29" t="s">
        <v>2738</v>
      </c>
      <c r="C1933" s="29" t="s">
        <v>10540</v>
      </c>
      <c r="D1933" s="30" t="s">
        <v>50</v>
      </c>
      <c r="E1933" s="31"/>
      <c r="F1933" s="32" t="n">
        <v>63</v>
      </c>
      <c r="G1933" s="31"/>
      <c r="H1933" s="31" t="n">
        <v>1</v>
      </c>
      <c r="I1933" s="31" t="s">
        <v>119</v>
      </c>
      <c r="J1933" s="29"/>
      <c r="K1933" s="29" t="s">
        <v>10541</v>
      </c>
      <c r="L1933" s="32" t="n">
        <v>35</v>
      </c>
      <c r="M1933" s="33" t="s">
        <v>3806</v>
      </c>
      <c r="N1933" s="34" t="n">
        <v>75007</v>
      </c>
      <c r="O1933" s="35" t="s">
        <v>55</v>
      </c>
      <c r="P1933" s="36"/>
      <c r="Q1933" s="36" t="n">
        <v>1</v>
      </c>
      <c r="R1933" s="32" t="n">
        <v>164</v>
      </c>
      <c r="S1933" s="32" t="n">
        <v>0</v>
      </c>
      <c r="T1933" s="32"/>
      <c r="U1933" s="32"/>
      <c r="V1933" s="37"/>
      <c r="W1933" s="32"/>
      <c r="X1933" s="34"/>
      <c r="Y1933" s="34"/>
      <c r="Z1933" s="32"/>
      <c r="AA1933" s="32" t="s">
        <v>10542</v>
      </c>
      <c r="AB1933" s="32"/>
      <c r="AC1933" s="38" t="str">
        <f aca="false">HYPERLINK("https://biocodex6--c.vf.force.com/0014L00000KFglMQAT", "GOZLAN RUTH")</f>
        <v>GOZLAN RUTH</v>
      </c>
      <c r="AD1933" s="38"/>
      <c r="AE1933" s="39"/>
      <c r="AF1933" s="40"/>
      <c r="AG1933" s="41"/>
      <c r="AH1933" s="32"/>
      <c r="AI1933" s="32"/>
      <c r="AL1933" s="32"/>
      <c r="AM1933" s="32"/>
      <c r="AN1933" s="32"/>
      <c r="AO1933" s="32"/>
      <c r="AP1933" s="32"/>
      <c r="AQ1933" s="32"/>
      <c r="AR1933" s="32"/>
      <c r="AS1933" s="32"/>
      <c r="AT1933" s="32"/>
      <c r="AU1933" s="32"/>
      <c r="XEY1933" s="27"/>
      <c r="XEZ1933" s="27"/>
      <c r="XFA1933" s="27"/>
      <c r="XFB1933" s="27"/>
      <c r="XFC1933" s="27"/>
      <c r="XFD1933" s="27"/>
    </row>
    <row r="1934" s="42" customFormat="true" ht="14.15" hidden="false" customHeight="true" outlineLevel="0" collapsed="false">
      <c r="A1934" s="28" t="s">
        <v>10543</v>
      </c>
      <c r="B1934" s="29" t="s">
        <v>10544</v>
      </c>
      <c r="C1934" s="29" t="s">
        <v>10545</v>
      </c>
      <c r="D1934" s="30" t="s">
        <v>50</v>
      </c>
      <c r="E1934" s="31"/>
      <c r="F1934" s="32" t="n">
        <v>0</v>
      </c>
      <c r="G1934" s="31"/>
      <c r="H1934" s="31" t="n">
        <v>1</v>
      </c>
      <c r="I1934" s="31" t="s">
        <v>99</v>
      </c>
      <c r="J1934" s="29" t="s">
        <v>595</v>
      </c>
      <c r="K1934" s="29" t="s">
        <v>596</v>
      </c>
      <c r="L1934" s="32" t="n">
        <v>20</v>
      </c>
      <c r="M1934" s="33" t="s">
        <v>597</v>
      </c>
      <c r="N1934" s="34" t="n">
        <v>75015</v>
      </c>
      <c r="O1934" s="35" t="s">
        <v>55</v>
      </c>
      <c r="P1934" s="36" t="s">
        <v>10546</v>
      </c>
      <c r="Q1934" s="36" t="n">
        <v>90</v>
      </c>
      <c r="R1934" s="32" t="n">
        <v>159</v>
      </c>
      <c r="S1934" s="32" t="n">
        <v>0</v>
      </c>
      <c r="T1934" s="32"/>
      <c r="U1934" s="32"/>
      <c r="V1934" s="37"/>
      <c r="W1934" s="32"/>
      <c r="X1934" s="34"/>
      <c r="Y1934" s="34"/>
      <c r="Z1934" s="32"/>
      <c r="AA1934" s="32" t="s">
        <v>10547</v>
      </c>
      <c r="AB1934" s="32"/>
      <c r="AC1934" s="38" t="str">
        <f aca="false">HYPERLINK("https://biocodex6--c.vf.force.com/0014L00000KG7wYQAT", "ZENNARO MARIA CHRISTINA")</f>
        <v>ZENNARO MARIA CHRISTINA</v>
      </c>
      <c r="AD1934" s="38"/>
      <c r="AE1934" s="39"/>
      <c r="AF1934" s="40"/>
      <c r="AG1934" s="41"/>
      <c r="AH1934" s="32"/>
      <c r="AI1934" s="32"/>
      <c r="AL1934" s="32"/>
      <c r="AM1934" s="32"/>
      <c r="AN1934" s="32"/>
      <c r="AO1934" s="32"/>
      <c r="AP1934" s="32"/>
      <c r="AQ1934" s="32"/>
      <c r="AR1934" s="32"/>
      <c r="AS1934" s="32"/>
      <c r="AT1934" s="32"/>
      <c r="AU1934" s="32"/>
      <c r="XEY1934" s="27"/>
      <c r="XEZ1934" s="27"/>
      <c r="XFA1934" s="27"/>
      <c r="XFB1934" s="27"/>
      <c r="XFC1934" s="27"/>
      <c r="XFD1934" s="27"/>
    </row>
    <row r="1935" s="42" customFormat="true" ht="14.15" hidden="false" customHeight="true" outlineLevel="0" collapsed="false">
      <c r="A1935" s="28" t="s">
        <v>10548</v>
      </c>
      <c r="B1935" s="29" t="s">
        <v>9354</v>
      </c>
      <c r="C1935" s="29" t="s">
        <v>10549</v>
      </c>
      <c r="D1935" s="30" t="s">
        <v>50</v>
      </c>
      <c r="E1935" s="31"/>
      <c r="F1935" s="32" t="n">
        <v>64</v>
      </c>
      <c r="G1935" s="31"/>
      <c r="H1935" s="31" t="n">
        <v>2</v>
      </c>
      <c r="I1935" s="31" t="s">
        <v>51</v>
      </c>
      <c r="J1935" s="29" t="s">
        <v>52</v>
      </c>
      <c r="K1935" s="29" t="s">
        <v>53</v>
      </c>
      <c r="L1935" s="32" t="n">
        <v>149</v>
      </c>
      <c r="M1935" s="33" t="s">
        <v>54</v>
      </c>
      <c r="N1935" s="34" t="n">
        <v>75015</v>
      </c>
      <c r="O1935" s="35" t="s">
        <v>55</v>
      </c>
      <c r="P1935" s="36" t="s">
        <v>1710</v>
      </c>
      <c r="Q1935" s="36" t="n">
        <v>236</v>
      </c>
      <c r="R1935" s="32" t="n">
        <v>156</v>
      </c>
      <c r="S1935" s="32" t="n">
        <v>0</v>
      </c>
      <c r="T1935" s="32"/>
      <c r="U1935" s="32"/>
      <c r="V1935" s="37"/>
      <c r="W1935" s="32"/>
      <c r="X1935" s="34"/>
      <c r="Y1935" s="34"/>
      <c r="Z1935" s="32"/>
      <c r="AA1935" s="32" t="s">
        <v>10550</v>
      </c>
      <c r="AB1935" s="32"/>
      <c r="AC1935" s="38" t="str">
        <f aca="false">HYPERLINK("https://biocodex6--c.vf.force.com/0014L00000KFXR5QAP", "DEROSSI ARNAUD")</f>
        <v>DEROSSI ARNAUD</v>
      </c>
      <c r="AD1935" s="38"/>
      <c r="AE1935" s="39"/>
      <c r="AF1935" s="40"/>
      <c r="AG1935" s="41"/>
      <c r="AH1935" s="32"/>
      <c r="AI1935" s="32"/>
      <c r="AL1935" s="32"/>
      <c r="AM1935" s="32"/>
      <c r="AN1935" s="32"/>
      <c r="AO1935" s="32"/>
      <c r="AP1935" s="32"/>
      <c r="AQ1935" s="32"/>
      <c r="AR1935" s="32"/>
      <c r="AS1935" s="32"/>
      <c r="AT1935" s="32"/>
      <c r="AU1935" s="32"/>
      <c r="XEY1935" s="27"/>
      <c r="XEZ1935" s="27"/>
      <c r="XFA1935" s="27"/>
      <c r="XFB1935" s="27"/>
      <c r="XFC1935" s="27"/>
      <c r="XFD1935" s="27"/>
    </row>
    <row r="1936" s="42" customFormat="true" ht="14.15" hidden="false" customHeight="true" outlineLevel="0" collapsed="false">
      <c r="A1936" s="28" t="s">
        <v>10551</v>
      </c>
      <c r="B1936" s="29" t="s">
        <v>195</v>
      </c>
      <c r="C1936" s="29" t="s">
        <v>10552</v>
      </c>
      <c r="D1936" s="30" t="s">
        <v>50</v>
      </c>
      <c r="E1936" s="31"/>
      <c r="F1936" s="32" t="n">
        <v>67</v>
      </c>
      <c r="G1936" s="31"/>
      <c r="H1936" s="31" t="n">
        <v>1</v>
      </c>
      <c r="I1936" s="31" t="s">
        <v>295</v>
      </c>
      <c r="J1936" s="29"/>
      <c r="K1936" s="29" t="s">
        <v>10553</v>
      </c>
      <c r="L1936" s="32" t="n">
        <v>1</v>
      </c>
      <c r="M1936" s="33" t="s">
        <v>10554</v>
      </c>
      <c r="N1936" s="34" t="n">
        <v>92300</v>
      </c>
      <c r="O1936" s="35" t="s">
        <v>298</v>
      </c>
      <c r="P1936" s="36" t="s">
        <v>10555</v>
      </c>
      <c r="Q1936" s="36" t="n">
        <v>2</v>
      </c>
      <c r="R1936" s="32" t="n">
        <v>156</v>
      </c>
      <c r="S1936" s="32" t="n">
        <v>0</v>
      </c>
      <c r="T1936" s="32"/>
      <c r="U1936" s="32"/>
      <c r="V1936" s="37"/>
      <c r="W1936" s="32"/>
      <c r="X1936" s="34"/>
      <c r="Y1936" s="34"/>
      <c r="Z1936" s="32"/>
      <c r="AA1936" s="32" t="s">
        <v>10556</v>
      </c>
      <c r="AB1936" s="32"/>
      <c r="AC1936" s="38" t="str">
        <f aca="false">HYPERLINK("https://biocodex6--c.vf.force.com/0014L00000KFUFsQAP", "BIBERSON PHILIPPE")</f>
        <v>BIBERSON PHILIPPE</v>
      </c>
      <c r="AD1936" s="38"/>
      <c r="AE1936" s="39"/>
      <c r="AF1936" s="40"/>
      <c r="AG1936" s="41"/>
      <c r="AH1936" s="32"/>
      <c r="AI1936" s="32"/>
      <c r="AL1936" s="32"/>
      <c r="AM1936" s="32"/>
      <c r="AN1936" s="32"/>
      <c r="AO1936" s="32"/>
      <c r="AP1936" s="32"/>
      <c r="AQ1936" s="32"/>
      <c r="AR1936" s="32"/>
      <c r="AS1936" s="32"/>
      <c r="AT1936" s="32"/>
      <c r="AU1936" s="32"/>
      <c r="XEY1936" s="27"/>
      <c r="XEZ1936" s="27"/>
      <c r="XFA1936" s="27"/>
      <c r="XFB1936" s="27"/>
      <c r="XFC1936" s="27"/>
      <c r="XFD1936" s="27"/>
    </row>
    <row r="1937" s="42" customFormat="true" ht="14.15" hidden="false" customHeight="true" outlineLevel="0" collapsed="false">
      <c r="A1937" s="28" t="s">
        <v>10557</v>
      </c>
      <c r="B1937" s="29" t="s">
        <v>128</v>
      </c>
      <c r="C1937" s="29" t="s">
        <v>10558</v>
      </c>
      <c r="D1937" s="30" t="s">
        <v>50</v>
      </c>
      <c r="E1937" s="31"/>
      <c r="F1937" s="32"/>
      <c r="G1937" s="31"/>
      <c r="H1937" s="31" t="n">
        <v>1</v>
      </c>
      <c r="I1937" s="31" t="s">
        <v>233</v>
      </c>
      <c r="J1937" s="29"/>
      <c r="K1937" s="29" t="s">
        <v>10559</v>
      </c>
      <c r="L1937" s="32" t="n">
        <v>63</v>
      </c>
      <c r="M1937" s="33" t="s">
        <v>1996</v>
      </c>
      <c r="N1937" s="34" t="n">
        <v>75015</v>
      </c>
      <c r="O1937" s="35" t="s">
        <v>55</v>
      </c>
      <c r="P1937" s="36" t="s">
        <v>10560</v>
      </c>
      <c r="Q1937" s="36" t="n">
        <v>1</v>
      </c>
      <c r="R1937" s="32" t="n">
        <v>149</v>
      </c>
      <c r="S1937" s="32" t="n">
        <v>0</v>
      </c>
      <c r="T1937" s="32"/>
      <c r="U1937" s="32"/>
      <c r="V1937" s="37"/>
      <c r="W1937" s="32"/>
      <c r="X1937" s="34"/>
      <c r="Y1937" s="34"/>
      <c r="Z1937" s="32"/>
      <c r="AA1937" s="32" t="s">
        <v>10561</v>
      </c>
      <c r="AB1937" s="32"/>
      <c r="AC1937" s="38" t="str">
        <f aca="false">HYPERLINK("https://biocodex6--c.vf.force.com/0014L00000KFUN3QAP", "BILLARD FRANCOISE")</f>
        <v>BILLARD FRANCOISE</v>
      </c>
      <c r="AD1937" s="38"/>
      <c r="AE1937" s="39"/>
      <c r="AF1937" s="40"/>
      <c r="AG1937" s="41"/>
      <c r="AH1937" s="32"/>
      <c r="AI1937" s="32"/>
      <c r="AL1937" s="32"/>
      <c r="AM1937" s="32"/>
      <c r="AN1937" s="32"/>
      <c r="AO1937" s="32"/>
      <c r="AP1937" s="32"/>
      <c r="AQ1937" s="32"/>
      <c r="AR1937" s="32"/>
      <c r="AS1937" s="32"/>
      <c r="AT1937" s="32"/>
      <c r="AU1937" s="32"/>
      <c r="XEY1937" s="27"/>
      <c r="XEZ1937" s="27"/>
      <c r="XFA1937" s="27"/>
      <c r="XFB1937" s="27"/>
      <c r="XFC1937" s="27"/>
      <c r="XFD1937" s="27"/>
    </row>
    <row r="1938" s="42" customFormat="true" ht="14.15" hidden="false" customHeight="true" outlineLevel="0" collapsed="false">
      <c r="A1938" s="28" t="s">
        <v>2433</v>
      </c>
      <c r="B1938" s="29" t="s">
        <v>861</v>
      </c>
      <c r="C1938" s="29" t="s">
        <v>10562</v>
      </c>
      <c r="D1938" s="30" t="s">
        <v>50</v>
      </c>
      <c r="E1938" s="30" t="s">
        <v>1798</v>
      </c>
      <c r="F1938" s="32" t="n">
        <v>58</v>
      </c>
      <c r="G1938" s="31"/>
      <c r="H1938" s="31" t="n">
        <v>1</v>
      </c>
      <c r="I1938" s="31" t="s">
        <v>435</v>
      </c>
      <c r="J1938" s="29"/>
      <c r="K1938" s="29" t="s">
        <v>10563</v>
      </c>
      <c r="L1938" s="32" t="n">
        <v>2</v>
      </c>
      <c r="M1938" s="33" t="s">
        <v>10564</v>
      </c>
      <c r="N1938" s="34" t="n">
        <v>75016</v>
      </c>
      <c r="O1938" s="35" t="s">
        <v>55</v>
      </c>
      <c r="P1938" s="36" t="s">
        <v>10565</v>
      </c>
      <c r="Q1938" s="36" t="n">
        <v>1</v>
      </c>
      <c r="R1938" s="32" t="n">
        <v>144</v>
      </c>
      <c r="S1938" s="32" t="n">
        <v>0</v>
      </c>
      <c r="T1938" s="32"/>
      <c r="U1938" s="32"/>
      <c r="V1938" s="37"/>
      <c r="W1938" s="32"/>
      <c r="X1938" s="34"/>
      <c r="Y1938" s="34"/>
      <c r="Z1938" s="32"/>
      <c r="AA1938" s="32" t="s">
        <v>10566</v>
      </c>
      <c r="AB1938" s="32"/>
      <c r="AC1938" s="38" t="str">
        <f aca="false">HYPERLINK("https://biocodex6--c.vf.force.com/0014L00000KFSyeQAH", "BERNARD CHRISTOPHE")</f>
        <v>BERNARD CHRISTOPHE</v>
      </c>
      <c r="AD1938" s="38"/>
      <c r="AE1938" s="39"/>
      <c r="AF1938" s="40"/>
      <c r="AG1938" s="41"/>
      <c r="AH1938" s="32"/>
      <c r="AI1938" s="32"/>
      <c r="AL1938" s="32"/>
      <c r="AM1938" s="32"/>
      <c r="AN1938" s="32"/>
      <c r="AO1938" s="32"/>
      <c r="AP1938" s="32"/>
      <c r="AQ1938" s="32"/>
      <c r="AR1938" s="32"/>
      <c r="AS1938" s="32"/>
      <c r="AT1938" s="32"/>
      <c r="AU1938" s="32"/>
      <c r="XEY1938" s="27"/>
      <c r="XEZ1938" s="27"/>
      <c r="XFA1938" s="27"/>
      <c r="XFB1938" s="27"/>
      <c r="XFC1938" s="27"/>
      <c r="XFD1938" s="27"/>
    </row>
    <row r="1939" s="42" customFormat="true" ht="14.15" hidden="false" customHeight="true" outlineLevel="0" collapsed="false">
      <c r="A1939" s="28" t="s">
        <v>10567</v>
      </c>
      <c r="B1939" s="29" t="s">
        <v>1304</v>
      </c>
      <c r="C1939" s="29" t="s">
        <v>10568</v>
      </c>
      <c r="D1939" s="30" t="s">
        <v>244</v>
      </c>
      <c r="E1939" s="30" t="s">
        <v>2740</v>
      </c>
      <c r="F1939" s="32" t="n">
        <v>36</v>
      </c>
      <c r="G1939" s="31" t="s">
        <v>215</v>
      </c>
      <c r="H1939" s="31" t="n">
        <v>1</v>
      </c>
      <c r="I1939" s="31" t="s">
        <v>435</v>
      </c>
      <c r="J1939" s="29" t="s">
        <v>2209</v>
      </c>
      <c r="K1939" s="29" t="s">
        <v>2210</v>
      </c>
      <c r="L1939" s="32" t="n">
        <v>4</v>
      </c>
      <c r="M1939" s="33" t="s">
        <v>3465</v>
      </c>
      <c r="N1939" s="34" t="n">
        <v>75016</v>
      </c>
      <c r="O1939" s="35" t="s">
        <v>55</v>
      </c>
      <c r="P1939" s="36" t="s">
        <v>3466</v>
      </c>
      <c r="Q1939" s="36" t="n">
        <v>5</v>
      </c>
      <c r="R1939" s="32" t="n">
        <v>140</v>
      </c>
      <c r="S1939" s="32" t="n">
        <v>0</v>
      </c>
      <c r="T1939" s="32"/>
      <c r="U1939" s="32"/>
      <c r="V1939" s="37" t="n">
        <v>3</v>
      </c>
      <c r="W1939" s="32"/>
      <c r="X1939" s="34"/>
      <c r="Y1939" s="34"/>
      <c r="Z1939" s="32"/>
      <c r="AA1939" s="32" t="s">
        <v>10569</v>
      </c>
      <c r="AB1939" s="32" t="s">
        <v>10570</v>
      </c>
      <c r="AC1939" s="38" t="str">
        <f aca="false">HYPERLINK("https://biocodex6--c.vf.force.com/0014L00000KG9F4QAL", "SARFATI PAULINE")</f>
        <v>SARFATI PAULINE</v>
      </c>
      <c r="AD1939" s="38" t="str">
        <f aca="false">HYPERLINK("https://annuairesante.ameli.fr/professionnels-de-sante/recherche/fiche-detaillee-B7c1kjc4NTa2.html", "SARFATI PAULINE")</f>
        <v>SARFATI PAULINE</v>
      </c>
      <c r="AE1939" s="39"/>
      <c r="AF1939" s="40"/>
      <c r="AG1939" s="41"/>
      <c r="AH1939" s="32"/>
      <c r="AI1939" s="32"/>
      <c r="AL1939" s="43" t="s">
        <v>10571</v>
      </c>
      <c r="AM1939" s="32"/>
      <c r="AN1939" s="32"/>
      <c r="AO1939" s="32"/>
      <c r="AP1939" s="43" t="s">
        <v>10571</v>
      </c>
      <c r="AQ1939" s="32"/>
      <c r="AR1939" s="43" t="s">
        <v>909</v>
      </c>
      <c r="AS1939" s="43" t="s">
        <v>910</v>
      </c>
      <c r="AT1939" s="43" t="s">
        <v>10572</v>
      </c>
      <c r="AU1939" s="32"/>
      <c r="XEY1939" s="27"/>
      <c r="XEZ1939" s="27"/>
      <c r="XFA1939" s="27"/>
      <c r="XFB1939" s="27"/>
      <c r="XFC1939" s="27"/>
      <c r="XFD1939" s="27"/>
    </row>
    <row r="1940" s="42" customFormat="true" ht="14.15" hidden="false" customHeight="true" outlineLevel="0" collapsed="false">
      <c r="A1940" s="28" t="s">
        <v>10573</v>
      </c>
      <c r="B1940" s="29" t="s">
        <v>9958</v>
      </c>
      <c r="C1940" s="29" t="s">
        <v>10574</v>
      </c>
      <c r="D1940" s="30" t="s">
        <v>112</v>
      </c>
      <c r="E1940" s="30" t="s">
        <v>245</v>
      </c>
      <c r="F1940" s="32" t="n">
        <v>47</v>
      </c>
      <c r="G1940" s="31"/>
      <c r="H1940" s="31" t="n">
        <v>1</v>
      </c>
      <c r="I1940" s="31" t="s">
        <v>51</v>
      </c>
      <c r="J1940" s="29" t="s">
        <v>52</v>
      </c>
      <c r="K1940" s="29" t="s">
        <v>53</v>
      </c>
      <c r="L1940" s="32" t="n">
        <v>149</v>
      </c>
      <c r="M1940" s="33" t="s">
        <v>54</v>
      </c>
      <c r="N1940" s="34" t="n">
        <v>75015</v>
      </c>
      <c r="O1940" s="35" t="s">
        <v>55</v>
      </c>
      <c r="P1940" s="36" t="s">
        <v>2769</v>
      </c>
      <c r="Q1940" s="36" t="n">
        <v>236</v>
      </c>
      <c r="R1940" s="32" t="n">
        <v>136</v>
      </c>
      <c r="S1940" s="32" t="n">
        <v>0</v>
      </c>
      <c r="T1940" s="32"/>
      <c r="U1940" s="32"/>
      <c r="V1940" s="37"/>
      <c r="W1940" s="32"/>
      <c r="X1940" s="34"/>
      <c r="Y1940" s="34"/>
      <c r="Z1940" s="32"/>
      <c r="AA1940" s="32" t="s">
        <v>10575</v>
      </c>
      <c r="AB1940" s="32"/>
      <c r="AC1940" s="38" t="str">
        <f aca="false">HYPERLINK("https://biocodex6--c.vf.force.com/0014L00000KG3aNQAT", "TAYLOR MELISSA")</f>
        <v>TAYLOR MELISSA</v>
      </c>
      <c r="AD1940" s="38"/>
      <c r="AE1940" s="39"/>
      <c r="AF1940" s="40"/>
      <c r="AG1940" s="41"/>
      <c r="AH1940" s="32"/>
      <c r="AI1940" s="32"/>
      <c r="AL1940" s="32"/>
      <c r="AM1940" s="32"/>
      <c r="AN1940" s="32"/>
      <c r="AO1940" s="32"/>
      <c r="AP1940" s="32"/>
      <c r="AQ1940" s="32"/>
      <c r="AR1940" s="32"/>
      <c r="AS1940" s="32"/>
      <c r="AT1940" s="32"/>
      <c r="AU1940" s="32"/>
      <c r="XEY1940" s="27"/>
      <c r="XEZ1940" s="27"/>
      <c r="XFA1940" s="27"/>
      <c r="XFB1940" s="27"/>
      <c r="XFC1940" s="27"/>
      <c r="XFD1940" s="27"/>
    </row>
    <row r="1941" s="42" customFormat="true" ht="14.15" hidden="false" customHeight="true" outlineLevel="0" collapsed="false">
      <c r="A1941" s="28" t="s">
        <v>10576</v>
      </c>
      <c r="B1941" s="29" t="s">
        <v>8314</v>
      </c>
      <c r="C1941" s="29" t="s">
        <v>10577</v>
      </c>
      <c r="D1941" s="30" t="s">
        <v>112</v>
      </c>
      <c r="E1941" s="31"/>
      <c r="F1941" s="32" t="n">
        <v>42</v>
      </c>
      <c r="G1941" s="31"/>
      <c r="H1941" s="31" t="n">
        <v>2</v>
      </c>
      <c r="I1941" s="31" t="s">
        <v>62</v>
      </c>
      <c r="J1941" s="29"/>
      <c r="K1941" s="29" t="s">
        <v>1779</v>
      </c>
      <c r="L1941" s="32" t="n">
        <v>138</v>
      </c>
      <c r="M1941" s="33" t="s">
        <v>1138</v>
      </c>
      <c r="N1941" s="34" t="n">
        <v>75017</v>
      </c>
      <c r="O1941" s="35" t="s">
        <v>55</v>
      </c>
      <c r="P1941" s="36" t="s">
        <v>1780</v>
      </c>
      <c r="Q1941" s="36" t="n">
        <v>3</v>
      </c>
      <c r="R1941" s="32" t="n">
        <v>136</v>
      </c>
      <c r="S1941" s="32" t="n">
        <v>0</v>
      </c>
      <c r="T1941" s="32"/>
      <c r="U1941" s="32"/>
      <c r="V1941" s="37"/>
      <c r="W1941" s="32"/>
      <c r="X1941" s="34"/>
      <c r="Y1941" s="34"/>
      <c r="Z1941" s="32"/>
      <c r="AA1941" s="32" t="s">
        <v>10578</v>
      </c>
      <c r="AB1941" s="32"/>
      <c r="AC1941" s="38" t="str">
        <f aca="false">HYPERLINK("https://biocodex6--c.vf.force.com/0014L00000KFqHgQAL", "MEYER FRANCISCO ANNE LAURE")</f>
        <v>MEYER FRANCISCO ANNE LAURE</v>
      </c>
      <c r="AD1941" s="38"/>
      <c r="AE1941" s="39"/>
      <c r="AF1941" s="40"/>
      <c r="AG1941" s="41"/>
      <c r="AH1941" s="32"/>
      <c r="AI1941" s="32"/>
      <c r="AL1941" s="32"/>
      <c r="AM1941" s="32"/>
      <c r="AN1941" s="32"/>
      <c r="AO1941" s="32"/>
      <c r="AP1941" s="32"/>
      <c r="AQ1941" s="32"/>
      <c r="AR1941" s="32"/>
      <c r="AS1941" s="32"/>
      <c r="AT1941" s="32"/>
      <c r="AU1941" s="32"/>
      <c r="XEY1941" s="27"/>
      <c r="XEZ1941" s="27"/>
      <c r="XFA1941" s="27"/>
      <c r="XFB1941" s="27"/>
      <c r="XFC1941" s="27"/>
      <c r="XFD1941" s="27"/>
    </row>
    <row r="1942" s="42" customFormat="true" ht="14.15" hidden="false" customHeight="true" outlineLevel="0" collapsed="false">
      <c r="A1942" s="28" t="s">
        <v>10579</v>
      </c>
      <c r="B1942" s="29" t="s">
        <v>10580</v>
      </c>
      <c r="C1942" s="29" t="s">
        <v>10581</v>
      </c>
      <c r="D1942" s="30" t="s">
        <v>112</v>
      </c>
      <c r="E1942" s="30" t="s">
        <v>10582</v>
      </c>
      <c r="F1942" s="32" t="n">
        <v>58</v>
      </c>
      <c r="G1942" s="31"/>
      <c r="H1942" s="31" t="n">
        <v>1</v>
      </c>
      <c r="I1942" s="31" t="s">
        <v>51</v>
      </c>
      <c r="J1942" s="29" t="s">
        <v>52</v>
      </c>
      <c r="K1942" s="29" t="s">
        <v>53</v>
      </c>
      <c r="L1942" s="32" t="n">
        <v>149</v>
      </c>
      <c r="M1942" s="33" t="s">
        <v>54</v>
      </c>
      <c r="N1942" s="34" t="n">
        <v>75015</v>
      </c>
      <c r="O1942" s="35" t="s">
        <v>55</v>
      </c>
      <c r="P1942" s="36" t="s">
        <v>7947</v>
      </c>
      <c r="Q1942" s="36" t="n">
        <v>236</v>
      </c>
      <c r="R1942" s="32" t="n">
        <v>134</v>
      </c>
      <c r="S1942" s="32" t="n">
        <v>0</v>
      </c>
      <c r="T1942" s="32"/>
      <c r="U1942" s="32"/>
      <c r="V1942" s="37"/>
      <c r="W1942" s="32"/>
      <c r="X1942" s="34"/>
      <c r="Y1942" s="34"/>
      <c r="Z1942" s="32"/>
      <c r="AA1942" s="32" t="s">
        <v>10583</v>
      </c>
      <c r="AB1942" s="32"/>
      <c r="AC1942" s="38" t="str">
        <f aca="false">HYPERLINK("https://biocodex6--c.vf.force.com/0014L00000KFRmlQAH", "AMIEL JEANNE")</f>
        <v>AMIEL JEANNE</v>
      </c>
      <c r="AD1942" s="38"/>
      <c r="AE1942" s="39"/>
      <c r="AF1942" s="40"/>
      <c r="AG1942" s="41"/>
      <c r="AH1942" s="32"/>
      <c r="AI1942" s="32"/>
      <c r="AL1942" s="32"/>
      <c r="AM1942" s="32"/>
      <c r="AN1942" s="32"/>
      <c r="AO1942" s="32"/>
      <c r="AP1942" s="32"/>
      <c r="AQ1942" s="32"/>
      <c r="AR1942" s="32"/>
      <c r="AS1942" s="32"/>
      <c r="AT1942" s="32"/>
      <c r="AU1942" s="32"/>
      <c r="XEY1942" s="27"/>
      <c r="XEZ1942" s="27"/>
      <c r="XFA1942" s="27"/>
      <c r="XFB1942" s="27"/>
      <c r="XFC1942" s="27"/>
      <c r="XFD1942" s="27"/>
    </row>
    <row r="1943" s="42" customFormat="true" ht="14.15" hidden="false" customHeight="true" outlineLevel="0" collapsed="false">
      <c r="A1943" s="28" t="s">
        <v>10584</v>
      </c>
      <c r="B1943" s="29" t="s">
        <v>455</v>
      </c>
      <c r="C1943" s="29" t="s">
        <v>10585</v>
      </c>
      <c r="D1943" s="30" t="s">
        <v>112</v>
      </c>
      <c r="E1943" s="31"/>
      <c r="F1943" s="32" t="n">
        <v>55</v>
      </c>
      <c r="G1943" s="31"/>
      <c r="H1943" s="31" t="n">
        <v>1</v>
      </c>
      <c r="I1943" s="31" t="s">
        <v>51</v>
      </c>
      <c r="J1943" s="29" t="s">
        <v>52</v>
      </c>
      <c r="K1943" s="29" t="s">
        <v>53</v>
      </c>
      <c r="L1943" s="32" t="n">
        <v>149</v>
      </c>
      <c r="M1943" s="33" t="s">
        <v>54</v>
      </c>
      <c r="N1943" s="34" t="n">
        <v>75015</v>
      </c>
      <c r="O1943" s="35" t="s">
        <v>55</v>
      </c>
      <c r="P1943" s="36" t="s">
        <v>7947</v>
      </c>
      <c r="Q1943" s="36" t="n">
        <v>236</v>
      </c>
      <c r="R1943" s="32" t="n">
        <v>134</v>
      </c>
      <c r="S1943" s="32" t="n">
        <v>0</v>
      </c>
      <c r="T1943" s="32"/>
      <c r="U1943" s="32"/>
      <c r="V1943" s="37"/>
      <c r="W1943" s="32"/>
      <c r="X1943" s="34"/>
      <c r="Y1943" s="34"/>
      <c r="Z1943" s="32"/>
      <c r="AA1943" s="32" t="s">
        <v>10586</v>
      </c>
      <c r="AB1943" s="32"/>
      <c r="AC1943" s="38" t="str">
        <f aca="false">HYPERLINK("https://biocodex6--c.vf.force.com/0014L00000KFUfnQAH", "BAUJAT DE VOGUE GENEVIEVE")</f>
        <v>BAUJAT DE VOGUE GENEVIEVE</v>
      </c>
      <c r="AD1943" s="38"/>
      <c r="AE1943" s="39"/>
      <c r="AF1943" s="40"/>
      <c r="AG1943" s="41"/>
      <c r="AH1943" s="32"/>
      <c r="AI1943" s="32"/>
      <c r="AL1943" s="32"/>
      <c r="AM1943" s="32"/>
      <c r="AN1943" s="32"/>
      <c r="AO1943" s="32"/>
      <c r="AP1943" s="32"/>
      <c r="AQ1943" s="32"/>
      <c r="AR1943" s="32"/>
      <c r="AS1943" s="32"/>
      <c r="AT1943" s="32"/>
      <c r="AU1943" s="32"/>
      <c r="XEY1943" s="27"/>
      <c r="XEZ1943" s="27"/>
      <c r="XFA1943" s="27"/>
      <c r="XFB1943" s="27"/>
      <c r="XFC1943" s="27"/>
      <c r="XFD1943" s="27"/>
    </row>
    <row r="1944" s="42" customFormat="true" ht="14.15" hidden="false" customHeight="true" outlineLevel="0" collapsed="false">
      <c r="A1944" s="28" t="s">
        <v>10587</v>
      </c>
      <c r="B1944" s="29" t="s">
        <v>10071</v>
      </c>
      <c r="C1944" s="29" t="s">
        <v>10588</v>
      </c>
      <c r="D1944" s="30" t="s">
        <v>112</v>
      </c>
      <c r="E1944" s="31"/>
      <c r="F1944" s="32" t="n">
        <v>37</v>
      </c>
      <c r="G1944" s="31"/>
      <c r="H1944" s="31" t="n">
        <v>1</v>
      </c>
      <c r="I1944" s="31" t="s">
        <v>51</v>
      </c>
      <c r="J1944" s="29" t="s">
        <v>52</v>
      </c>
      <c r="K1944" s="29" t="s">
        <v>53</v>
      </c>
      <c r="L1944" s="32" t="n">
        <v>149</v>
      </c>
      <c r="M1944" s="33" t="s">
        <v>54</v>
      </c>
      <c r="N1944" s="34" t="n">
        <v>75015</v>
      </c>
      <c r="O1944" s="35" t="s">
        <v>55</v>
      </c>
      <c r="P1944" s="36" t="s">
        <v>4610</v>
      </c>
      <c r="Q1944" s="36" t="n">
        <v>236</v>
      </c>
      <c r="R1944" s="32" t="n">
        <v>134</v>
      </c>
      <c r="S1944" s="32" t="n">
        <v>0</v>
      </c>
      <c r="T1944" s="32"/>
      <c r="U1944" s="32"/>
      <c r="V1944" s="37"/>
      <c r="W1944" s="32"/>
      <c r="X1944" s="34"/>
      <c r="Y1944" s="34"/>
      <c r="Z1944" s="32"/>
      <c r="AA1944" s="32" t="s">
        <v>10589</v>
      </c>
      <c r="AB1944" s="32"/>
      <c r="AC1944" s="38" t="str">
        <f aca="false">HYPERLINK("https://biocodex6--c.vf.force.com/0014L00000KFPF3QAP", "BENDAVID MATTHIEU")</f>
        <v>BENDAVID MATTHIEU</v>
      </c>
      <c r="AD1944" s="38"/>
      <c r="AE1944" s="39"/>
      <c r="AF1944" s="40"/>
      <c r="AG1944" s="41"/>
      <c r="AH1944" s="32"/>
      <c r="AI1944" s="32"/>
      <c r="AL1944" s="32"/>
      <c r="AM1944" s="32"/>
      <c r="AN1944" s="32"/>
      <c r="AO1944" s="32"/>
      <c r="AP1944" s="32"/>
      <c r="AQ1944" s="32"/>
      <c r="AR1944" s="32"/>
      <c r="AS1944" s="32"/>
      <c r="AT1944" s="32"/>
      <c r="AU1944" s="32"/>
      <c r="XEY1944" s="27"/>
      <c r="XEZ1944" s="27"/>
      <c r="XFA1944" s="27"/>
      <c r="XFB1944" s="27"/>
      <c r="XFC1944" s="27"/>
      <c r="XFD1944" s="27"/>
    </row>
    <row r="1945" s="42" customFormat="true" ht="14.15" hidden="false" customHeight="true" outlineLevel="0" collapsed="false">
      <c r="A1945" s="28" t="s">
        <v>8301</v>
      </c>
      <c r="B1945" s="29" t="s">
        <v>10590</v>
      </c>
      <c r="C1945" s="29" t="s">
        <v>10591</v>
      </c>
      <c r="D1945" s="30" t="s">
        <v>244</v>
      </c>
      <c r="E1945" s="30" t="s">
        <v>245</v>
      </c>
      <c r="F1945" s="32" t="n">
        <v>88</v>
      </c>
      <c r="G1945" s="31"/>
      <c r="H1945" s="31" t="n">
        <v>1</v>
      </c>
      <c r="I1945" s="31" t="s">
        <v>572</v>
      </c>
      <c r="J1945" s="29" t="s">
        <v>678</v>
      </c>
      <c r="K1945" s="29" t="s">
        <v>679</v>
      </c>
      <c r="L1945" s="32" t="n">
        <v>6</v>
      </c>
      <c r="M1945" s="33" t="s">
        <v>680</v>
      </c>
      <c r="N1945" s="34" t="n">
        <v>75008</v>
      </c>
      <c r="O1945" s="35" t="s">
        <v>55</v>
      </c>
      <c r="P1945" s="36" t="s">
        <v>870</v>
      </c>
      <c r="Q1945" s="36" t="n">
        <v>43</v>
      </c>
      <c r="R1945" s="32" t="n">
        <v>133</v>
      </c>
      <c r="S1945" s="32" t="n">
        <v>0</v>
      </c>
      <c r="T1945" s="32"/>
      <c r="U1945" s="32" t="n">
        <v>3</v>
      </c>
      <c r="V1945" s="37"/>
      <c r="W1945" s="32" t="n">
        <v>3</v>
      </c>
      <c r="X1945" s="34"/>
      <c r="Y1945" s="34" t="n">
        <v>2</v>
      </c>
      <c r="Z1945" s="32"/>
      <c r="AA1945" s="32" t="s">
        <v>10592</v>
      </c>
      <c r="AB1945" s="32"/>
      <c r="AC1945" s="38" t="str">
        <f aca="false">HYPERLINK("https://biocodex6--c.vf.force.com/0014L00000KFSYjQAP", "BENICHOU MARCEL")</f>
        <v>BENICHOU MARCEL</v>
      </c>
      <c r="AD1945" s="38"/>
      <c r="AE1945" s="39" t="n">
        <v>45348.6458333333</v>
      </c>
      <c r="AF1945" s="40" t="s">
        <v>10593</v>
      </c>
      <c r="AG1945" s="41"/>
      <c r="AH1945" s="32"/>
      <c r="AI1945" s="32"/>
      <c r="AL1945" s="32"/>
      <c r="AM1945" s="32"/>
      <c r="AN1945" s="32"/>
      <c r="AO1945" s="32"/>
      <c r="AP1945" s="32"/>
      <c r="AQ1945" s="32"/>
      <c r="AR1945" s="32"/>
      <c r="AS1945" s="32"/>
      <c r="AT1945" s="32"/>
      <c r="AU1945" s="32"/>
      <c r="XEY1945" s="27"/>
      <c r="XEZ1945" s="27"/>
      <c r="XFA1945" s="27"/>
      <c r="XFB1945" s="27"/>
      <c r="XFC1945" s="27"/>
      <c r="XFD1945" s="27"/>
    </row>
    <row r="1946" s="42" customFormat="true" ht="14.15" hidden="false" customHeight="true" outlineLevel="0" collapsed="false">
      <c r="A1946" s="28" t="s">
        <v>2433</v>
      </c>
      <c r="B1946" s="29" t="s">
        <v>1226</v>
      </c>
      <c r="C1946" s="29" t="s">
        <v>10594</v>
      </c>
      <c r="D1946" s="30" t="s">
        <v>244</v>
      </c>
      <c r="E1946" s="30" t="s">
        <v>6050</v>
      </c>
      <c r="F1946" s="32" t="n">
        <v>73</v>
      </c>
      <c r="G1946" s="31" t="s">
        <v>1466</v>
      </c>
      <c r="H1946" s="31" t="n">
        <v>3</v>
      </c>
      <c r="I1946" s="31" t="s">
        <v>51</v>
      </c>
      <c r="J1946" s="29" t="s">
        <v>52</v>
      </c>
      <c r="K1946" s="29" t="s">
        <v>53</v>
      </c>
      <c r="L1946" s="32" t="n">
        <v>149</v>
      </c>
      <c r="M1946" s="33" t="s">
        <v>54</v>
      </c>
      <c r="N1946" s="34" t="n">
        <v>75015</v>
      </c>
      <c r="O1946" s="35" t="s">
        <v>55</v>
      </c>
      <c r="P1946" s="36" t="s">
        <v>10595</v>
      </c>
      <c r="Q1946" s="36" t="n">
        <v>236</v>
      </c>
      <c r="R1946" s="32" t="n">
        <v>123</v>
      </c>
      <c r="S1946" s="32" t="n">
        <v>0</v>
      </c>
      <c r="T1946" s="32"/>
      <c r="U1946" s="32"/>
      <c r="V1946" s="37"/>
      <c r="W1946" s="32"/>
      <c r="X1946" s="34"/>
      <c r="Y1946" s="34"/>
      <c r="Z1946" s="36"/>
      <c r="AA1946" s="32" t="s">
        <v>10596</v>
      </c>
      <c r="AB1946" s="32" t="s">
        <v>10597</v>
      </c>
      <c r="AC1946" s="38" t="str">
        <f aca="false">HYPERLINK("https://biocodex6--c.vf.force.com/0014L00000KFSuuQAH", "BERNARD JEAN PIERRE")</f>
        <v>BERNARD JEAN PIERRE</v>
      </c>
      <c r="AD1946" s="38" t="str">
        <f aca="false">HYPERLINK("https://annuairesante.ameli.fr/professionnels-de-sante/recherche/fiche-detaillee-B7c1lTY1Mzuw.html", "BERNARD JEAN PIERRE")</f>
        <v>BERNARD JEAN PIERRE</v>
      </c>
      <c r="AE1946" s="39"/>
      <c r="AF1946" s="40"/>
      <c r="AG1946" s="41"/>
      <c r="AH1946" s="32" t="s">
        <v>179</v>
      </c>
      <c r="AI1946" s="32"/>
      <c r="AL1946" s="32"/>
      <c r="AM1946" s="32"/>
      <c r="AN1946" s="32"/>
      <c r="AO1946" s="32"/>
      <c r="AP1946" s="32"/>
      <c r="AQ1946" s="32"/>
      <c r="AR1946" s="32"/>
      <c r="AS1946" s="32"/>
      <c r="AT1946" s="32"/>
      <c r="AU1946" s="32"/>
      <c r="XEY1946" s="27"/>
      <c r="XEZ1946" s="27"/>
      <c r="XFA1946" s="27"/>
      <c r="XFB1946" s="27"/>
      <c r="XFC1946" s="27"/>
      <c r="XFD1946" s="27"/>
    </row>
    <row r="1947" s="42" customFormat="true" ht="14.15" hidden="false" customHeight="true" outlineLevel="0" collapsed="false">
      <c r="A1947" s="28" t="s">
        <v>10598</v>
      </c>
      <c r="B1947" s="29" t="s">
        <v>1766</v>
      </c>
      <c r="C1947" s="29" t="s">
        <v>10599</v>
      </c>
      <c r="D1947" s="30" t="s">
        <v>244</v>
      </c>
      <c r="E1947" s="30" t="s">
        <v>245</v>
      </c>
      <c r="F1947" s="32" t="n">
        <v>63</v>
      </c>
      <c r="G1947" s="31" t="s">
        <v>215</v>
      </c>
      <c r="H1947" s="31" t="n">
        <v>1</v>
      </c>
      <c r="I1947" s="31" t="s">
        <v>119</v>
      </c>
      <c r="J1947" s="29"/>
      <c r="K1947" s="29" t="s">
        <v>10600</v>
      </c>
      <c r="L1947" s="32" t="n">
        <v>14</v>
      </c>
      <c r="M1947" s="33" t="s">
        <v>9770</v>
      </c>
      <c r="N1947" s="34" t="n">
        <v>75007</v>
      </c>
      <c r="O1947" s="35" t="s">
        <v>55</v>
      </c>
      <c r="P1947" s="36" t="s">
        <v>10601</v>
      </c>
      <c r="Q1947" s="36" t="n">
        <v>2</v>
      </c>
      <c r="R1947" s="32" t="n">
        <v>120</v>
      </c>
      <c r="S1947" s="32" t="n">
        <v>0</v>
      </c>
      <c r="T1947" s="32"/>
      <c r="U1947" s="32"/>
      <c r="V1947" s="37"/>
      <c r="W1947" s="32"/>
      <c r="X1947" s="34"/>
      <c r="Y1947" s="34"/>
      <c r="Z1947" s="32"/>
      <c r="AA1947" s="32" t="s">
        <v>10602</v>
      </c>
      <c r="AB1947" s="32" t="s">
        <v>10603</v>
      </c>
      <c r="AC1947" s="38" t="str">
        <f aca="false">HYPERLINK("https://biocodex6--c.vf.force.com/0014L00000KFj5EQAT", "JACQUEMARD FRANCOIS")</f>
        <v>JACQUEMARD FRANCOIS</v>
      </c>
      <c r="AD1947" s="38" t="str">
        <f aca="false">HYPERLINK("https://annuairesante.ameli.fr/professionnels-de-sante/recherche/fiche-detaillee-B7c1lTM3NTK1.html", "JACQUEMARD FRANCOIS")</f>
        <v>JACQUEMARD FRANCOIS</v>
      </c>
      <c r="AE1947" s="39"/>
      <c r="AF1947" s="40"/>
      <c r="AG1947" s="41"/>
      <c r="AH1947" s="32"/>
      <c r="AI1947" s="32"/>
      <c r="AL1947" s="32"/>
      <c r="AM1947" s="32"/>
      <c r="AN1947" s="32"/>
      <c r="AO1947" s="32"/>
      <c r="AP1947" s="32"/>
      <c r="AQ1947" s="32"/>
      <c r="AR1947" s="32"/>
      <c r="AS1947" s="32"/>
      <c r="AT1947" s="32"/>
      <c r="AU1947" s="32"/>
      <c r="XEY1947" s="27"/>
      <c r="XEZ1947" s="27"/>
      <c r="XFA1947" s="27"/>
      <c r="XFB1947" s="27"/>
      <c r="XFC1947" s="27"/>
      <c r="XFD1947" s="27"/>
    </row>
    <row r="1948" s="42" customFormat="true" ht="14.15" hidden="false" customHeight="true" outlineLevel="0" collapsed="false">
      <c r="A1948" s="28" t="s">
        <v>10604</v>
      </c>
      <c r="B1948" s="29" t="s">
        <v>2585</v>
      </c>
      <c r="C1948" s="29" t="s">
        <v>10605</v>
      </c>
      <c r="D1948" s="30" t="s">
        <v>112</v>
      </c>
      <c r="E1948" s="30" t="s">
        <v>112</v>
      </c>
      <c r="F1948" s="32" t="n">
        <v>0</v>
      </c>
      <c r="G1948" s="31"/>
      <c r="H1948" s="31" t="n">
        <v>1</v>
      </c>
      <c r="I1948" s="31" t="s">
        <v>51</v>
      </c>
      <c r="J1948" s="29" t="s">
        <v>52</v>
      </c>
      <c r="K1948" s="29" t="s">
        <v>53</v>
      </c>
      <c r="L1948" s="32" t="n">
        <v>149</v>
      </c>
      <c r="M1948" s="33" t="s">
        <v>54</v>
      </c>
      <c r="N1948" s="34" t="n">
        <v>75015</v>
      </c>
      <c r="O1948" s="35" t="s">
        <v>55</v>
      </c>
      <c r="P1948" s="36" t="s">
        <v>269</v>
      </c>
      <c r="Q1948" s="36" t="n">
        <v>236</v>
      </c>
      <c r="R1948" s="32" t="n">
        <v>118</v>
      </c>
      <c r="S1948" s="32" t="n">
        <v>0</v>
      </c>
      <c r="T1948" s="32"/>
      <c r="U1948" s="32"/>
      <c r="V1948" s="37"/>
      <c r="W1948" s="32"/>
      <c r="X1948" s="34"/>
      <c r="Y1948" s="34"/>
      <c r="Z1948" s="32"/>
      <c r="AA1948" s="32"/>
      <c r="AB1948" s="32"/>
      <c r="AC1948" s="38"/>
      <c r="AD1948" s="38"/>
      <c r="AE1948" s="39"/>
      <c r="AF1948" s="40"/>
      <c r="AG1948" s="45"/>
      <c r="AH1948" s="32"/>
      <c r="AI1948" s="32"/>
      <c r="AL1948" s="32"/>
      <c r="AM1948" s="32"/>
      <c r="AN1948" s="32"/>
      <c r="AO1948" s="32"/>
      <c r="AP1948" s="32"/>
      <c r="AQ1948" s="32"/>
      <c r="AR1948" s="32"/>
      <c r="AS1948" s="32"/>
      <c r="AT1948" s="32"/>
      <c r="AU1948" s="32"/>
      <c r="XEY1948" s="27"/>
      <c r="XEZ1948" s="27"/>
      <c r="XFA1948" s="27"/>
      <c r="XFB1948" s="27"/>
      <c r="XFC1948" s="27"/>
      <c r="XFD1948" s="27"/>
    </row>
    <row r="1949" s="42" customFormat="true" ht="14.15" hidden="false" customHeight="true" outlineLevel="0" collapsed="false">
      <c r="A1949" s="28" t="s">
        <v>10606</v>
      </c>
      <c r="B1949" s="29" t="s">
        <v>560</v>
      </c>
      <c r="C1949" s="29" t="s">
        <v>10607</v>
      </c>
      <c r="D1949" s="30" t="s">
        <v>244</v>
      </c>
      <c r="E1949" s="31"/>
      <c r="F1949" s="32" t="n">
        <v>69</v>
      </c>
      <c r="G1949" s="31"/>
      <c r="H1949" s="31" t="n">
        <v>1</v>
      </c>
      <c r="I1949" s="31" t="s">
        <v>119</v>
      </c>
      <c r="J1949" s="29"/>
      <c r="K1949" s="29" t="s">
        <v>10600</v>
      </c>
      <c r="L1949" s="32" t="n">
        <v>14</v>
      </c>
      <c r="M1949" s="33" t="s">
        <v>9770</v>
      </c>
      <c r="N1949" s="34" t="n">
        <v>75007</v>
      </c>
      <c r="O1949" s="35" t="s">
        <v>55</v>
      </c>
      <c r="P1949" s="36" t="s">
        <v>10601</v>
      </c>
      <c r="Q1949" s="36" t="n">
        <v>2</v>
      </c>
      <c r="R1949" s="32" t="n">
        <v>110</v>
      </c>
      <c r="S1949" s="32" t="n">
        <v>0</v>
      </c>
      <c r="T1949" s="32"/>
      <c r="U1949" s="32"/>
      <c r="V1949" s="37"/>
      <c r="W1949" s="32"/>
      <c r="X1949" s="34"/>
      <c r="Y1949" s="34"/>
      <c r="Z1949" s="32"/>
      <c r="AA1949" s="32" t="s">
        <v>10608</v>
      </c>
      <c r="AB1949" s="32"/>
      <c r="AC1949" s="38" t="str">
        <f aca="false">HYPERLINK("https://biocodex6--c.vf.force.com/0014L00000KFbRuQAL", "DU BOUCHER ELISABETH")</f>
        <v>DU BOUCHER ELISABETH</v>
      </c>
      <c r="AD1949" s="38"/>
      <c r="AE1949" s="39"/>
      <c r="AF1949" s="40"/>
      <c r="AG1949" s="41"/>
      <c r="AH1949" s="32"/>
      <c r="AI1949" s="32"/>
      <c r="AL1949" s="32"/>
      <c r="AM1949" s="32"/>
      <c r="AN1949" s="32"/>
      <c r="AO1949" s="32"/>
      <c r="AP1949" s="32"/>
      <c r="AQ1949" s="32"/>
      <c r="AR1949" s="32"/>
      <c r="AS1949" s="32"/>
      <c r="AT1949" s="32"/>
      <c r="AU1949" s="32"/>
      <c r="XEY1949" s="27"/>
      <c r="XEZ1949" s="27"/>
      <c r="XFA1949" s="27"/>
      <c r="XFB1949" s="27"/>
      <c r="XFC1949" s="27"/>
      <c r="XFD1949" s="27"/>
    </row>
    <row r="1950" s="42" customFormat="true" ht="14.15" hidden="false" customHeight="true" outlineLevel="0" collapsed="false">
      <c r="A1950" s="28" t="s">
        <v>10609</v>
      </c>
      <c r="B1950" s="29" t="s">
        <v>10610</v>
      </c>
      <c r="C1950" s="29" t="s">
        <v>10611</v>
      </c>
      <c r="D1950" s="30" t="s">
        <v>112</v>
      </c>
      <c r="E1950" s="30" t="s">
        <v>7666</v>
      </c>
      <c r="F1950" s="32" t="n">
        <v>0</v>
      </c>
      <c r="G1950" s="31"/>
      <c r="H1950" s="31" t="n">
        <v>1</v>
      </c>
      <c r="I1950" s="31" t="s">
        <v>99</v>
      </c>
      <c r="J1950" s="29" t="s">
        <v>595</v>
      </c>
      <c r="K1950" s="29" t="s">
        <v>596</v>
      </c>
      <c r="L1950" s="32" t="n">
        <v>20</v>
      </c>
      <c r="M1950" s="33" t="s">
        <v>597</v>
      </c>
      <c r="N1950" s="34" t="n">
        <v>75015</v>
      </c>
      <c r="O1950" s="35" t="s">
        <v>55</v>
      </c>
      <c r="P1950" s="36" t="s">
        <v>10546</v>
      </c>
      <c r="Q1950" s="36" t="n">
        <v>90</v>
      </c>
      <c r="R1950" s="32" t="n">
        <v>96</v>
      </c>
      <c r="S1950" s="32" t="n">
        <v>0</v>
      </c>
      <c r="T1950" s="32"/>
      <c r="U1950" s="32"/>
      <c r="V1950" s="37"/>
      <c r="W1950" s="32"/>
      <c r="X1950" s="34"/>
      <c r="Y1950" s="34"/>
      <c r="Z1950" s="32"/>
      <c r="AA1950" s="32" t="s">
        <v>10612</v>
      </c>
      <c r="AB1950" s="32"/>
      <c r="AC1950" s="38" t="str">
        <f aca="false">HYPERLINK("https://biocodex6--c.vf.force.com/0014L00000KG4R7QAL", "VARGAS POUSSOU ROSA")</f>
        <v>VARGAS POUSSOU ROSA</v>
      </c>
      <c r="AD1950" s="38"/>
      <c r="AE1950" s="39"/>
      <c r="AF1950" s="40"/>
      <c r="AG1950" s="41"/>
      <c r="AH1950" s="32"/>
      <c r="AI1950" s="32"/>
      <c r="AL1950" s="32"/>
      <c r="AM1950" s="32"/>
      <c r="AN1950" s="32"/>
      <c r="AO1950" s="32"/>
      <c r="AP1950" s="32"/>
      <c r="AQ1950" s="32"/>
      <c r="AR1950" s="32"/>
      <c r="AS1950" s="32"/>
      <c r="AT1950" s="32"/>
      <c r="AU1950" s="32"/>
      <c r="XEY1950" s="27"/>
      <c r="XEZ1950" s="27"/>
      <c r="XFA1950" s="27"/>
      <c r="XFB1950" s="27"/>
      <c r="XFC1950" s="27"/>
      <c r="XFD1950" s="27"/>
    </row>
    <row r="1951" s="42" customFormat="true" ht="14.15" hidden="false" customHeight="true" outlineLevel="0" collapsed="false">
      <c r="A1951" s="28" t="s">
        <v>10613</v>
      </c>
      <c r="B1951" s="29" t="s">
        <v>170</v>
      </c>
      <c r="C1951" s="29" t="s">
        <v>10614</v>
      </c>
      <c r="D1951" s="30" t="s">
        <v>112</v>
      </c>
      <c r="E1951" s="31"/>
      <c r="F1951" s="32" t="n">
        <v>0</v>
      </c>
      <c r="G1951" s="31" t="s">
        <v>215</v>
      </c>
      <c r="H1951" s="31" t="n">
        <v>1</v>
      </c>
      <c r="I1951" s="31" t="s">
        <v>99</v>
      </c>
      <c r="J1951" s="29"/>
      <c r="K1951" s="29" t="s">
        <v>3415</v>
      </c>
      <c r="L1951" s="32" t="n">
        <v>7</v>
      </c>
      <c r="M1951" s="33" t="s">
        <v>3416</v>
      </c>
      <c r="N1951" s="34" t="n">
        <v>75015</v>
      </c>
      <c r="O1951" s="35" t="s">
        <v>55</v>
      </c>
      <c r="P1951" s="36"/>
      <c r="Q1951" s="36" t="n">
        <v>4</v>
      </c>
      <c r="R1951" s="32" t="n">
        <v>80</v>
      </c>
      <c r="S1951" s="32" t="n">
        <v>0</v>
      </c>
      <c r="T1951" s="32"/>
      <c r="U1951" s="32"/>
      <c r="V1951" s="37"/>
      <c r="W1951" s="32"/>
      <c r="X1951" s="34"/>
      <c r="Y1951" s="34"/>
      <c r="Z1951" s="32"/>
      <c r="AA1951" s="32" t="s">
        <v>10615</v>
      </c>
      <c r="AB1951" s="32" t="s">
        <v>10616</v>
      </c>
      <c r="AC1951" s="38" t="str">
        <f aca="false">HYPERLINK("https://biocodex6--c.vf.force.com/0014L00000KG1DVQA1", "SAIZOU CAROLE")</f>
        <v>SAIZOU CAROLE</v>
      </c>
      <c r="AD1951" s="38" t="str">
        <f aca="false">HYPERLINK("https://annuairesante.ameli.fr/professionnels-de-sante/recherche/fiche-detaillee-B7c1lDM2MTS6.html", "SAIZOU CAROLE")</f>
        <v>SAIZOU CAROLE</v>
      </c>
      <c r="AE1951" s="39" t="n">
        <v>45205.5208333333</v>
      </c>
      <c r="AF1951" s="40"/>
      <c r="AG1951" s="41"/>
      <c r="AH1951" s="32"/>
      <c r="AI1951" s="32"/>
      <c r="AL1951" s="32"/>
      <c r="AM1951" s="32"/>
      <c r="AN1951" s="32"/>
      <c r="AO1951" s="32"/>
      <c r="AP1951" s="32"/>
      <c r="AQ1951" s="32"/>
      <c r="AR1951" s="32"/>
      <c r="AS1951" s="32"/>
      <c r="AT1951" s="32"/>
      <c r="AU1951" s="32"/>
      <c r="XEY1951" s="27"/>
      <c r="XEZ1951" s="27"/>
      <c r="XFA1951" s="27"/>
      <c r="XFB1951" s="27"/>
      <c r="XFC1951" s="27"/>
      <c r="XFD1951" s="27"/>
    </row>
    <row r="1952" s="42" customFormat="true" ht="14.15" hidden="false" customHeight="true" outlineLevel="0" collapsed="false">
      <c r="A1952" s="28" t="s">
        <v>2433</v>
      </c>
      <c r="B1952" s="29" t="s">
        <v>2640</v>
      </c>
      <c r="C1952" s="29" t="s">
        <v>10617</v>
      </c>
      <c r="D1952" s="30" t="s">
        <v>172</v>
      </c>
      <c r="E1952" s="30" t="s">
        <v>818</v>
      </c>
      <c r="F1952" s="32" t="n">
        <v>78</v>
      </c>
      <c r="G1952" s="31"/>
      <c r="H1952" s="31" t="n">
        <v>1</v>
      </c>
      <c r="I1952" s="31" t="s">
        <v>99</v>
      </c>
      <c r="J1952" s="29"/>
      <c r="K1952" s="29" t="s">
        <v>10618</v>
      </c>
      <c r="L1952" s="32" t="n">
        <v>11</v>
      </c>
      <c r="M1952" s="33" t="s">
        <v>1745</v>
      </c>
      <c r="N1952" s="34" t="n">
        <v>75015</v>
      </c>
      <c r="O1952" s="35" t="s">
        <v>55</v>
      </c>
      <c r="P1952" s="36" t="s">
        <v>10619</v>
      </c>
      <c r="Q1952" s="36" t="n">
        <v>1</v>
      </c>
      <c r="R1952" s="32" t="n">
        <v>78</v>
      </c>
      <c r="S1952" s="32" t="n">
        <v>0</v>
      </c>
      <c r="T1952" s="43" t="s">
        <v>4813</v>
      </c>
      <c r="U1952" s="32" t="n">
        <v>3</v>
      </c>
      <c r="V1952" s="37" t="n">
        <v>3</v>
      </c>
      <c r="W1952" s="32"/>
      <c r="X1952" s="34"/>
      <c r="Y1952" s="34"/>
      <c r="Z1952" s="32"/>
      <c r="AA1952" s="32" t="s">
        <v>10620</v>
      </c>
      <c r="AB1952" s="44"/>
      <c r="AC1952" s="38" t="str">
        <f aca="false">HYPERLINK("https://biocodex6--c.vf.force.com/0014L00000KFSuqQAH", "BERNARD JEAN FRANCOIS")</f>
        <v>BERNARD JEAN FRANCOIS</v>
      </c>
      <c r="AD1952" s="38"/>
      <c r="AE1952" s="39"/>
      <c r="AF1952" s="40"/>
      <c r="AG1952" s="41"/>
      <c r="AH1952" s="32" t="s">
        <v>70</v>
      </c>
      <c r="AI1952" s="32" t="s">
        <v>71</v>
      </c>
      <c r="AJ1952" s="42" t="s">
        <v>10621</v>
      </c>
      <c r="AL1952" s="32"/>
      <c r="AM1952" s="32"/>
      <c r="AN1952" s="32"/>
      <c r="AO1952" s="32"/>
      <c r="AP1952" s="32"/>
      <c r="AQ1952" s="32"/>
      <c r="AR1952" s="32"/>
      <c r="AS1952" s="32"/>
      <c r="AT1952" s="32"/>
      <c r="AU1952" s="32"/>
      <c r="XEY1952" s="27"/>
      <c r="XEZ1952" s="27"/>
      <c r="XFA1952" s="27"/>
      <c r="XFB1952" s="27"/>
      <c r="XFC1952" s="27"/>
      <c r="XFD1952" s="27"/>
    </row>
    <row r="1953" s="42" customFormat="true" ht="14.15" hidden="false" customHeight="true" outlineLevel="0" collapsed="false">
      <c r="A1953" s="28" t="s">
        <v>10622</v>
      </c>
      <c r="B1953" s="29" t="s">
        <v>10623</v>
      </c>
      <c r="C1953" s="29" t="s">
        <v>10624</v>
      </c>
      <c r="D1953" s="30" t="s">
        <v>112</v>
      </c>
      <c r="E1953" s="31"/>
      <c r="F1953" s="32" t="n">
        <v>0</v>
      </c>
      <c r="G1953" s="31"/>
      <c r="H1953" s="31" t="n">
        <v>1</v>
      </c>
      <c r="I1953" s="31" t="s">
        <v>51</v>
      </c>
      <c r="J1953" s="29" t="s">
        <v>52</v>
      </c>
      <c r="K1953" s="29" t="s">
        <v>53</v>
      </c>
      <c r="L1953" s="32" t="n">
        <v>149</v>
      </c>
      <c r="M1953" s="33" t="s">
        <v>54</v>
      </c>
      <c r="N1953" s="34" t="n">
        <v>75015</v>
      </c>
      <c r="O1953" s="35" t="s">
        <v>55</v>
      </c>
      <c r="P1953" s="36" t="s">
        <v>2769</v>
      </c>
      <c r="Q1953" s="36" t="n">
        <v>236</v>
      </c>
      <c r="R1953" s="32" t="n">
        <v>78</v>
      </c>
      <c r="S1953" s="32" t="n">
        <v>0</v>
      </c>
      <c r="T1953" s="32"/>
      <c r="U1953" s="32"/>
      <c r="V1953" s="37"/>
      <c r="W1953" s="32"/>
      <c r="X1953" s="34"/>
      <c r="Y1953" s="34"/>
      <c r="Z1953" s="32"/>
      <c r="AA1953" s="32" t="s">
        <v>10625</v>
      </c>
      <c r="AB1953" s="32"/>
      <c r="AC1953" s="38" t="str">
        <f aca="false">HYPERLINK("https://biocodex6--c.vf.force.com/0014L00000KHA40QAH", "JONES PETER")</f>
        <v>JONES PETER</v>
      </c>
      <c r="AD1953" s="38"/>
      <c r="AE1953" s="39"/>
      <c r="AF1953" s="40"/>
      <c r="AG1953" s="41"/>
      <c r="AH1953" s="32"/>
      <c r="AI1953" s="32"/>
      <c r="AL1953" s="32"/>
      <c r="AM1953" s="32"/>
      <c r="AN1953" s="32"/>
      <c r="AO1953" s="32"/>
      <c r="AP1953" s="32"/>
      <c r="AQ1953" s="32"/>
      <c r="AR1953" s="32"/>
      <c r="AS1953" s="32"/>
      <c r="AT1953" s="32"/>
      <c r="AU1953" s="32"/>
      <c r="XEY1953" s="27"/>
      <c r="XEZ1953" s="27"/>
      <c r="XFA1953" s="27"/>
      <c r="XFB1953" s="27"/>
      <c r="XFC1953" s="27"/>
      <c r="XFD1953" s="27"/>
    </row>
    <row r="1954" s="42" customFormat="true" ht="14.15" hidden="false" customHeight="true" outlineLevel="0" collapsed="false">
      <c r="A1954" s="28" t="s">
        <v>10626</v>
      </c>
      <c r="B1954" s="29" t="s">
        <v>10627</v>
      </c>
      <c r="C1954" s="29" t="s">
        <v>10628</v>
      </c>
      <c r="D1954" s="30" t="s">
        <v>172</v>
      </c>
      <c r="E1954" s="31"/>
      <c r="F1954" s="32" t="n">
        <v>82</v>
      </c>
      <c r="G1954" s="31"/>
      <c r="H1954" s="31" t="n">
        <v>1</v>
      </c>
      <c r="I1954" s="31" t="s">
        <v>119</v>
      </c>
      <c r="J1954" s="29"/>
      <c r="K1954" s="29" t="s">
        <v>10629</v>
      </c>
      <c r="L1954" s="32" t="n">
        <v>19</v>
      </c>
      <c r="M1954" s="33" t="s">
        <v>1716</v>
      </c>
      <c r="N1954" s="34" t="n">
        <v>75007</v>
      </c>
      <c r="O1954" s="35" t="s">
        <v>55</v>
      </c>
      <c r="P1954" s="36" t="s">
        <v>10630</v>
      </c>
      <c r="Q1954" s="36" t="n">
        <v>1</v>
      </c>
      <c r="R1954" s="32" t="n">
        <v>71</v>
      </c>
      <c r="S1954" s="32" t="n">
        <v>0</v>
      </c>
      <c r="T1954" s="43" t="s">
        <v>316</v>
      </c>
      <c r="U1954" s="32"/>
      <c r="V1954" s="37"/>
      <c r="W1954" s="32"/>
      <c r="X1954" s="34"/>
      <c r="Y1954" s="34"/>
      <c r="Z1954" s="32"/>
      <c r="AA1954" s="32" t="s">
        <v>10631</v>
      </c>
      <c r="AB1954" s="32"/>
      <c r="AC1954" s="38" t="str">
        <f aca="false">HYPERLINK("https://biocodex6--c.vf.force.com/0014L00000KG029QAD", "SABERAN FOAD")</f>
        <v>SABERAN FOAD</v>
      </c>
      <c r="AD1954" s="38"/>
      <c r="AE1954" s="39"/>
      <c r="AF1954" s="40"/>
      <c r="AG1954" s="41"/>
      <c r="AH1954" s="32"/>
      <c r="AI1954" s="32"/>
      <c r="AL1954" s="32"/>
      <c r="AM1954" s="32"/>
      <c r="AN1954" s="32"/>
      <c r="AO1954" s="32"/>
      <c r="AP1954" s="32"/>
      <c r="AQ1954" s="32"/>
      <c r="AR1954" s="32"/>
      <c r="AS1954" s="32"/>
      <c r="AT1954" s="32"/>
      <c r="AU1954" s="32"/>
      <c r="XEY1954" s="27"/>
      <c r="XEZ1954" s="27"/>
      <c r="XFA1954" s="27"/>
      <c r="XFB1954" s="27"/>
      <c r="XFC1954" s="27"/>
      <c r="XFD1954" s="27"/>
    </row>
    <row r="1955" s="42" customFormat="true" ht="14.15" hidden="false" customHeight="true" outlineLevel="0" collapsed="false">
      <c r="A1955" s="28" t="s">
        <v>10632</v>
      </c>
      <c r="B1955" s="29" t="s">
        <v>10633</v>
      </c>
      <c r="C1955" s="29" t="s">
        <v>10634</v>
      </c>
      <c r="D1955" s="30" t="s">
        <v>172</v>
      </c>
      <c r="E1955" s="31"/>
      <c r="F1955" s="32" t="n">
        <v>87</v>
      </c>
      <c r="G1955" s="31"/>
      <c r="H1955" s="31" t="n">
        <v>1</v>
      </c>
      <c r="I1955" s="31" t="s">
        <v>119</v>
      </c>
      <c r="J1955" s="29"/>
      <c r="K1955" s="29" t="s">
        <v>8968</v>
      </c>
      <c r="L1955" s="32" t="n">
        <v>22</v>
      </c>
      <c r="M1955" s="33" t="s">
        <v>8969</v>
      </c>
      <c r="N1955" s="34" t="n">
        <v>75007</v>
      </c>
      <c r="O1955" s="35" t="s">
        <v>55</v>
      </c>
      <c r="P1955" s="36" t="s">
        <v>8970</v>
      </c>
      <c r="Q1955" s="36" t="n">
        <v>3</v>
      </c>
      <c r="R1955" s="32" t="n">
        <v>70</v>
      </c>
      <c r="S1955" s="32" t="n">
        <v>0</v>
      </c>
      <c r="T1955" s="43" t="s">
        <v>316</v>
      </c>
      <c r="U1955" s="32"/>
      <c r="V1955" s="37"/>
      <c r="W1955" s="32"/>
      <c r="X1955" s="34"/>
      <c r="Y1955" s="34"/>
      <c r="Z1955" s="32"/>
      <c r="AA1955" s="32" t="s">
        <v>10635</v>
      </c>
      <c r="AB1955" s="32"/>
      <c r="AC1955" s="38" t="str">
        <f aca="false">HYPERLINK("https://biocodex6--c.vf.force.com/0014L00000KFwVQQA1", "POLACK J CLAUDE")</f>
        <v>POLACK J CLAUDE</v>
      </c>
      <c r="AD1955" s="38"/>
      <c r="AE1955" s="39"/>
      <c r="AF1955" s="40"/>
      <c r="AG1955" s="41"/>
      <c r="AH1955" s="32"/>
      <c r="AI1955" s="32"/>
      <c r="AL1955" s="32"/>
      <c r="AM1955" s="32"/>
      <c r="AN1955" s="32"/>
      <c r="AO1955" s="32"/>
      <c r="AP1955" s="32"/>
      <c r="AQ1955" s="32"/>
      <c r="AR1955" s="32"/>
      <c r="AS1955" s="32"/>
      <c r="AT1955" s="32"/>
      <c r="AU1955" s="32"/>
      <c r="XEY1955" s="27"/>
      <c r="XEZ1955" s="27"/>
      <c r="XFA1955" s="27"/>
      <c r="XFB1955" s="27"/>
      <c r="XFC1955" s="27"/>
      <c r="XFD1955" s="27"/>
    </row>
    <row r="1956" s="42" customFormat="true" ht="14.15" hidden="false" customHeight="true" outlineLevel="0" collapsed="false">
      <c r="A1956" s="28" t="s">
        <v>10636</v>
      </c>
      <c r="B1956" s="29" t="s">
        <v>1677</v>
      </c>
      <c r="C1956" s="29" t="s">
        <v>10637</v>
      </c>
      <c r="D1956" s="30" t="s">
        <v>172</v>
      </c>
      <c r="E1956" s="31"/>
      <c r="F1956" s="32" t="n">
        <v>65</v>
      </c>
      <c r="G1956" s="31" t="s">
        <v>215</v>
      </c>
      <c r="H1956" s="31" t="n">
        <v>1</v>
      </c>
      <c r="I1956" s="31" t="s">
        <v>99</v>
      </c>
      <c r="J1956" s="29"/>
      <c r="K1956" s="29" t="s">
        <v>10638</v>
      </c>
      <c r="L1956" s="32" t="n">
        <v>71</v>
      </c>
      <c r="M1956" s="33" t="s">
        <v>5281</v>
      </c>
      <c r="N1956" s="34" t="n">
        <v>75015</v>
      </c>
      <c r="O1956" s="35" t="s">
        <v>55</v>
      </c>
      <c r="P1956" s="36" t="s">
        <v>10639</v>
      </c>
      <c r="Q1956" s="36" t="n">
        <v>1</v>
      </c>
      <c r="R1956" s="32" t="n">
        <v>69</v>
      </c>
      <c r="S1956" s="32" t="n">
        <v>0</v>
      </c>
      <c r="T1956" s="43" t="s">
        <v>316</v>
      </c>
      <c r="U1956" s="32"/>
      <c r="V1956" s="37"/>
      <c r="W1956" s="32"/>
      <c r="X1956" s="34"/>
      <c r="Y1956" s="34"/>
      <c r="Z1956" s="32"/>
      <c r="AA1956" s="32" t="s">
        <v>10640</v>
      </c>
      <c r="AB1956" s="32" t="s">
        <v>10641</v>
      </c>
      <c r="AC1956" s="38" t="str">
        <f aca="false">HYPERLINK("https://biocodex6--c.vf.force.com/0014L00000KFRAPQA5", "AZEROUAL JACOB")</f>
        <v>AZEROUAL JACOB</v>
      </c>
      <c r="AD1956" s="38" t="str">
        <f aca="false">HYPERLINK("https://annuairesante.ameli.fr/professionnels-de-sante/recherche/fiche-detaillee-B7c1lzMyMTa2.html", "AZEROUAL JACOB")</f>
        <v>AZEROUAL JACOB</v>
      </c>
      <c r="AE1956" s="39"/>
      <c r="AF1956" s="40"/>
      <c r="AG1956" s="41"/>
      <c r="AH1956" s="32"/>
      <c r="AI1956" s="32"/>
      <c r="AL1956" s="32"/>
      <c r="AM1956" s="32"/>
      <c r="AN1956" s="32"/>
      <c r="AO1956" s="32"/>
      <c r="AP1956" s="32"/>
      <c r="AQ1956" s="32"/>
      <c r="AR1956" s="32"/>
      <c r="AS1956" s="32"/>
      <c r="AT1956" s="32"/>
      <c r="AU1956" s="32"/>
      <c r="XEY1956" s="27"/>
      <c r="XEZ1956" s="27"/>
      <c r="XFA1956" s="27"/>
      <c r="XFB1956" s="27"/>
      <c r="XFC1956" s="27"/>
      <c r="XFD1956" s="27"/>
    </row>
    <row r="1957" s="42" customFormat="true" ht="14.15" hidden="false" customHeight="true" outlineLevel="0" collapsed="false">
      <c r="A1957" s="28" t="s">
        <v>10642</v>
      </c>
      <c r="B1957" s="29" t="s">
        <v>183</v>
      </c>
      <c r="C1957" s="29" t="s">
        <v>10643</v>
      </c>
      <c r="D1957" s="30" t="s">
        <v>172</v>
      </c>
      <c r="E1957" s="31"/>
      <c r="F1957" s="32"/>
      <c r="G1957" s="31"/>
      <c r="H1957" s="31" t="n">
        <v>1</v>
      </c>
      <c r="I1957" s="31" t="s">
        <v>173</v>
      </c>
      <c r="J1957" s="29"/>
      <c r="K1957" s="29" t="s">
        <v>10644</v>
      </c>
      <c r="L1957" s="32" t="n">
        <v>24</v>
      </c>
      <c r="M1957" s="33" t="s">
        <v>3105</v>
      </c>
      <c r="N1957" s="34" t="n">
        <v>75016</v>
      </c>
      <c r="O1957" s="35" t="s">
        <v>55</v>
      </c>
      <c r="P1957" s="36" t="s">
        <v>10645</v>
      </c>
      <c r="Q1957" s="36" t="n">
        <v>1</v>
      </c>
      <c r="R1957" s="32" t="n">
        <v>68</v>
      </c>
      <c r="S1957" s="32" t="n">
        <v>0</v>
      </c>
      <c r="T1957" s="43" t="s">
        <v>316</v>
      </c>
      <c r="U1957" s="32"/>
      <c r="V1957" s="37"/>
      <c r="W1957" s="32"/>
      <c r="X1957" s="34"/>
      <c r="Y1957" s="34"/>
      <c r="Z1957" s="32"/>
      <c r="AA1957" s="32" t="s">
        <v>10646</v>
      </c>
      <c r="AB1957" s="32"/>
      <c r="AC1957" s="38" t="str">
        <f aca="false">HYPERLINK("https://biocodex6--c.vf.force.com/0014L00000KFOm6QAH", "CHAPUT SAVILLE CHRISTIAN")</f>
        <v>CHAPUT SAVILLE CHRISTIAN</v>
      </c>
      <c r="AD1957" s="38"/>
      <c r="AE1957" s="39"/>
      <c r="AF1957" s="40"/>
      <c r="AG1957" s="41"/>
      <c r="AH1957" s="32"/>
      <c r="AI1957" s="32"/>
      <c r="AL1957" s="32"/>
      <c r="AM1957" s="32"/>
      <c r="AN1957" s="32"/>
      <c r="AO1957" s="32"/>
      <c r="AP1957" s="32"/>
      <c r="AQ1957" s="32"/>
      <c r="AR1957" s="32"/>
      <c r="AS1957" s="32"/>
      <c r="AT1957" s="32"/>
      <c r="AU1957" s="32"/>
      <c r="XEY1957" s="27"/>
      <c r="XEZ1957" s="27"/>
      <c r="XFA1957" s="27"/>
      <c r="XFB1957" s="27"/>
      <c r="XFC1957" s="27"/>
      <c r="XFD1957" s="27"/>
    </row>
    <row r="1958" s="42" customFormat="true" ht="14.15" hidden="false" customHeight="true" outlineLevel="0" collapsed="false">
      <c r="A1958" s="28" t="s">
        <v>10647</v>
      </c>
      <c r="B1958" s="29" t="s">
        <v>10648</v>
      </c>
      <c r="C1958" s="29" t="s">
        <v>10649</v>
      </c>
      <c r="D1958" s="30" t="s">
        <v>172</v>
      </c>
      <c r="E1958" s="31"/>
      <c r="F1958" s="32" t="n">
        <v>83</v>
      </c>
      <c r="G1958" s="31"/>
      <c r="H1958" s="31" t="n">
        <v>1</v>
      </c>
      <c r="I1958" s="31" t="s">
        <v>51</v>
      </c>
      <c r="J1958" s="29"/>
      <c r="K1958" s="29" t="s">
        <v>10650</v>
      </c>
      <c r="L1958" s="32" t="n">
        <v>1</v>
      </c>
      <c r="M1958" s="33" t="s">
        <v>10651</v>
      </c>
      <c r="N1958" s="34" t="n">
        <v>75015</v>
      </c>
      <c r="O1958" s="35" t="s">
        <v>55</v>
      </c>
      <c r="P1958" s="36" t="s">
        <v>10652</v>
      </c>
      <c r="Q1958" s="36" t="n">
        <v>1</v>
      </c>
      <c r="R1958" s="36" t="n">
        <v>67</v>
      </c>
      <c r="S1958" s="32" t="n">
        <v>0</v>
      </c>
      <c r="T1958" s="43" t="s">
        <v>2189</v>
      </c>
      <c r="U1958" s="32" t="n">
        <v>3</v>
      </c>
      <c r="V1958" s="37"/>
      <c r="W1958" s="32"/>
      <c r="X1958" s="34"/>
      <c r="Y1958" s="34"/>
      <c r="Z1958" s="32"/>
      <c r="AA1958" s="32" t="s">
        <v>10653</v>
      </c>
      <c r="AB1958" s="32"/>
      <c r="AC1958" s="38" t="str">
        <f aca="false">HYPERLINK("https://biocodex6--c.vf.force.com/0014L00000KFwdnQAD", "PORGE ERICK")</f>
        <v>PORGE ERICK</v>
      </c>
      <c r="AD1958" s="38"/>
      <c r="AE1958" s="39"/>
      <c r="AF1958" s="40"/>
      <c r="AG1958" s="41"/>
      <c r="AH1958" s="32"/>
      <c r="AI1958" s="32"/>
      <c r="AL1958" s="32"/>
      <c r="AM1958" s="32"/>
      <c r="AN1958" s="32"/>
      <c r="AO1958" s="32"/>
      <c r="AP1958" s="32"/>
      <c r="AQ1958" s="32"/>
      <c r="AR1958" s="32"/>
      <c r="AS1958" s="32"/>
      <c r="AT1958" s="32"/>
      <c r="AU1958" s="32"/>
      <c r="XEY1958" s="27"/>
      <c r="XEZ1958" s="27"/>
      <c r="XFA1958" s="27"/>
      <c r="XFB1958" s="27"/>
      <c r="XFC1958" s="27"/>
      <c r="XFD1958" s="27"/>
    </row>
    <row r="1959" s="42" customFormat="true" ht="14.15" hidden="false" customHeight="true" outlineLevel="0" collapsed="false">
      <c r="A1959" s="28" t="s">
        <v>10654</v>
      </c>
      <c r="B1959" s="29" t="s">
        <v>861</v>
      </c>
      <c r="C1959" s="29" t="s">
        <v>10655</v>
      </c>
      <c r="D1959" s="30" t="s">
        <v>172</v>
      </c>
      <c r="E1959" s="31"/>
      <c r="F1959" s="32" t="n">
        <v>64</v>
      </c>
      <c r="G1959" s="31"/>
      <c r="H1959" s="31" t="n">
        <v>1</v>
      </c>
      <c r="I1959" s="31" t="s">
        <v>173</v>
      </c>
      <c r="J1959" s="29"/>
      <c r="K1959" s="29" t="s">
        <v>10656</v>
      </c>
      <c r="L1959" s="32" t="n">
        <v>4</v>
      </c>
      <c r="M1959" s="33" t="s">
        <v>3039</v>
      </c>
      <c r="N1959" s="34" t="n">
        <v>75016</v>
      </c>
      <c r="O1959" s="35" t="s">
        <v>55</v>
      </c>
      <c r="P1959" s="36"/>
      <c r="Q1959" s="36" t="n">
        <v>1</v>
      </c>
      <c r="R1959" s="32" t="n">
        <v>67</v>
      </c>
      <c r="S1959" s="32" t="n">
        <v>0</v>
      </c>
      <c r="T1959" s="43" t="s">
        <v>1925</v>
      </c>
      <c r="U1959" s="32" t="n">
        <v>3</v>
      </c>
      <c r="V1959" s="37"/>
      <c r="W1959" s="32"/>
      <c r="X1959" s="34"/>
      <c r="Y1959" s="34"/>
      <c r="Z1959" s="32"/>
      <c r="AA1959" s="32" t="s">
        <v>10657</v>
      </c>
      <c r="AB1959" s="32"/>
      <c r="AC1959" s="38" t="str">
        <f aca="false">HYPERLINK("https://biocodex6--c.vf.force.com/0014L00000KFRKOQA5", "BAGOT CHRISTOPHE")</f>
        <v>BAGOT CHRISTOPHE</v>
      </c>
      <c r="AD1959" s="38"/>
      <c r="AE1959" s="39"/>
      <c r="AF1959" s="40"/>
      <c r="AG1959" s="41"/>
      <c r="AH1959" s="32"/>
      <c r="AI1959" s="32"/>
      <c r="AL1959" s="32"/>
      <c r="AM1959" s="32"/>
      <c r="AN1959" s="32"/>
      <c r="AO1959" s="32"/>
      <c r="AP1959" s="32"/>
      <c r="AQ1959" s="32"/>
      <c r="AR1959" s="32"/>
      <c r="AS1959" s="32"/>
      <c r="AT1959" s="32"/>
      <c r="AU1959" s="32"/>
      <c r="XEY1959" s="27"/>
      <c r="XEZ1959" s="27"/>
      <c r="XFA1959" s="27"/>
      <c r="XFB1959" s="27"/>
      <c r="XFC1959" s="27"/>
      <c r="XFD1959" s="27"/>
    </row>
    <row r="1960" s="42" customFormat="true" ht="14.15" hidden="false" customHeight="true" outlineLevel="0" collapsed="false">
      <c r="A1960" s="28" t="s">
        <v>10658</v>
      </c>
      <c r="B1960" s="29" t="s">
        <v>1143</v>
      </c>
      <c r="C1960" s="29" t="s">
        <v>10659</v>
      </c>
      <c r="D1960" s="30" t="s">
        <v>172</v>
      </c>
      <c r="E1960" s="30" t="s">
        <v>818</v>
      </c>
      <c r="F1960" s="32" t="n">
        <v>73</v>
      </c>
      <c r="G1960" s="31"/>
      <c r="H1960" s="31" t="n">
        <v>1</v>
      </c>
      <c r="I1960" s="31" t="s">
        <v>173</v>
      </c>
      <c r="J1960" s="29"/>
      <c r="K1960" s="29" t="s">
        <v>10660</v>
      </c>
      <c r="L1960" s="32" t="n">
        <v>15</v>
      </c>
      <c r="M1960" s="33" t="s">
        <v>6504</v>
      </c>
      <c r="N1960" s="34" t="n">
        <v>75016</v>
      </c>
      <c r="O1960" s="35" t="s">
        <v>55</v>
      </c>
      <c r="P1960" s="36" t="s">
        <v>10661</v>
      </c>
      <c r="Q1960" s="36" t="n">
        <v>1</v>
      </c>
      <c r="R1960" s="36" t="n">
        <v>67</v>
      </c>
      <c r="S1960" s="32" t="n">
        <v>0</v>
      </c>
      <c r="T1960" s="43" t="s">
        <v>2189</v>
      </c>
      <c r="U1960" s="32" t="n">
        <v>3</v>
      </c>
      <c r="V1960" s="37"/>
      <c r="W1960" s="32"/>
      <c r="X1960" s="34"/>
      <c r="Y1960" s="34"/>
      <c r="Z1960" s="32"/>
      <c r="AA1960" s="32" t="s">
        <v>10662</v>
      </c>
      <c r="AB1960" s="32"/>
      <c r="AC1960" s="38" t="str">
        <f aca="false">HYPERLINK("https://biocodex6--c.vf.force.com/0014L00000KFR4YQAX", "AUTRAN MARC")</f>
        <v>AUTRAN MARC</v>
      </c>
      <c r="AD1960" s="38"/>
      <c r="AE1960" s="39"/>
      <c r="AF1960" s="40"/>
      <c r="AG1960" s="41"/>
      <c r="AH1960" s="32"/>
      <c r="AI1960" s="32"/>
      <c r="AL1960" s="32"/>
      <c r="AM1960" s="32"/>
      <c r="AN1960" s="32"/>
      <c r="AO1960" s="32"/>
      <c r="AP1960" s="32"/>
      <c r="AQ1960" s="32"/>
      <c r="AR1960" s="32"/>
      <c r="AS1960" s="32"/>
      <c r="AT1960" s="32"/>
      <c r="AU1960" s="32"/>
      <c r="XEY1960" s="27"/>
      <c r="XEZ1960" s="27"/>
      <c r="XFA1960" s="27"/>
      <c r="XFB1960" s="27"/>
      <c r="XFC1960" s="27"/>
      <c r="XFD1960" s="27"/>
    </row>
    <row r="1961" s="42" customFormat="true" ht="14.15" hidden="false" customHeight="true" outlineLevel="0" collapsed="false">
      <c r="A1961" s="28" t="s">
        <v>10528</v>
      </c>
      <c r="B1961" s="29" t="s">
        <v>1056</v>
      </c>
      <c r="C1961" s="29" t="s">
        <v>10663</v>
      </c>
      <c r="D1961" s="30" t="s">
        <v>172</v>
      </c>
      <c r="E1961" s="31"/>
      <c r="F1961" s="32" t="n">
        <v>48</v>
      </c>
      <c r="G1961" s="31"/>
      <c r="H1961" s="31" t="n">
        <v>1</v>
      </c>
      <c r="I1961" s="31" t="s">
        <v>99</v>
      </c>
      <c r="J1961" s="29"/>
      <c r="K1961" s="29" t="s">
        <v>10664</v>
      </c>
      <c r="L1961" s="32" t="n">
        <v>33</v>
      </c>
      <c r="M1961" s="33" t="s">
        <v>9514</v>
      </c>
      <c r="N1961" s="34" t="n">
        <v>75015</v>
      </c>
      <c r="O1961" s="35" t="s">
        <v>55</v>
      </c>
      <c r="P1961" s="36" t="s">
        <v>10665</v>
      </c>
      <c r="Q1961" s="36" t="n">
        <v>1</v>
      </c>
      <c r="R1961" s="36" t="n">
        <v>66</v>
      </c>
      <c r="S1961" s="32" t="n">
        <v>0</v>
      </c>
      <c r="T1961" s="43" t="s">
        <v>4813</v>
      </c>
      <c r="U1961" s="32"/>
      <c r="V1961" s="37"/>
      <c r="W1961" s="32"/>
      <c r="X1961" s="34"/>
      <c r="Y1961" s="34"/>
      <c r="Z1961" s="32"/>
      <c r="AA1961" s="32" t="s">
        <v>10666</v>
      </c>
      <c r="AB1961" s="44"/>
      <c r="AC1961" s="38" t="str">
        <f aca="false">HYPERLINK("https://biocodex6--c.vf.force.com/0014L00000KFhUhQAL", "JOST VINCENT")</f>
        <v>JOST VINCENT</v>
      </c>
      <c r="AD1961" s="38"/>
      <c r="AE1961" s="39" t="n">
        <v>45448.3541666667</v>
      </c>
      <c r="AF1961" s="40" t="s">
        <v>10667</v>
      </c>
      <c r="AG1961" s="41" t="s">
        <v>69</v>
      </c>
      <c r="AH1961" s="32" t="s">
        <v>70</v>
      </c>
      <c r="AI1961" s="32" t="s">
        <v>71</v>
      </c>
      <c r="AJ1961" s="42" t="s">
        <v>10668</v>
      </c>
      <c r="AL1961" s="32"/>
      <c r="AM1961" s="32"/>
      <c r="AN1961" s="32"/>
      <c r="AO1961" s="32"/>
      <c r="AP1961" s="32"/>
      <c r="AQ1961" s="32"/>
      <c r="AR1961" s="32"/>
      <c r="AS1961" s="32"/>
      <c r="AT1961" s="32"/>
      <c r="AU1961" s="32"/>
      <c r="XEY1961" s="27"/>
      <c r="XEZ1961" s="27"/>
      <c r="XFA1961" s="27"/>
      <c r="XFB1961" s="27"/>
      <c r="XFC1961" s="27"/>
      <c r="XFD1961" s="27"/>
    </row>
    <row r="1962" s="42" customFormat="true" ht="14.15" hidden="false" customHeight="true" outlineLevel="0" collapsed="false">
      <c r="A1962" s="28" t="s">
        <v>10669</v>
      </c>
      <c r="B1962" s="29" t="s">
        <v>958</v>
      </c>
      <c r="C1962" s="29" t="s">
        <v>10670</v>
      </c>
      <c r="D1962" s="30" t="s">
        <v>172</v>
      </c>
      <c r="E1962" s="30" t="s">
        <v>255</v>
      </c>
      <c r="F1962" s="32" t="n">
        <v>73</v>
      </c>
      <c r="G1962" s="31"/>
      <c r="H1962" s="31" t="n">
        <v>1</v>
      </c>
      <c r="I1962" s="31" t="s">
        <v>99</v>
      </c>
      <c r="J1962" s="29"/>
      <c r="K1962" s="29" t="s">
        <v>10671</v>
      </c>
      <c r="L1962" s="32" t="n">
        <v>30</v>
      </c>
      <c r="M1962" s="33" t="s">
        <v>10672</v>
      </c>
      <c r="N1962" s="34" t="n">
        <v>75015</v>
      </c>
      <c r="O1962" s="35" t="s">
        <v>55</v>
      </c>
      <c r="P1962" s="36" t="s">
        <v>10673</v>
      </c>
      <c r="Q1962" s="36" t="n">
        <v>1</v>
      </c>
      <c r="R1962" s="32" t="n">
        <v>66</v>
      </c>
      <c r="S1962" s="32" t="n">
        <v>0</v>
      </c>
      <c r="T1962" s="43" t="s">
        <v>316</v>
      </c>
      <c r="U1962" s="32"/>
      <c r="V1962" s="37"/>
      <c r="W1962" s="32"/>
      <c r="X1962" s="34"/>
      <c r="Y1962" s="34"/>
      <c r="Z1962" s="32"/>
      <c r="AA1962" s="32" t="s">
        <v>10674</v>
      </c>
      <c r="AB1962" s="32"/>
      <c r="AC1962" s="38" t="str">
        <f aca="false">HYPERLINK("https://biocodex6--c.vf.force.com/0014L00000KFSJvQAP", "BELAMICH PATRICK")</f>
        <v>BELAMICH PATRICK</v>
      </c>
      <c r="AD1962" s="38"/>
      <c r="AE1962" s="39"/>
      <c r="AF1962" s="40"/>
      <c r="AG1962" s="41"/>
      <c r="AH1962" s="32"/>
      <c r="AI1962" s="32"/>
      <c r="AL1962" s="32"/>
      <c r="AM1962" s="32"/>
      <c r="AN1962" s="32"/>
      <c r="AO1962" s="32"/>
      <c r="AP1962" s="32"/>
      <c r="AQ1962" s="32"/>
      <c r="AR1962" s="32"/>
      <c r="AS1962" s="32"/>
      <c r="AT1962" s="32"/>
      <c r="AU1962" s="32"/>
      <c r="XEY1962" s="27"/>
      <c r="XEZ1962" s="27"/>
      <c r="XFA1962" s="27"/>
      <c r="XFB1962" s="27"/>
      <c r="XFC1962" s="27"/>
      <c r="XFD1962" s="27"/>
    </row>
    <row r="1963" s="42" customFormat="true" ht="14.15" hidden="false" customHeight="true" outlineLevel="0" collapsed="false">
      <c r="A1963" s="28" t="s">
        <v>10675</v>
      </c>
      <c r="B1963" s="29" t="s">
        <v>773</v>
      </c>
      <c r="C1963" s="29" t="s">
        <v>10676</v>
      </c>
      <c r="D1963" s="30" t="s">
        <v>172</v>
      </c>
      <c r="E1963" s="30" t="s">
        <v>1103</v>
      </c>
      <c r="F1963" s="32" t="n">
        <v>78</v>
      </c>
      <c r="G1963" s="31"/>
      <c r="H1963" s="31" t="n">
        <v>1</v>
      </c>
      <c r="I1963" s="31" t="s">
        <v>119</v>
      </c>
      <c r="J1963" s="29"/>
      <c r="K1963" s="29" t="s">
        <v>10677</v>
      </c>
      <c r="L1963" s="32" t="n">
        <v>13</v>
      </c>
      <c r="M1963" s="33" t="s">
        <v>3713</v>
      </c>
      <c r="N1963" s="34" t="n">
        <v>75007</v>
      </c>
      <c r="O1963" s="35" t="s">
        <v>55</v>
      </c>
      <c r="P1963" s="36" t="s">
        <v>10678</v>
      </c>
      <c r="Q1963" s="36" t="n">
        <v>1</v>
      </c>
      <c r="R1963" s="32" t="n">
        <v>64</v>
      </c>
      <c r="S1963" s="32" t="n">
        <v>0</v>
      </c>
      <c r="T1963" s="43" t="s">
        <v>316</v>
      </c>
      <c r="U1963" s="32"/>
      <c r="V1963" s="37"/>
      <c r="W1963" s="32"/>
      <c r="X1963" s="34"/>
      <c r="Y1963" s="34"/>
      <c r="Z1963" s="32"/>
      <c r="AA1963" s="32" t="s">
        <v>10679</v>
      </c>
      <c r="AB1963" s="32"/>
      <c r="AC1963" s="38" t="str">
        <f aca="false">HYPERLINK("https://biocodex6--c.vf.force.com/0014L00000KFfWfQAL", "GELBER THOMAS")</f>
        <v>GELBER THOMAS</v>
      </c>
      <c r="AD1963" s="38"/>
      <c r="AE1963" s="39"/>
      <c r="AF1963" s="40"/>
      <c r="AG1963" s="41"/>
      <c r="AH1963" s="32"/>
      <c r="AI1963" s="32"/>
      <c r="AL1963" s="32"/>
      <c r="AM1963" s="32"/>
      <c r="AN1963" s="32"/>
      <c r="AO1963" s="32"/>
      <c r="AP1963" s="32"/>
      <c r="AQ1963" s="32"/>
      <c r="AR1963" s="32"/>
      <c r="AS1963" s="32"/>
      <c r="AT1963" s="32"/>
      <c r="AU1963" s="32"/>
      <c r="XEY1963" s="27"/>
      <c r="XEZ1963" s="27"/>
      <c r="XFA1963" s="27"/>
      <c r="XFB1963" s="27"/>
      <c r="XFC1963" s="27"/>
      <c r="XFD1963" s="27"/>
    </row>
    <row r="1964" s="42" customFormat="true" ht="14.15" hidden="false" customHeight="true" outlineLevel="0" collapsed="false">
      <c r="A1964" s="28" t="s">
        <v>10515</v>
      </c>
      <c r="B1964" s="29" t="s">
        <v>10680</v>
      </c>
      <c r="C1964" s="29" t="s">
        <v>10681</v>
      </c>
      <c r="D1964" s="30" t="s">
        <v>172</v>
      </c>
      <c r="E1964" s="31"/>
      <c r="F1964" s="32" t="n">
        <v>72</v>
      </c>
      <c r="G1964" s="31"/>
      <c r="H1964" s="31" t="n">
        <v>1</v>
      </c>
      <c r="I1964" s="31" t="s">
        <v>119</v>
      </c>
      <c r="J1964" s="29"/>
      <c r="K1964" s="29" t="s">
        <v>10682</v>
      </c>
      <c r="L1964" s="32" t="n">
        <v>45</v>
      </c>
      <c r="M1964" s="33" t="s">
        <v>10683</v>
      </c>
      <c r="N1964" s="34" t="n">
        <v>75007</v>
      </c>
      <c r="O1964" s="35" t="s">
        <v>55</v>
      </c>
      <c r="P1964" s="36" t="s">
        <v>10684</v>
      </c>
      <c r="Q1964" s="36" t="n">
        <v>1</v>
      </c>
      <c r="R1964" s="32" t="n">
        <v>64</v>
      </c>
      <c r="S1964" s="32" t="n">
        <v>0</v>
      </c>
      <c r="T1964" s="43" t="s">
        <v>316</v>
      </c>
      <c r="U1964" s="32"/>
      <c r="V1964" s="37"/>
      <c r="W1964" s="32"/>
      <c r="X1964" s="34"/>
      <c r="Y1964" s="34"/>
      <c r="Z1964" s="32"/>
      <c r="AA1964" s="32" t="s">
        <v>10685</v>
      </c>
      <c r="AB1964" s="32"/>
      <c r="AC1964" s="38" t="str">
        <f aca="false">HYPERLINK("https://biocodex6--c.vf.force.com/0014L00000KFjCMQA1", "HUET ROBERT NICOLAS")</f>
        <v>HUET ROBERT NICOLAS</v>
      </c>
      <c r="AD1964" s="38"/>
      <c r="AE1964" s="39"/>
      <c r="AF1964" s="40"/>
      <c r="AG1964" s="41"/>
      <c r="AH1964" s="32"/>
      <c r="AI1964" s="32"/>
      <c r="AL1964" s="32"/>
      <c r="AM1964" s="32"/>
      <c r="AN1964" s="32"/>
      <c r="AO1964" s="32"/>
      <c r="AP1964" s="32"/>
      <c r="AQ1964" s="32"/>
      <c r="AR1964" s="32"/>
      <c r="AS1964" s="32"/>
      <c r="AT1964" s="32"/>
      <c r="AU1964" s="32"/>
      <c r="XEY1964" s="27"/>
      <c r="XEZ1964" s="27"/>
      <c r="XFA1964" s="27"/>
      <c r="XFB1964" s="27"/>
      <c r="XFC1964" s="27"/>
      <c r="XFD1964" s="27"/>
    </row>
    <row r="1965" s="42" customFormat="true" ht="14.15" hidden="false" customHeight="true" outlineLevel="0" collapsed="false">
      <c r="A1965" s="28" t="s">
        <v>10686</v>
      </c>
      <c r="B1965" s="29" t="s">
        <v>399</v>
      </c>
      <c r="C1965" s="29" t="s">
        <v>10687</v>
      </c>
      <c r="D1965" s="30" t="s">
        <v>172</v>
      </c>
      <c r="E1965" s="31"/>
      <c r="F1965" s="32" t="n">
        <v>56</v>
      </c>
      <c r="G1965" s="31"/>
      <c r="H1965" s="31" t="n">
        <v>1</v>
      </c>
      <c r="I1965" s="31" t="s">
        <v>119</v>
      </c>
      <c r="J1965" s="29"/>
      <c r="K1965" s="29" t="s">
        <v>10688</v>
      </c>
      <c r="L1965" s="32" t="n">
        <v>54</v>
      </c>
      <c r="M1965" s="33" t="s">
        <v>10683</v>
      </c>
      <c r="N1965" s="34" t="n">
        <v>75007</v>
      </c>
      <c r="O1965" s="35" t="s">
        <v>55</v>
      </c>
      <c r="P1965" s="36" t="s">
        <v>10689</v>
      </c>
      <c r="Q1965" s="36" t="n">
        <v>1</v>
      </c>
      <c r="R1965" s="32" t="n">
        <v>64</v>
      </c>
      <c r="S1965" s="32" t="n">
        <v>0</v>
      </c>
      <c r="T1965" s="43" t="s">
        <v>316</v>
      </c>
      <c r="U1965" s="32"/>
      <c r="V1965" s="37"/>
      <c r="W1965" s="32"/>
      <c r="X1965" s="34"/>
      <c r="Y1965" s="34"/>
      <c r="Z1965" s="32"/>
      <c r="AA1965" s="32" t="s">
        <v>10690</v>
      </c>
      <c r="AB1965" s="32"/>
      <c r="AC1965" s="38" t="str">
        <f aca="false">HYPERLINK("https://biocodex6--c.vf.force.com/0014L00000KG2dnQAD", "TARRAGANO OLIVIER")</f>
        <v>TARRAGANO OLIVIER</v>
      </c>
      <c r="AD1965" s="38"/>
      <c r="AE1965" s="39"/>
      <c r="AF1965" s="40"/>
      <c r="AG1965" s="41"/>
      <c r="AH1965" s="32"/>
      <c r="AI1965" s="32"/>
      <c r="AL1965" s="32"/>
      <c r="AM1965" s="32"/>
      <c r="AN1965" s="32"/>
      <c r="AO1965" s="32"/>
      <c r="AP1965" s="32"/>
      <c r="AQ1965" s="32"/>
      <c r="AR1965" s="32"/>
      <c r="AS1965" s="32"/>
      <c r="AT1965" s="32"/>
      <c r="AU1965" s="32"/>
      <c r="XEY1965" s="27"/>
      <c r="XEZ1965" s="27"/>
      <c r="XFA1965" s="27"/>
      <c r="XFB1965" s="27"/>
      <c r="XFC1965" s="27"/>
      <c r="XFD1965" s="27"/>
    </row>
    <row r="1966" s="42" customFormat="true" ht="14.15" hidden="false" customHeight="true" outlineLevel="0" collapsed="false">
      <c r="A1966" s="28" t="s">
        <v>10691</v>
      </c>
      <c r="B1966" s="29" t="s">
        <v>183</v>
      </c>
      <c r="C1966" s="29" t="s">
        <v>10692</v>
      </c>
      <c r="D1966" s="30" t="s">
        <v>172</v>
      </c>
      <c r="E1966" s="31"/>
      <c r="F1966" s="32" t="n">
        <v>73</v>
      </c>
      <c r="G1966" s="31"/>
      <c r="H1966" s="31" t="n">
        <v>1</v>
      </c>
      <c r="I1966" s="31" t="s">
        <v>119</v>
      </c>
      <c r="J1966" s="29"/>
      <c r="K1966" s="29" t="s">
        <v>10693</v>
      </c>
      <c r="L1966" s="32" t="n">
        <v>10</v>
      </c>
      <c r="M1966" s="33" t="s">
        <v>10694</v>
      </c>
      <c r="N1966" s="34" t="n">
        <v>75007</v>
      </c>
      <c r="O1966" s="35" t="s">
        <v>55</v>
      </c>
      <c r="P1966" s="36" t="s">
        <v>10695</v>
      </c>
      <c r="Q1966" s="36" t="n">
        <v>1</v>
      </c>
      <c r="R1966" s="32" t="n">
        <v>64</v>
      </c>
      <c r="S1966" s="32" t="n">
        <v>0</v>
      </c>
      <c r="T1966" s="43" t="s">
        <v>316</v>
      </c>
      <c r="U1966" s="32"/>
      <c r="V1966" s="37"/>
      <c r="W1966" s="32"/>
      <c r="X1966" s="34"/>
      <c r="Y1966" s="34"/>
      <c r="Z1966" s="32"/>
      <c r="AA1966" s="32" t="s">
        <v>10696</v>
      </c>
      <c r="AB1966" s="32"/>
      <c r="AC1966" s="38" t="str">
        <f aca="false">HYPERLINK("https://biocodex6--c.vf.force.com/0014L00000KFeeqQAD", "FUCHS CHRISTIAN")</f>
        <v>FUCHS CHRISTIAN</v>
      </c>
      <c r="AD1966" s="38"/>
      <c r="AE1966" s="39"/>
      <c r="AF1966" s="40"/>
      <c r="AG1966" s="41"/>
      <c r="AH1966" s="32"/>
      <c r="AI1966" s="32"/>
      <c r="AL1966" s="32"/>
      <c r="AM1966" s="32"/>
      <c r="AN1966" s="32"/>
      <c r="AO1966" s="32"/>
      <c r="AP1966" s="32"/>
      <c r="AQ1966" s="32"/>
      <c r="AR1966" s="32"/>
      <c r="AS1966" s="32"/>
      <c r="AT1966" s="32"/>
      <c r="AU1966" s="32"/>
      <c r="XEY1966" s="27"/>
      <c r="XEZ1966" s="27"/>
      <c r="XFA1966" s="27"/>
      <c r="XFB1966" s="27"/>
      <c r="XFC1966" s="27"/>
      <c r="XFD1966" s="27"/>
    </row>
    <row r="1967" s="42" customFormat="true" ht="14.15" hidden="false" customHeight="true" outlineLevel="0" collapsed="false">
      <c r="A1967" s="28" t="s">
        <v>10697</v>
      </c>
      <c r="B1967" s="29" t="s">
        <v>1766</v>
      </c>
      <c r="C1967" s="29" t="s">
        <v>10698</v>
      </c>
      <c r="D1967" s="30" t="s">
        <v>172</v>
      </c>
      <c r="E1967" s="30" t="s">
        <v>245</v>
      </c>
      <c r="F1967" s="32" t="n">
        <v>53</v>
      </c>
      <c r="G1967" s="31"/>
      <c r="H1967" s="31" t="n">
        <v>1</v>
      </c>
      <c r="I1967" s="31" t="s">
        <v>62</v>
      </c>
      <c r="J1967" s="29"/>
      <c r="K1967" s="29" t="s">
        <v>10699</v>
      </c>
      <c r="L1967" s="32" t="n">
        <v>145</v>
      </c>
      <c r="M1967" s="33" t="s">
        <v>2616</v>
      </c>
      <c r="N1967" s="34" t="n">
        <v>75017</v>
      </c>
      <c r="O1967" s="35" t="s">
        <v>55</v>
      </c>
      <c r="P1967" s="36" t="s">
        <v>10700</v>
      </c>
      <c r="Q1967" s="36" t="n">
        <v>1</v>
      </c>
      <c r="R1967" s="32" t="n">
        <v>63</v>
      </c>
      <c r="S1967" s="32" t="n">
        <v>0</v>
      </c>
      <c r="T1967" s="43" t="s">
        <v>3663</v>
      </c>
      <c r="U1967" s="32" t="n">
        <v>3</v>
      </c>
      <c r="V1967" s="37"/>
      <c r="W1967" s="32"/>
      <c r="X1967" s="34"/>
      <c r="Y1967" s="34"/>
      <c r="Z1967" s="32"/>
      <c r="AA1967" s="32" t="s">
        <v>10701</v>
      </c>
      <c r="AB1967" s="32"/>
      <c r="AC1967" s="38" t="str">
        <f aca="false">HYPERLINK("https://biocodex6--c.vf.force.com/0014L00000KFWaUQAX", "DE LAROQUE FRANCOIS")</f>
        <v>DE LAROQUE FRANCOIS</v>
      </c>
      <c r="AD1967" s="38"/>
      <c r="AE1967" s="39" t="n">
        <v>45450.4166666667</v>
      </c>
      <c r="AF1967" s="40" t="s">
        <v>10702</v>
      </c>
      <c r="AG1967" s="41"/>
      <c r="AH1967" s="32"/>
      <c r="AI1967" s="32"/>
      <c r="AL1967" s="32"/>
      <c r="AM1967" s="32"/>
      <c r="AN1967" s="32"/>
      <c r="AO1967" s="32"/>
      <c r="AP1967" s="32"/>
      <c r="AQ1967" s="32"/>
      <c r="AR1967" s="32"/>
      <c r="AS1967" s="32"/>
      <c r="AT1967" s="32"/>
      <c r="AU1967" s="32"/>
      <c r="XEY1967" s="27"/>
      <c r="XEZ1967" s="27"/>
      <c r="XFA1967" s="27"/>
      <c r="XFB1967" s="27"/>
      <c r="XFC1967" s="27"/>
      <c r="XFD1967" s="27"/>
    </row>
    <row r="1968" s="42" customFormat="true" ht="14.15" hidden="false" customHeight="true" outlineLevel="0" collapsed="false">
      <c r="A1968" s="28" t="s">
        <v>10703</v>
      </c>
      <c r="B1968" s="29" t="s">
        <v>7214</v>
      </c>
      <c r="C1968" s="29" t="s">
        <v>10704</v>
      </c>
      <c r="D1968" s="30" t="s">
        <v>172</v>
      </c>
      <c r="E1968" s="30" t="s">
        <v>6186</v>
      </c>
      <c r="F1968" s="32" t="n">
        <v>49</v>
      </c>
      <c r="G1968" s="31"/>
      <c r="H1968" s="31" t="n">
        <v>1</v>
      </c>
      <c r="I1968" s="31" t="s">
        <v>119</v>
      </c>
      <c r="J1968" s="29"/>
      <c r="K1968" s="29" t="s">
        <v>4029</v>
      </c>
      <c r="L1968" s="32" t="n">
        <v>1</v>
      </c>
      <c r="M1968" s="33" t="s">
        <v>4030</v>
      </c>
      <c r="N1968" s="34" t="n">
        <v>75007</v>
      </c>
      <c r="O1968" s="35" t="s">
        <v>55</v>
      </c>
      <c r="P1968" s="36"/>
      <c r="Q1968" s="36" t="n">
        <v>4</v>
      </c>
      <c r="R1968" s="32" t="n">
        <v>62</v>
      </c>
      <c r="S1968" s="32" t="n">
        <v>0</v>
      </c>
      <c r="T1968" s="43" t="s">
        <v>316</v>
      </c>
      <c r="U1968" s="32"/>
      <c r="V1968" s="37"/>
      <c r="W1968" s="32"/>
      <c r="X1968" s="34"/>
      <c r="Y1968" s="34"/>
      <c r="Z1968" s="32"/>
      <c r="AA1968" s="32" t="s">
        <v>10705</v>
      </c>
      <c r="AB1968" s="32"/>
      <c r="AC1968" s="38" t="str">
        <f aca="false">HYPERLINK("https://biocodex6--c.vf.force.com/0014L00000KFVmcQAH", "BOUGUERET EDOUARD")</f>
        <v>BOUGUERET EDOUARD</v>
      </c>
      <c r="AD1968" s="38"/>
      <c r="AE1968" s="39"/>
      <c r="AF1968" s="40"/>
      <c r="AG1968" s="41"/>
      <c r="AH1968" s="32"/>
      <c r="AI1968" s="32"/>
      <c r="AL1968" s="32"/>
      <c r="AM1968" s="32"/>
      <c r="AN1968" s="32"/>
      <c r="AO1968" s="32"/>
      <c r="AP1968" s="32"/>
      <c r="AQ1968" s="32"/>
      <c r="AR1968" s="32"/>
      <c r="AS1968" s="32"/>
      <c r="AT1968" s="32"/>
      <c r="AU1968" s="32"/>
      <c r="XEY1968" s="27"/>
      <c r="XEZ1968" s="27"/>
      <c r="XFA1968" s="27"/>
      <c r="XFB1968" s="27"/>
      <c r="XFC1968" s="27"/>
      <c r="XFD1968" s="27"/>
    </row>
    <row r="1969" s="42" customFormat="true" ht="14.15" hidden="false" customHeight="true" outlineLevel="0" collapsed="false">
      <c r="A1969" s="28" t="s">
        <v>10706</v>
      </c>
      <c r="B1969" s="29" t="s">
        <v>3079</v>
      </c>
      <c r="C1969" s="29" t="s">
        <v>10707</v>
      </c>
      <c r="D1969" s="30" t="s">
        <v>172</v>
      </c>
      <c r="E1969" s="31"/>
      <c r="F1969" s="32" t="n">
        <v>67</v>
      </c>
      <c r="G1969" s="31"/>
      <c r="H1969" s="31" t="n">
        <v>1</v>
      </c>
      <c r="I1969" s="31" t="s">
        <v>62</v>
      </c>
      <c r="J1969" s="29"/>
      <c r="K1969" s="29" t="s">
        <v>10708</v>
      </c>
      <c r="L1969" s="32" t="n">
        <v>4</v>
      </c>
      <c r="M1969" s="33" t="s">
        <v>4230</v>
      </c>
      <c r="N1969" s="34" t="n">
        <v>75017</v>
      </c>
      <c r="O1969" s="35" t="s">
        <v>55</v>
      </c>
      <c r="P1969" s="36" t="s">
        <v>10709</v>
      </c>
      <c r="Q1969" s="36" t="n">
        <v>1</v>
      </c>
      <c r="R1969" s="36" t="n">
        <v>62</v>
      </c>
      <c r="S1969" s="32" t="n">
        <v>0</v>
      </c>
      <c r="T1969" s="43" t="s">
        <v>2189</v>
      </c>
      <c r="U1969" s="32" t="n">
        <v>3</v>
      </c>
      <c r="V1969" s="37"/>
      <c r="W1969" s="32"/>
      <c r="X1969" s="34"/>
      <c r="Y1969" s="34"/>
      <c r="Z1969" s="32"/>
      <c r="AA1969" s="32" t="s">
        <v>10710</v>
      </c>
      <c r="AB1969" s="32"/>
      <c r="AC1969" s="38" t="str">
        <f aca="false">HYPERLINK("https://biocodex6--c.vf.force.com/0014L00000KFUPxQAP", "BLANQUER ALBERT")</f>
        <v>BLANQUER ALBERT</v>
      </c>
      <c r="AD1969" s="38"/>
      <c r="AE1969" s="39"/>
      <c r="AF1969" s="40"/>
      <c r="AG1969" s="41"/>
      <c r="AH1969" s="32"/>
      <c r="AI1969" s="32"/>
      <c r="AL1969" s="32"/>
      <c r="AM1969" s="32"/>
      <c r="AN1969" s="32"/>
      <c r="AO1969" s="32"/>
      <c r="AP1969" s="32"/>
      <c r="AQ1969" s="32"/>
      <c r="AR1969" s="32"/>
      <c r="AS1969" s="32"/>
      <c r="AT1969" s="32"/>
      <c r="AU1969" s="32"/>
      <c r="XEY1969" s="27"/>
      <c r="XEZ1969" s="27"/>
      <c r="XFA1969" s="27"/>
      <c r="XFB1969" s="27"/>
      <c r="XFC1969" s="27"/>
      <c r="XFD1969" s="27"/>
    </row>
    <row r="1970" s="42" customFormat="true" ht="14.15" hidden="false" customHeight="true" outlineLevel="0" collapsed="false">
      <c r="A1970" s="28" t="s">
        <v>8301</v>
      </c>
      <c r="B1970" s="29" t="s">
        <v>10711</v>
      </c>
      <c r="C1970" s="29" t="s">
        <v>10712</v>
      </c>
      <c r="D1970" s="30" t="s">
        <v>172</v>
      </c>
      <c r="E1970" s="31"/>
      <c r="F1970" s="32" t="n">
        <v>60</v>
      </c>
      <c r="G1970" s="31"/>
      <c r="H1970" s="31" t="n">
        <v>1</v>
      </c>
      <c r="I1970" s="31" t="s">
        <v>197</v>
      </c>
      <c r="J1970" s="29"/>
      <c r="K1970" s="29" t="s">
        <v>10713</v>
      </c>
      <c r="L1970" s="32" t="n">
        <v>18</v>
      </c>
      <c r="M1970" s="33" t="s">
        <v>3044</v>
      </c>
      <c r="N1970" s="34" t="n">
        <v>75017</v>
      </c>
      <c r="O1970" s="35" t="s">
        <v>55</v>
      </c>
      <c r="P1970" s="36" t="s">
        <v>10714</v>
      </c>
      <c r="Q1970" s="36" t="n">
        <v>1</v>
      </c>
      <c r="R1970" s="32" t="n">
        <v>62</v>
      </c>
      <c r="S1970" s="32" t="n">
        <v>0</v>
      </c>
      <c r="T1970" s="43" t="s">
        <v>316</v>
      </c>
      <c r="U1970" s="32"/>
      <c r="V1970" s="37"/>
      <c r="W1970" s="32"/>
      <c r="X1970" s="34"/>
      <c r="Y1970" s="34"/>
      <c r="Z1970" s="32"/>
      <c r="AA1970" s="32" t="s">
        <v>10715</v>
      </c>
      <c r="AB1970" s="32"/>
      <c r="AC1970" s="38" t="str">
        <f aca="false">HYPERLINK("https://biocodex6--c.vf.force.com/0014L00000KFSloQAH", "BENICHOU JEAN MAURICE")</f>
        <v>BENICHOU JEAN MAURICE</v>
      </c>
      <c r="AD1970" s="38"/>
      <c r="AE1970" s="39"/>
      <c r="AF1970" s="40"/>
      <c r="AG1970" s="41"/>
      <c r="AH1970" s="32"/>
      <c r="AI1970" s="32"/>
      <c r="AL1970" s="32"/>
      <c r="AM1970" s="32"/>
      <c r="AN1970" s="32"/>
      <c r="AO1970" s="32"/>
      <c r="AP1970" s="32"/>
      <c r="AQ1970" s="32"/>
      <c r="AR1970" s="32"/>
      <c r="AS1970" s="32"/>
      <c r="AT1970" s="32"/>
      <c r="AU1970" s="32"/>
      <c r="XEY1970" s="27"/>
      <c r="XEZ1970" s="27"/>
      <c r="XFA1970" s="27"/>
      <c r="XFB1970" s="27"/>
      <c r="XFC1970" s="27"/>
      <c r="XFD1970" s="27"/>
    </row>
    <row r="1971" s="42" customFormat="true" ht="14.15" hidden="false" customHeight="true" outlineLevel="0" collapsed="false">
      <c r="A1971" s="28" t="s">
        <v>10716</v>
      </c>
      <c r="B1971" s="29" t="s">
        <v>1130</v>
      </c>
      <c r="C1971" s="29" t="s">
        <v>10717</v>
      </c>
      <c r="D1971" s="30" t="s">
        <v>172</v>
      </c>
      <c r="E1971" s="31"/>
      <c r="F1971" s="32" t="n">
        <v>69</v>
      </c>
      <c r="G1971" s="31"/>
      <c r="H1971" s="31" t="n">
        <v>1</v>
      </c>
      <c r="I1971" s="31" t="s">
        <v>51</v>
      </c>
      <c r="J1971" s="29" t="s">
        <v>286</v>
      </c>
      <c r="K1971" s="29" t="s">
        <v>287</v>
      </c>
      <c r="L1971" s="32" t="n">
        <v>12</v>
      </c>
      <c r="M1971" s="33" t="s">
        <v>288</v>
      </c>
      <c r="N1971" s="34" t="n">
        <v>75015</v>
      </c>
      <c r="O1971" s="35" t="s">
        <v>55</v>
      </c>
      <c r="P1971" s="36" t="s">
        <v>289</v>
      </c>
      <c r="Q1971" s="36" t="n">
        <v>14</v>
      </c>
      <c r="R1971" s="36" t="n">
        <v>61</v>
      </c>
      <c r="S1971" s="32" t="n">
        <v>0</v>
      </c>
      <c r="T1971" s="43" t="s">
        <v>2189</v>
      </c>
      <c r="U1971" s="32" t="n">
        <v>3</v>
      </c>
      <c r="V1971" s="37"/>
      <c r="W1971" s="32"/>
      <c r="X1971" s="34"/>
      <c r="Y1971" s="34"/>
      <c r="Z1971" s="32"/>
      <c r="AA1971" s="32" t="s">
        <v>10718</v>
      </c>
      <c r="AB1971" s="32"/>
      <c r="AC1971" s="38" t="str">
        <f aca="false">HYPERLINK("https://biocodex6--c.vf.force.com/0014L00000KFZdbQAH", "DELANOE DANIEL")</f>
        <v>DELANOE DANIEL</v>
      </c>
      <c r="AD1971" s="38"/>
      <c r="AE1971" s="39" t="n">
        <v>45341.5833333333</v>
      </c>
      <c r="AF1971" s="40"/>
      <c r="AG1971" s="41"/>
      <c r="AH1971" s="32"/>
      <c r="AI1971" s="32"/>
      <c r="AL1971" s="32"/>
      <c r="AM1971" s="32"/>
      <c r="AN1971" s="32"/>
      <c r="AO1971" s="32"/>
      <c r="AP1971" s="32"/>
      <c r="AQ1971" s="32"/>
      <c r="AR1971" s="32"/>
      <c r="AS1971" s="32"/>
      <c r="AT1971" s="32"/>
      <c r="AU1971" s="32"/>
      <c r="XEY1971" s="27"/>
      <c r="XEZ1971" s="27"/>
      <c r="XFA1971" s="27"/>
      <c r="XFB1971" s="27"/>
      <c r="XFC1971" s="27"/>
      <c r="XFD1971" s="27"/>
    </row>
    <row r="1972" s="42" customFormat="true" ht="14.15" hidden="false" customHeight="true" outlineLevel="0" collapsed="false">
      <c r="A1972" s="28" t="s">
        <v>10719</v>
      </c>
      <c r="B1972" s="29" t="s">
        <v>10720</v>
      </c>
      <c r="C1972" s="29" t="s">
        <v>10721</v>
      </c>
      <c r="D1972" s="30" t="s">
        <v>172</v>
      </c>
      <c r="E1972" s="31"/>
      <c r="F1972" s="32" t="n">
        <v>68</v>
      </c>
      <c r="G1972" s="31"/>
      <c r="H1972" s="31" t="n">
        <v>1</v>
      </c>
      <c r="I1972" s="31" t="s">
        <v>51</v>
      </c>
      <c r="J1972" s="29"/>
      <c r="K1972" s="29" t="s">
        <v>6809</v>
      </c>
      <c r="L1972" s="32" t="n">
        <v>56</v>
      </c>
      <c r="M1972" s="33" t="s">
        <v>481</v>
      </c>
      <c r="N1972" s="34" t="n">
        <v>75015</v>
      </c>
      <c r="O1972" s="35" t="s">
        <v>55</v>
      </c>
      <c r="P1972" s="36" t="s">
        <v>8974</v>
      </c>
      <c r="Q1972" s="36" t="n">
        <v>3</v>
      </c>
      <c r="R1972" s="32" t="n">
        <v>61</v>
      </c>
      <c r="S1972" s="32" t="n">
        <v>0</v>
      </c>
      <c r="T1972" s="43" t="s">
        <v>316</v>
      </c>
      <c r="U1972" s="32"/>
      <c r="V1972" s="37"/>
      <c r="W1972" s="32"/>
      <c r="X1972" s="34"/>
      <c r="Y1972" s="34"/>
      <c r="Z1972" s="32"/>
      <c r="AA1972" s="32" t="s">
        <v>10722</v>
      </c>
      <c r="AB1972" s="32"/>
      <c r="AC1972" s="38" t="str">
        <f aca="false">HYPERLINK("https://biocodex6--c.vf.force.com/0014L00000KFiNKQA1", "KADOURI ALANE")</f>
        <v>KADOURI ALANE</v>
      </c>
      <c r="AD1972" s="38"/>
      <c r="AE1972" s="39"/>
      <c r="AF1972" s="40"/>
      <c r="AG1972" s="41"/>
      <c r="AH1972" s="32"/>
      <c r="AI1972" s="32"/>
      <c r="AL1972" s="32"/>
      <c r="AM1972" s="32"/>
      <c r="AN1972" s="32"/>
      <c r="AO1972" s="32"/>
      <c r="AP1972" s="32"/>
      <c r="AQ1972" s="32"/>
      <c r="AR1972" s="32"/>
      <c r="AS1972" s="32"/>
      <c r="AT1972" s="32"/>
      <c r="AU1972" s="32"/>
      <c r="XEY1972" s="27"/>
      <c r="XEZ1972" s="27"/>
      <c r="XFA1972" s="27"/>
      <c r="XFB1972" s="27"/>
      <c r="XFC1972" s="27"/>
      <c r="XFD1972" s="27"/>
    </row>
    <row r="1973" s="42" customFormat="true" ht="14.15" hidden="false" customHeight="true" outlineLevel="0" collapsed="false">
      <c r="A1973" s="28" t="s">
        <v>10723</v>
      </c>
      <c r="B1973" s="29" t="s">
        <v>182</v>
      </c>
      <c r="C1973" s="29" t="s">
        <v>10724</v>
      </c>
      <c r="D1973" s="30" t="s">
        <v>172</v>
      </c>
      <c r="E1973" s="31"/>
      <c r="F1973" s="32" t="n">
        <v>74</v>
      </c>
      <c r="G1973" s="31"/>
      <c r="H1973" s="31" t="n">
        <v>1</v>
      </c>
      <c r="I1973" s="31" t="s">
        <v>51</v>
      </c>
      <c r="J1973" s="29"/>
      <c r="K1973" s="29" t="s">
        <v>10725</v>
      </c>
      <c r="L1973" s="32" t="n">
        <v>6</v>
      </c>
      <c r="M1973" s="33" t="s">
        <v>10651</v>
      </c>
      <c r="N1973" s="34" t="n">
        <v>75015</v>
      </c>
      <c r="O1973" s="35" t="s">
        <v>55</v>
      </c>
      <c r="P1973" s="36" t="s">
        <v>10726</v>
      </c>
      <c r="Q1973" s="36" t="n">
        <v>1</v>
      </c>
      <c r="R1973" s="32" t="n">
        <v>61</v>
      </c>
      <c r="S1973" s="32" t="n">
        <v>0</v>
      </c>
      <c r="T1973" s="43" t="s">
        <v>177</v>
      </c>
      <c r="U1973" s="32"/>
      <c r="V1973" s="37"/>
      <c r="W1973" s="32"/>
      <c r="X1973" s="34"/>
      <c r="Y1973" s="34"/>
      <c r="Z1973" s="32"/>
      <c r="AA1973" s="32" t="s">
        <v>10727</v>
      </c>
      <c r="AB1973" s="32"/>
      <c r="AC1973" s="38" t="str">
        <f aca="false">HYPERLINK("https://biocodex6--c.vf.force.com/0014L00000KFnISQA1", "LE VAGUERESE LAURENT")</f>
        <v>LE VAGUERESE LAURENT</v>
      </c>
      <c r="AD1973" s="38"/>
      <c r="AE1973" s="39"/>
      <c r="AF1973" s="40"/>
      <c r="AG1973" s="41"/>
      <c r="AH1973" s="32"/>
      <c r="AI1973" s="32"/>
      <c r="AL1973" s="32"/>
      <c r="AM1973" s="32"/>
      <c r="AN1973" s="32"/>
      <c r="AO1973" s="32"/>
      <c r="AP1973" s="32"/>
      <c r="AQ1973" s="32"/>
      <c r="AR1973" s="32"/>
      <c r="AS1973" s="32"/>
      <c r="AT1973" s="32"/>
      <c r="AU1973" s="32"/>
      <c r="XEY1973" s="27"/>
      <c r="XEZ1973" s="27"/>
      <c r="XFA1973" s="27"/>
      <c r="XFB1973" s="27"/>
      <c r="XFC1973" s="27"/>
      <c r="XFD1973" s="27"/>
    </row>
    <row r="1974" s="42" customFormat="true" ht="14.15" hidden="false" customHeight="true" outlineLevel="0" collapsed="false">
      <c r="A1974" s="28" t="s">
        <v>10728</v>
      </c>
      <c r="B1974" s="29" t="s">
        <v>320</v>
      </c>
      <c r="C1974" s="29" t="s">
        <v>10729</v>
      </c>
      <c r="D1974" s="30" t="s">
        <v>172</v>
      </c>
      <c r="E1974" s="30" t="s">
        <v>818</v>
      </c>
      <c r="F1974" s="32" t="n">
        <v>72</v>
      </c>
      <c r="G1974" s="31"/>
      <c r="H1974" s="31" t="n">
        <v>1</v>
      </c>
      <c r="I1974" s="31" t="s">
        <v>62</v>
      </c>
      <c r="J1974" s="29"/>
      <c r="K1974" s="29" t="s">
        <v>10730</v>
      </c>
      <c r="L1974" s="32" t="n">
        <v>3</v>
      </c>
      <c r="M1974" s="33" t="s">
        <v>5529</v>
      </c>
      <c r="N1974" s="34" t="n">
        <v>75017</v>
      </c>
      <c r="O1974" s="35" t="s">
        <v>55</v>
      </c>
      <c r="P1974" s="36" t="s">
        <v>10731</v>
      </c>
      <c r="Q1974" s="36" t="n">
        <v>1</v>
      </c>
      <c r="R1974" s="32" t="n">
        <v>61</v>
      </c>
      <c r="S1974" s="32" t="n">
        <v>0</v>
      </c>
      <c r="T1974" s="43" t="s">
        <v>1107</v>
      </c>
      <c r="U1974" s="32"/>
      <c r="V1974" s="37"/>
      <c r="W1974" s="32"/>
      <c r="X1974" s="34"/>
      <c r="Y1974" s="34"/>
      <c r="Z1974" s="32"/>
      <c r="AA1974" s="32" t="s">
        <v>10732</v>
      </c>
      <c r="AB1974" s="32"/>
      <c r="AC1974" s="38" t="str">
        <f aca="false">HYPERLINK("https://biocodex6--c.vf.force.com/0014L00000KFoozQAD", "LOTERSZTAJN SERGE")</f>
        <v>LOTERSZTAJN SERGE</v>
      </c>
      <c r="AD1974" s="38"/>
      <c r="AE1974" s="39"/>
      <c r="AF1974" s="40"/>
      <c r="AG1974" s="41"/>
      <c r="AH1974" s="32"/>
      <c r="AI1974" s="32"/>
      <c r="AL1974" s="32"/>
      <c r="AM1974" s="32"/>
      <c r="AN1974" s="32"/>
      <c r="AO1974" s="32"/>
      <c r="AP1974" s="32"/>
      <c r="AQ1974" s="32"/>
      <c r="AR1974" s="32"/>
      <c r="AS1974" s="32"/>
      <c r="AT1974" s="32"/>
      <c r="AU1974" s="32"/>
      <c r="XEY1974" s="27"/>
      <c r="XEZ1974" s="27"/>
      <c r="XFA1974" s="27"/>
      <c r="XFB1974" s="27"/>
      <c r="XFC1974" s="27"/>
      <c r="XFD1974" s="27"/>
    </row>
    <row r="1975" s="42" customFormat="true" ht="14.15" hidden="false" customHeight="true" outlineLevel="0" collapsed="false">
      <c r="A1975" s="28" t="s">
        <v>10733</v>
      </c>
      <c r="B1975" s="29" t="s">
        <v>1968</v>
      </c>
      <c r="C1975" s="29" t="s">
        <v>10734</v>
      </c>
      <c r="D1975" s="30" t="s">
        <v>172</v>
      </c>
      <c r="E1975" s="31"/>
      <c r="F1975" s="32" t="n">
        <v>52</v>
      </c>
      <c r="G1975" s="31"/>
      <c r="H1975" s="31" t="n">
        <v>1</v>
      </c>
      <c r="I1975" s="31" t="s">
        <v>173</v>
      </c>
      <c r="J1975" s="29"/>
      <c r="K1975" s="29" t="s">
        <v>4884</v>
      </c>
      <c r="L1975" s="32" t="n">
        <v>30</v>
      </c>
      <c r="M1975" s="33" t="s">
        <v>4885</v>
      </c>
      <c r="N1975" s="34" t="n">
        <v>75016</v>
      </c>
      <c r="O1975" s="35" t="s">
        <v>55</v>
      </c>
      <c r="P1975" s="36"/>
      <c r="Q1975" s="36" t="n">
        <v>2</v>
      </c>
      <c r="R1975" s="32" t="n">
        <v>61</v>
      </c>
      <c r="S1975" s="32" t="n">
        <v>0</v>
      </c>
      <c r="T1975" s="43" t="s">
        <v>177</v>
      </c>
      <c r="U1975" s="32"/>
      <c r="V1975" s="37"/>
      <c r="W1975" s="32"/>
      <c r="X1975" s="34"/>
      <c r="Y1975" s="34"/>
      <c r="Z1975" s="32"/>
      <c r="AA1975" s="32" t="s">
        <v>10735</v>
      </c>
      <c r="AB1975" s="32"/>
      <c r="AC1975" s="38" t="str">
        <f aca="false">HYPERLINK("https://biocodex6--c.vf.force.com/0014L00000KFllFQAT", "LEBREC SEBASTIEN")</f>
        <v>LEBREC SEBASTIEN</v>
      </c>
      <c r="AD1975" s="38"/>
      <c r="AE1975" s="39"/>
      <c r="AF1975" s="40"/>
      <c r="AG1975" s="41"/>
      <c r="AH1975" s="32"/>
      <c r="AI1975" s="32"/>
      <c r="AL1975" s="32"/>
      <c r="AM1975" s="32"/>
      <c r="AN1975" s="32"/>
      <c r="AO1975" s="32"/>
      <c r="AP1975" s="32"/>
      <c r="AQ1975" s="32"/>
      <c r="AR1975" s="32"/>
      <c r="AS1975" s="32"/>
      <c r="AT1975" s="32"/>
      <c r="AU1975" s="32"/>
      <c r="XEY1975" s="27"/>
      <c r="XEZ1975" s="27"/>
      <c r="XFA1975" s="27"/>
      <c r="XFB1975" s="27"/>
      <c r="XFC1975" s="27"/>
      <c r="XFD1975" s="27"/>
    </row>
    <row r="1976" s="42" customFormat="true" ht="14.15" hidden="false" customHeight="true" outlineLevel="0" collapsed="false">
      <c r="A1976" s="28" t="s">
        <v>10736</v>
      </c>
      <c r="B1976" s="29" t="s">
        <v>931</v>
      </c>
      <c r="C1976" s="29" t="s">
        <v>10737</v>
      </c>
      <c r="D1976" s="30" t="s">
        <v>172</v>
      </c>
      <c r="E1976" s="31"/>
      <c r="F1976" s="32" t="n">
        <v>65</v>
      </c>
      <c r="G1976" s="31"/>
      <c r="H1976" s="31" t="n">
        <v>1</v>
      </c>
      <c r="I1976" s="31" t="s">
        <v>572</v>
      </c>
      <c r="J1976" s="29"/>
      <c r="K1976" s="29" t="s">
        <v>10738</v>
      </c>
      <c r="L1976" s="32" t="n">
        <v>95</v>
      </c>
      <c r="M1976" s="33" t="s">
        <v>9150</v>
      </c>
      <c r="N1976" s="34" t="n">
        <v>75008</v>
      </c>
      <c r="O1976" s="35" t="s">
        <v>55</v>
      </c>
      <c r="P1976" s="36" t="s">
        <v>10739</v>
      </c>
      <c r="Q1976" s="36" t="n">
        <v>1</v>
      </c>
      <c r="R1976" s="32" t="n">
        <v>60</v>
      </c>
      <c r="S1976" s="32" t="n">
        <v>0</v>
      </c>
      <c r="T1976" s="43" t="s">
        <v>1107</v>
      </c>
      <c r="U1976" s="32"/>
      <c r="V1976" s="37"/>
      <c r="W1976" s="32"/>
      <c r="X1976" s="34"/>
      <c r="Y1976" s="34"/>
      <c r="Z1976" s="32"/>
      <c r="AA1976" s="32" t="s">
        <v>10740</v>
      </c>
      <c r="AB1976" s="32"/>
      <c r="AC1976" s="38" t="str">
        <f aca="false">HYPERLINK("https://biocodex6--c.vf.force.com/0014L00000KG1y4QAD", "SIDOUN PAUL")</f>
        <v>SIDOUN PAUL</v>
      </c>
      <c r="AD1976" s="38"/>
      <c r="AE1976" s="39"/>
      <c r="AF1976" s="40"/>
      <c r="AG1976" s="41"/>
      <c r="AH1976" s="32"/>
      <c r="AI1976" s="32"/>
      <c r="AL1976" s="32"/>
      <c r="AM1976" s="32"/>
      <c r="AN1976" s="32"/>
      <c r="AO1976" s="32"/>
      <c r="AP1976" s="32"/>
      <c r="AQ1976" s="32"/>
      <c r="AR1976" s="32"/>
      <c r="AS1976" s="32"/>
      <c r="AT1976" s="32"/>
      <c r="AU1976" s="32"/>
      <c r="XEY1976" s="27"/>
      <c r="XEZ1976" s="27"/>
      <c r="XFA1976" s="27"/>
      <c r="XFB1976" s="27"/>
      <c r="XFC1976" s="27"/>
      <c r="XFD1976" s="27"/>
    </row>
    <row r="1977" s="42" customFormat="true" ht="14.15" hidden="false" customHeight="true" outlineLevel="0" collapsed="false">
      <c r="A1977" s="28" t="s">
        <v>10741</v>
      </c>
      <c r="B1977" s="29" t="s">
        <v>495</v>
      </c>
      <c r="C1977" s="29" t="s">
        <v>10742</v>
      </c>
      <c r="D1977" s="30" t="s">
        <v>172</v>
      </c>
      <c r="E1977" s="30" t="s">
        <v>1103</v>
      </c>
      <c r="F1977" s="32" t="n">
        <v>57</v>
      </c>
      <c r="G1977" s="31"/>
      <c r="H1977" s="31" t="n">
        <v>1</v>
      </c>
      <c r="I1977" s="31" t="s">
        <v>119</v>
      </c>
      <c r="J1977" s="29"/>
      <c r="K1977" s="29" t="s">
        <v>10743</v>
      </c>
      <c r="L1977" s="32" t="n">
        <v>7</v>
      </c>
      <c r="M1977" s="33" t="s">
        <v>522</v>
      </c>
      <c r="N1977" s="34" t="n">
        <v>75007</v>
      </c>
      <c r="O1977" s="35" t="s">
        <v>55</v>
      </c>
      <c r="P1977" s="36" t="s">
        <v>10744</v>
      </c>
      <c r="Q1977" s="36" t="n">
        <v>1</v>
      </c>
      <c r="R1977" s="32" t="n">
        <v>60</v>
      </c>
      <c r="S1977" s="32" t="n">
        <v>0</v>
      </c>
      <c r="T1977" s="43" t="s">
        <v>316</v>
      </c>
      <c r="U1977" s="32"/>
      <c r="V1977" s="37"/>
      <c r="W1977" s="32"/>
      <c r="X1977" s="34"/>
      <c r="Y1977" s="34"/>
      <c r="Z1977" s="32"/>
      <c r="AA1977" s="32" t="s">
        <v>10745</v>
      </c>
      <c r="AB1977" s="32"/>
      <c r="AC1977" s="38" t="str">
        <f aca="false">HYPERLINK("https://biocodex6--c.vf.force.com/0014L00000KG6BbQAL", "ZIGANTE FRANCK")</f>
        <v>ZIGANTE FRANCK</v>
      </c>
      <c r="AD1977" s="38"/>
      <c r="AE1977" s="39"/>
      <c r="AF1977" s="40"/>
      <c r="AG1977" s="41"/>
      <c r="AH1977" s="32"/>
      <c r="AI1977" s="32"/>
      <c r="AL1977" s="32"/>
      <c r="AM1977" s="32"/>
      <c r="AN1977" s="32"/>
      <c r="AO1977" s="32"/>
      <c r="AP1977" s="32"/>
      <c r="AQ1977" s="32"/>
      <c r="AR1977" s="32"/>
      <c r="AS1977" s="32"/>
      <c r="AT1977" s="32"/>
      <c r="AU1977" s="32"/>
      <c r="XEY1977" s="27"/>
      <c r="XEZ1977" s="27"/>
      <c r="XFA1977" s="27"/>
      <c r="XFB1977" s="27"/>
      <c r="XFC1977" s="27"/>
      <c r="XFD1977" s="27"/>
    </row>
    <row r="1978" s="42" customFormat="true" ht="14.15" hidden="false" customHeight="true" outlineLevel="0" collapsed="false">
      <c r="A1978" s="28" t="s">
        <v>10746</v>
      </c>
      <c r="B1978" s="29" t="s">
        <v>690</v>
      </c>
      <c r="C1978" s="29" t="s">
        <v>10747</v>
      </c>
      <c r="D1978" s="30" t="s">
        <v>172</v>
      </c>
      <c r="E1978" s="30" t="s">
        <v>1277</v>
      </c>
      <c r="F1978" s="32" t="n">
        <v>61</v>
      </c>
      <c r="G1978" s="31"/>
      <c r="H1978" s="31" t="n">
        <v>1</v>
      </c>
      <c r="I1978" s="31" t="s">
        <v>197</v>
      </c>
      <c r="J1978" s="29"/>
      <c r="K1978" s="29" t="s">
        <v>10748</v>
      </c>
      <c r="L1978" s="32" t="n">
        <v>11</v>
      </c>
      <c r="M1978" s="33" t="s">
        <v>1697</v>
      </c>
      <c r="N1978" s="34" t="n">
        <v>75017</v>
      </c>
      <c r="O1978" s="35" t="s">
        <v>55</v>
      </c>
      <c r="P1978" s="36" t="s">
        <v>10749</v>
      </c>
      <c r="Q1978" s="36" t="n">
        <v>1</v>
      </c>
      <c r="R1978" s="32" t="n">
        <v>58</v>
      </c>
      <c r="S1978" s="32" t="n">
        <v>0</v>
      </c>
      <c r="T1978" s="43" t="s">
        <v>316</v>
      </c>
      <c r="U1978" s="32"/>
      <c r="V1978" s="37"/>
      <c r="W1978" s="32"/>
      <c r="X1978" s="34"/>
      <c r="Y1978" s="34"/>
      <c r="Z1978" s="32"/>
      <c r="AA1978" s="32" t="s">
        <v>10750</v>
      </c>
      <c r="AB1978" s="32"/>
      <c r="AC1978" s="38" t="str">
        <f aca="false">HYPERLINK("https://biocodex6--c.vf.force.com/0014L00000KG3fGQAT", "TANNEAU ERIC")</f>
        <v>TANNEAU ERIC</v>
      </c>
      <c r="AD1978" s="38"/>
      <c r="AE1978" s="39"/>
      <c r="AF1978" s="40"/>
      <c r="AG1978" s="41"/>
      <c r="AH1978" s="32"/>
      <c r="AI1978" s="32"/>
      <c r="AL1978" s="32"/>
      <c r="AM1978" s="32"/>
      <c r="AN1978" s="32"/>
      <c r="AO1978" s="32"/>
      <c r="AP1978" s="32"/>
      <c r="AQ1978" s="32"/>
      <c r="AR1978" s="32"/>
      <c r="AS1978" s="32"/>
      <c r="AT1978" s="32"/>
      <c r="AU1978" s="32"/>
      <c r="XEY1978" s="27"/>
      <c r="XEZ1978" s="27"/>
      <c r="XFA1978" s="27"/>
      <c r="XFB1978" s="27"/>
      <c r="XFC1978" s="27"/>
      <c r="XFD1978" s="27"/>
    </row>
    <row r="1979" s="42" customFormat="true" ht="14.15" hidden="false" customHeight="true" outlineLevel="0" collapsed="false">
      <c r="A1979" s="28" t="s">
        <v>10751</v>
      </c>
      <c r="B1979" s="29" t="s">
        <v>1226</v>
      </c>
      <c r="C1979" s="29" t="s">
        <v>10752</v>
      </c>
      <c r="D1979" s="30" t="s">
        <v>172</v>
      </c>
      <c r="E1979" s="31"/>
      <c r="F1979" s="32" t="n">
        <v>72</v>
      </c>
      <c r="G1979" s="31"/>
      <c r="H1979" s="31" t="n">
        <v>1</v>
      </c>
      <c r="I1979" s="31" t="s">
        <v>173</v>
      </c>
      <c r="J1979" s="29"/>
      <c r="K1979" s="29" t="s">
        <v>10753</v>
      </c>
      <c r="L1979" s="32" t="n">
        <v>105</v>
      </c>
      <c r="M1979" s="33" t="s">
        <v>175</v>
      </c>
      <c r="N1979" s="34" t="n">
        <v>75016</v>
      </c>
      <c r="O1979" s="35" t="s">
        <v>55</v>
      </c>
      <c r="P1979" s="36" t="s">
        <v>10754</v>
      </c>
      <c r="Q1979" s="36" t="n">
        <v>1</v>
      </c>
      <c r="R1979" s="32" t="n">
        <v>58</v>
      </c>
      <c r="S1979" s="32" t="n">
        <v>0</v>
      </c>
      <c r="T1979" s="43" t="s">
        <v>316</v>
      </c>
      <c r="U1979" s="32"/>
      <c r="V1979" s="37"/>
      <c r="W1979" s="32"/>
      <c r="X1979" s="34"/>
      <c r="Y1979" s="34"/>
      <c r="Z1979" s="32"/>
      <c r="AA1979" s="32" t="s">
        <v>10755</v>
      </c>
      <c r="AB1979" s="32"/>
      <c r="AC1979" s="38" t="str">
        <f aca="false">HYPERLINK("https://biocodex6--c.vf.force.com/0014L00000KFlCJQA1", "LABLANCHY JEAN PIERRE")</f>
        <v>LABLANCHY JEAN PIERRE</v>
      </c>
      <c r="AD1979" s="38"/>
      <c r="AE1979" s="39"/>
      <c r="AF1979" s="40"/>
      <c r="AG1979" s="41"/>
      <c r="AH1979" s="32"/>
      <c r="AI1979" s="32"/>
      <c r="AL1979" s="32"/>
      <c r="AM1979" s="32"/>
      <c r="AN1979" s="32"/>
      <c r="AO1979" s="32"/>
      <c r="AP1979" s="32"/>
      <c r="AQ1979" s="32"/>
      <c r="AR1979" s="32"/>
      <c r="AS1979" s="32"/>
      <c r="AT1979" s="32"/>
      <c r="AU1979" s="32"/>
      <c r="XEY1979" s="27"/>
      <c r="XEZ1979" s="27"/>
      <c r="XFA1979" s="27"/>
      <c r="XFB1979" s="27"/>
      <c r="XFC1979" s="27"/>
      <c r="XFD1979" s="27"/>
    </row>
    <row r="1980" s="42" customFormat="true" ht="14.15" hidden="false" customHeight="true" outlineLevel="0" collapsed="false">
      <c r="A1980" s="28" t="s">
        <v>10756</v>
      </c>
      <c r="B1980" s="29" t="s">
        <v>231</v>
      </c>
      <c r="C1980" s="29" t="s">
        <v>10757</v>
      </c>
      <c r="D1980" s="30" t="s">
        <v>172</v>
      </c>
      <c r="E1980" s="31"/>
      <c r="F1980" s="32" t="n">
        <v>74</v>
      </c>
      <c r="G1980" s="31"/>
      <c r="H1980" s="31" t="n">
        <v>1</v>
      </c>
      <c r="I1980" s="31" t="s">
        <v>99</v>
      </c>
      <c r="J1980" s="29"/>
      <c r="K1980" s="29" t="s">
        <v>10758</v>
      </c>
      <c r="L1980" s="32" t="n">
        <v>28</v>
      </c>
      <c r="M1980" s="33" t="s">
        <v>3849</v>
      </c>
      <c r="N1980" s="34" t="n">
        <v>75015</v>
      </c>
      <c r="O1980" s="35" t="s">
        <v>55</v>
      </c>
      <c r="P1980" s="36" t="s">
        <v>10759</v>
      </c>
      <c r="Q1980" s="36" t="n">
        <v>1</v>
      </c>
      <c r="R1980" s="32" t="n">
        <v>57</v>
      </c>
      <c r="S1980" s="32" t="n">
        <v>0</v>
      </c>
      <c r="T1980" s="43" t="s">
        <v>316</v>
      </c>
      <c r="U1980" s="32"/>
      <c r="V1980" s="37"/>
      <c r="W1980" s="32"/>
      <c r="X1980" s="34"/>
      <c r="Y1980" s="34"/>
      <c r="Z1980" s="32"/>
      <c r="AA1980" s="32" t="s">
        <v>10760</v>
      </c>
      <c r="AB1980" s="32"/>
      <c r="AC1980" s="38" t="str">
        <f aca="false">HYPERLINK("https://biocodex6--c.vf.force.com/0014L00000KG1KzQAL", "ROBERT PARISET ANNE")</f>
        <v>ROBERT PARISET ANNE</v>
      </c>
      <c r="AD1980" s="38"/>
      <c r="AE1980" s="39"/>
      <c r="AF1980" s="40"/>
      <c r="AG1980" s="41"/>
      <c r="AH1980" s="32"/>
      <c r="AI1980" s="32"/>
      <c r="AL1980" s="32"/>
      <c r="AM1980" s="32"/>
      <c r="AN1980" s="32"/>
      <c r="AO1980" s="32"/>
      <c r="AP1980" s="32"/>
      <c r="AQ1980" s="32"/>
      <c r="AR1980" s="32"/>
      <c r="AS1980" s="32"/>
      <c r="AT1980" s="32"/>
      <c r="AU1980" s="32"/>
      <c r="XEY1980" s="27"/>
      <c r="XEZ1980" s="27"/>
      <c r="XFA1980" s="27"/>
      <c r="XFB1980" s="27"/>
      <c r="XFC1980" s="27"/>
      <c r="XFD1980" s="27"/>
    </row>
    <row r="1981" s="42" customFormat="true" ht="14.15" hidden="false" customHeight="true" outlineLevel="0" collapsed="false">
      <c r="A1981" s="28" t="s">
        <v>10761</v>
      </c>
      <c r="B1981" s="29" t="s">
        <v>10762</v>
      </c>
      <c r="C1981" s="29" t="s">
        <v>10763</v>
      </c>
      <c r="D1981" s="30" t="s">
        <v>172</v>
      </c>
      <c r="E1981" s="31"/>
      <c r="F1981" s="32" t="n">
        <v>76</v>
      </c>
      <c r="G1981" s="31"/>
      <c r="H1981" s="31" t="n">
        <v>1</v>
      </c>
      <c r="I1981" s="31" t="s">
        <v>435</v>
      </c>
      <c r="J1981" s="29"/>
      <c r="K1981" s="29" t="s">
        <v>4863</v>
      </c>
      <c r="L1981" s="32" t="n">
        <v>12</v>
      </c>
      <c r="M1981" s="33" t="s">
        <v>4864</v>
      </c>
      <c r="N1981" s="34" t="n">
        <v>75016</v>
      </c>
      <c r="O1981" s="35" t="s">
        <v>55</v>
      </c>
      <c r="P1981" s="36"/>
      <c r="Q1981" s="36" t="n">
        <v>2</v>
      </c>
      <c r="R1981" s="32" t="n">
        <v>57</v>
      </c>
      <c r="S1981" s="32" t="n">
        <v>0</v>
      </c>
      <c r="T1981" s="43" t="s">
        <v>1107</v>
      </c>
      <c r="U1981" s="32"/>
      <c r="V1981" s="37"/>
      <c r="W1981" s="32"/>
      <c r="X1981" s="34"/>
      <c r="Y1981" s="34"/>
      <c r="Z1981" s="32"/>
      <c r="AA1981" s="32" t="s">
        <v>10764</v>
      </c>
      <c r="AB1981" s="32"/>
      <c r="AC1981" s="38" t="str">
        <f aca="false">HYPERLINK("https://biocodex6--c.vf.force.com/0014L00000KFkh8QAD", "KOVESS MASFETY VIVIANE")</f>
        <v>KOVESS MASFETY VIVIANE</v>
      </c>
      <c r="AD1981" s="38"/>
      <c r="AE1981" s="39"/>
      <c r="AF1981" s="40"/>
      <c r="AG1981" s="41"/>
      <c r="AH1981" s="32"/>
      <c r="AI1981" s="32"/>
      <c r="AL1981" s="32"/>
      <c r="AM1981" s="32"/>
      <c r="AN1981" s="32"/>
      <c r="AO1981" s="32"/>
      <c r="AP1981" s="32"/>
      <c r="AQ1981" s="32"/>
      <c r="AR1981" s="32"/>
      <c r="AS1981" s="32"/>
      <c r="AT1981" s="32"/>
      <c r="AU1981" s="32"/>
      <c r="XEY1981" s="27"/>
      <c r="XEZ1981" s="27"/>
      <c r="XFA1981" s="27"/>
      <c r="XFB1981" s="27"/>
      <c r="XFC1981" s="27"/>
      <c r="XFD1981" s="27"/>
    </row>
    <row r="1982" s="42" customFormat="true" ht="14.15" hidden="false" customHeight="true" outlineLevel="0" collapsed="false">
      <c r="A1982" s="28" t="s">
        <v>10765</v>
      </c>
      <c r="B1982" s="29" t="s">
        <v>128</v>
      </c>
      <c r="C1982" s="29" t="s">
        <v>10766</v>
      </c>
      <c r="D1982" s="30" t="s">
        <v>172</v>
      </c>
      <c r="E1982" s="31"/>
      <c r="F1982" s="32" t="n">
        <v>71</v>
      </c>
      <c r="G1982" s="31"/>
      <c r="H1982" s="31" t="n">
        <v>1</v>
      </c>
      <c r="I1982" s="31" t="s">
        <v>99</v>
      </c>
      <c r="J1982" s="29"/>
      <c r="K1982" s="29" t="s">
        <v>10767</v>
      </c>
      <c r="L1982" s="32" t="n">
        <v>44</v>
      </c>
      <c r="M1982" s="33" t="s">
        <v>10768</v>
      </c>
      <c r="N1982" s="34" t="n">
        <v>75015</v>
      </c>
      <c r="O1982" s="35" t="s">
        <v>55</v>
      </c>
      <c r="P1982" s="36" t="s">
        <v>10769</v>
      </c>
      <c r="Q1982" s="36" t="n">
        <v>1</v>
      </c>
      <c r="R1982" s="32" t="n">
        <v>56</v>
      </c>
      <c r="S1982" s="32" t="n">
        <v>0</v>
      </c>
      <c r="T1982" s="43" t="s">
        <v>3663</v>
      </c>
      <c r="U1982" s="32" t="n">
        <v>3</v>
      </c>
      <c r="V1982" s="37"/>
      <c r="W1982" s="32"/>
      <c r="X1982" s="34"/>
      <c r="Y1982" s="34"/>
      <c r="Z1982" s="32"/>
      <c r="AA1982" s="32" t="s">
        <v>10770</v>
      </c>
      <c r="AB1982" s="32"/>
      <c r="AC1982" s="38" t="str">
        <f aca="false">HYPERLINK("https://biocodex6--c.vf.force.com/0014L00000KFtscQAD", "NOUALLET FRANCOISE")</f>
        <v>NOUALLET FRANCOISE</v>
      </c>
      <c r="AD1982" s="38"/>
      <c r="AE1982" s="39" t="n">
        <v>45372.6666666667</v>
      </c>
      <c r="AF1982" s="40"/>
      <c r="AG1982" s="41"/>
      <c r="AH1982" s="32"/>
      <c r="AI1982" s="32"/>
      <c r="AL1982" s="32"/>
      <c r="AM1982" s="32"/>
      <c r="AN1982" s="32"/>
      <c r="AO1982" s="32"/>
      <c r="AP1982" s="32"/>
      <c r="AQ1982" s="32"/>
      <c r="AR1982" s="32"/>
      <c r="AS1982" s="32"/>
      <c r="AT1982" s="32"/>
      <c r="AU1982" s="32"/>
      <c r="XEY1982" s="27"/>
      <c r="XEZ1982" s="27"/>
      <c r="XFA1982" s="27"/>
      <c r="XFB1982" s="27"/>
      <c r="XFC1982" s="27"/>
      <c r="XFD1982" s="27"/>
    </row>
    <row r="1983" s="42" customFormat="true" ht="14.15" hidden="false" customHeight="true" outlineLevel="0" collapsed="false">
      <c r="A1983" s="28" t="s">
        <v>10771</v>
      </c>
      <c r="B1983" s="29" t="s">
        <v>503</v>
      </c>
      <c r="C1983" s="29" t="s">
        <v>10772</v>
      </c>
      <c r="D1983" s="30" t="s">
        <v>172</v>
      </c>
      <c r="E1983" s="31"/>
      <c r="F1983" s="32" t="n">
        <v>78</v>
      </c>
      <c r="G1983" s="31"/>
      <c r="H1983" s="31" t="n">
        <v>1</v>
      </c>
      <c r="I1983" s="31" t="s">
        <v>119</v>
      </c>
      <c r="J1983" s="29"/>
      <c r="K1983" s="29" t="s">
        <v>10773</v>
      </c>
      <c r="L1983" s="32" t="n">
        <v>1</v>
      </c>
      <c r="M1983" s="33" t="s">
        <v>481</v>
      </c>
      <c r="N1983" s="34" t="n">
        <v>75007</v>
      </c>
      <c r="O1983" s="35" t="s">
        <v>55</v>
      </c>
      <c r="P1983" s="36" t="s">
        <v>10774</v>
      </c>
      <c r="Q1983" s="36" t="n">
        <v>1</v>
      </c>
      <c r="R1983" s="32" t="n">
        <v>56</v>
      </c>
      <c r="S1983" s="32" t="n">
        <v>0</v>
      </c>
      <c r="T1983" s="43" t="s">
        <v>316</v>
      </c>
      <c r="U1983" s="32"/>
      <c r="V1983" s="37"/>
      <c r="W1983" s="32"/>
      <c r="X1983" s="34"/>
      <c r="Y1983" s="34"/>
      <c r="Z1983" s="32"/>
      <c r="AA1983" s="32" t="s">
        <v>10775</v>
      </c>
      <c r="AB1983" s="32"/>
      <c r="AC1983" s="38" t="str">
        <f aca="false">HYPERLINK("https://biocodex6--c.vf.force.com/0014L00000KFt0HQAT", "MOZZICONACCI ROBERT")</f>
        <v>MOZZICONACCI ROBERT</v>
      </c>
      <c r="AD1983" s="38"/>
      <c r="AE1983" s="39"/>
      <c r="AF1983" s="40"/>
      <c r="AG1983" s="41"/>
      <c r="AH1983" s="32"/>
      <c r="AI1983" s="32"/>
      <c r="AL1983" s="32"/>
      <c r="AM1983" s="32"/>
      <c r="AN1983" s="32"/>
      <c r="AO1983" s="32"/>
      <c r="AP1983" s="32"/>
      <c r="AQ1983" s="32"/>
      <c r="AR1983" s="32"/>
      <c r="AS1983" s="32"/>
      <c r="AT1983" s="32"/>
      <c r="AU1983" s="32"/>
      <c r="XEY1983" s="27"/>
      <c r="XEZ1983" s="27"/>
      <c r="XFA1983" s="27"/>
      <c r="XFB1983" s="27"/>
      <c r="XFC1983" s="27"/>
      <c r="XFD1983" s="27"/>
    </row>
    <row r="1984" s="42" customFormat="true" ht="14.15" hidden="false" customHeight="true" outlineLevel="0" collapsed="false">
      <c r="A1984" s="28" t="s">
        <v>10776</v>
      </c>
      <c r="B1984" s="29" t="s">
        <v>1736</v>
      </c>
      <c r="C1984" s="29" t="s">
        <v>10777</v>
      </c>
      <c r="D1984" s="30" t="s">
        <v>172</v>
      </c>
      <c r="E1984" s="31"/>
      <c r="F1984" s="32" t="n">
        <v>74</v>
      </c>
      <c r="G1984" s="31"/>
      <c r="H1984" s="31" t="n">
        <v>1</v>
      </c>
      <c r="I1984" s="31" t="s">
        <v>435</v>
      </c>
      <c r="J1984" s="29"/>
      <c r="K1984" s="29" t="s">
        <v>10409</v>
      </c>
      <c r="L1984" s="32" t="n">
        <v>74</v>
      </c>
      <c r="M1984" s="33" t="s">
        <v>2100</v>
      </c>
      <c r="N1984" s="34" t="n">
        <v>75016</v>
      </c>
      <c r="O1984" s="35" t="s">
        <v>55</v>
      </c>
      <c r="P1984" s="50" t="s">
        <v>10778</v>
      </c>
      <c r="Q1984" s="36" t="n">
        <v>2</v>
      </c>
      <c r="R1984" s="32" t="n">
        <v>56</v>
      </c>
      <c r="S1984" s="32" t="n">
        <v>0</v>
      </c>
      <c r="T1984" s="43" t="s">
        <v>1107</v>
      </c>
      <c r="U1984" s="32"/>
      <c r="V1984" s="37"/>
      <c r="W1984" s="32"/>
      <c r="X1984" s="34"/>
      <c r="Y1984" s="34"/>
      <c r="Z1984" s="32"/>
      <c r="AA1984" s="32" t="s">
        <v>10779</v>
      </c>
      <c r="AB1984" s="32"/>
      <c r="AC1984" s="38" t="str">
        <f aca="false">HYPERLINK("https://biocodex6--c.vf.force.com/0014L00000KFvIdQAL", "AUSTRUY JEAN PAUL")</f>
        <v>AUSTRUY JEAN PAUL</v>
      </c>
      <c r="AD1984" s="38"/>
      <c r="AE1984" s="39"/>
      <c r="AF1984" s="40"/>
      <c r="AG1984" s="41"/>
      <c r="AH1984" s="32"/>
      <c r="AI1984" s="32"/>
      <c r="AL1984" s="32"/>
      <c r="AM1984" s="32"/>
      <c r="AN1984" s="32"/>
      <c r="AO1984" s="32"/>
      <c r="AP1984" s="32"/>
      <c r="AQ1984" s="32"/>
      <c r="AR1984" s="32"/>
      <c r="AS1984" s="32"/>
      <c r="AT1984" s="32"/>
      <c r="AU1984" s="32"/>
      <c r="XEY1984" s="27"/>
      <c r="XEZ1984" s="27"/>
      <c r="XFA1984" s="27"/>
      <c r="XFB1984" s="27"/>
      <c r="XFC1984" s="27"/>
      <c r="XFD1984" s="27"/>
    </row>
    <row r="1985" s="42" customFormat="true" ht="14.15" hidden="false" customHeight="true" outlineLevel="0" collapsed="false">
      <c r="A1985" s="28" t="s">
        <v>10780</v>
      </c>
      <c r="B1985" s="29" t="s">
        <v>183</v>
      </c>
      <c r="C1985" s="29" t="s">
        <v>10781</v>
      </c>
      <c r="D1985" s="30" t="s">
        <v>172</v>
      </c>
      <c r="E1985" s="31"/>
      <c r="F1985" s="32" t="n">
        <v>59</v>
      </c>
      <c r="G1985" s="31"/>
      <c r="H1985" s="31" t="n">
        <v>1</v>
      </c>
      <c r="I1985" s="31" t="s">
        <v>197</v>
      </c>
      <c r="J1985" s="29"/>
      <c r="K1985" s="29" t="s">
        <v>1696</v>
      </c>
      <c r="L1985" s="32" t="n">
        <v>6</v>
      </c>
      <c r="M1985" s="33" t="s">
        <v>1697</v>
      </c>
      <c r="N1985" s="34" t="n">
        <v>75017</v>
      </c>
      <c r="O1985" s="35" t="s">
        <v>55</v>
      </c>
      <c r="P1985" s="36" t="s">
        <v>10782</v>
      </c>
      <c r="Q1985" s="36" t="n">
        <v>2</v>
      </c>
      <c r="R1985" s="32" t="n">
        <v>56</v>
      </c>
      <c r="S1985" s="32" t="n">
        <v>0</v>
      </c>
      <c r="T1985" s="43" t="s">
        <v>1107</v>
      </c>
      <c r="U1985" s="32"/>
      <c r="V1985" s="37"/>
      <c r="W1985" s="32"/>
      <c r="X1985" s="34"/>
      <c r="Y1985" s="34"/>
      <c r="Z1985" s="32"/>
      <c r="AA1985" s="32" t="s">
        <v>10783</v>
      </c>
      <c r="AB1985" s="32"/>
      <c r="AC1985" s="38" t="str">
        <f aca="false">HYPERLINK("https://biocodex6--c.vf.force.com/0014L00000KG6wRQAT", "ZACZYK CHRISTIAN")</f>
        <v>ZACZYK CHRISTIAN</v>
      </c>
      <c r="AD1985" s="38"/>
      <c r="AE1985" s="39"/>
      <c r="AF1985" s="40"/>
      <c r="AG1985" s="41"/>
      <c r="AH1985" s="32"/>
      <c r="AI1985" s="32"/>
      <c r="AL1985" s="32"/>
      <c r="AM1985" s="32"/>
      <c r="AN1985" s="32"/>
      <c r="AO1985" s="32"/>
      <c r="AP1985" s="32"/>
      <c r="AQ1985" s="32"/>
      <c r="AR1985" s="32"/>
      <c r="AS1985" s="32"/>
      <c r="AT1985" s="32"/>
      <c r="AU1985" s="32"/>
      <c r="XEY1985" s="27"/>
      <c r="XEZ1985" s="27"/>
      <c r="XFA1985" s="27"/>
      <c r="XFB1985" s="27"/>
      <c r="XFC1985" s="27"/>
      <c r="XFD1985" s="27"/>
    </row>
    <row r="1986" s="42" customFormat="true" ht="14.15" hidden="false" customHeight="true" outlineLevel="0" collapsed="false">
      <c r="A1986" s="28" t="s">
        <v>10784</v>
      </c>
      <c r="B1986" s="29" t="s">
        <v>1143</v>
      </c>
      <c r="C1986" s="29" t="s">
        <v>10785</v>
      </c>
      <c r="D1986" s="30" t="s">
        <v>172</v>
      </c>
      <c r="E1986" s="31"/>
      <c r="F1986" s="32" t="n">
        <v>66</v>
      </c>
      <c r="G1986" s="31"/>
      <c r="H1986" s="31" t="n">
        <v>1</v>
      </c>
      <c r="I1986" s="31" t="s">
        <v>197</v>
      </c>
      <c r="J1986" s="29"/>
      <c r="K1986" s="29" t="s">
        <v>10786</v>
      </c>
      <c r="L1986" s="32" t="n">
        <v>10</v>
      </c>
      <c r="M1986" s="33" t="s">
        <v>1505</v>
      </c>
      <c r="N1986" s="34" t="n">
        <v>75017</v>
      </c>
      <c r="O1986" s="35" t="s">
        <v>55</v>
      </c>
      <c r="P1986" s="36" t="s">
        <v>10787</v>
      </c>
      <c r="Q1986" s="36" t="n">
        <v>1</v>
      </c>
      <c r="R1986" s="32" t="n">
        <v>56</v>
      </c>
      <c r="S1986" s="32" t="n">
        <v>0</v>
      </c>
      <c r="T1986" s="43" t="s">
        <v>316</v>
      </c>
      <c r="U1986" s="32"/>
      <c r="V1986" s="37"/>
      <c r="W1986" s="32"/>
      <c r="X1986" s="34"/>
      <c r="Y1986" s="34"/>
      <c r="Z1986" s="32"/>
      <c r="AA1986" s="32" t="s">
        <v>10788</v>
      </c>
      <c r="AB1986" s="32"/>
      <c r="AC1986" s="38" t="str">
        <f aca="false">HYPERLINK("https://biocodex6--c.vf.force.com/0014L00000KG5TyQAL", "FREIHERR VON SECKENDORFF MARC")</f>
        <v>FREIHERR VON SECKENDORFF MARC</v>
      </c>
      <c r="AD1986" s="38"/>
      <c r="AE1986" s="39"/>
      <c r="AF1986" s="40"/>
      <c r="AG1986" s="41"/>
      <c r="AH1986" s="32"/>
      <c r="AI1986" s="32"/>
      <c r="AL1986" s="32"/>
      <c r="AM1986" s="32"/>
      <c r="AN1986" s="32"/>
      <c r="AO1986" s="32"/>
      <c r="AP1986" s="32"/>
      <c r="AQ1986" s="32"/>
      <c r="AR1986" s="32"/>
      <c r="AS1986" s="32"/>
      <c r="AT1986" s="32"/>
      <c r="AU1986" s="32"/>
      <c r="XEY1986" s="27"/>
      <c r="XEZ1986" s="27"/>
      <c r="XFA1986" s="27"/>
      <c r="XFB1986" s="27"/>
      <c r="XFC1986" s="27"/>
      <c r="XFD1986" s="27"/>
    </row>
    <row r="1987" s="42" customFormat="true" ht="14.15" hidden="false" customHeight="true" outlineLevel="0" collapsed="false">
      <c r="A1987" s="28" t="s">
        <v>10789</v>
      </c>
      <c r="B1987" s="29" t="s">
        <v>399</v>
      </c>
      <c r="C1987" s="29" t="s">
        <v>10790</v>
      </c>
      <c r="D1987" s="30" t="s">
        <v>172</v>
      </c>
      <c r="E1987" s="31"/>
      <c r="F1987" s="32" t="n">
        <v>66</v>
      </c>
      <c r="G1987" s="31"/>
      <c r="H1987" s="31" t="n">
        <v>1</v>
      </c>
      <c r="I1987" s="31" t="s">
        <v>197</v>
      </c>
      <c r="J1987" s="29"/>
      <c r="K1987" s="29" t="s">
        <v>10791</v>
      </c>
      <c r="L1987" s="32" t="n">
        <v>44</v>
      </c>
      <c r="M1987" s="33" t="s">
        <v>6840</v>
      </c>
      <c r="N1987" s="34" t="n">
        <v>75017</v>
      </c>
      <c r="O1987" s="35" t="s">
        <v>55</v>
      </c>
      <c r="P1987" s="36" t="s">
        <v>10792</v>
      </c>
      <c r="Q1987" s="36" t="n">
        <v>1</v>
      </c>
      <c r="R1987" s="32" t="n">
        <v>56</v>
      </c>
      <c r="S1987" s="32" t="n">
        <v>0</v>
      </c>
      <c r="T1987" s="43" t="s">
        <v>1107</v>
      </c>
      <c r="U1987" s="32"/>
      <c r="V1987" s="37"/>
      <c r="W1987" s="32"/>
      <c r="X1987" s="34"/>
      <c r="Y1987" s="34"/>
      <c r="Z1987" s="32"/>
      <c r="AA1987" s="32" t="s">
        <v>10793</v>
      </c>
      <c r="AB1987" s="32"/>
      <c r="AC1987" s="38" t="str">
        <f aca="false">HYPERLINK("https://biocodex6--c.vf.force.com/0014L00000KFV0cQAH", "BRUNSCHWIG OLIVIER")</f>
        <v>BRUNSCHWIG OLIVIER</v>
      </c>
      <c r="AD1987" s="38"/>
      <c r="AE1987" s="39"/>
      <c r="AF1987" s="40"/>
      <c r="AG1987" s="41"/>
      <c r="AH1987" s="32"/>
      <c r="AI1987" s="32"/>
      <c r="AL1987" s="32"/>
      <c r="AM1987" s="32"/>
      <c r="AN1987" s="32"/>
      <c r="AO1987" s="32"/>
      <c r="AP1987" s="32"/>
      <c r="AQ1987" s="32"/>
      <c r="AR1987" s="32"/>
      <c r="AS1987" s="32"/>
      <c r="AT1987" s="32"/>
      <c r="AU1987" s="32"/>
      <c r="XEY1987" s="27"/>
      <c r="XEZ1987" s="27"/>
      <c r="XFA1987" s="27"/>
      <c r="XFB1987" s="27"/>
      <c r="XFC1987" s="27"/>
      <c r="XFD1987" s="27"/>
    </row>
    <row r="1988" s="42" customFormat="true" ht="14.15" hidden="false" customHeight="true" outlineLevel="0" collapsed="false">
      <c r="A1988" s="28" t="s">
        <v>10794</v>
      </c>
      <c r="B1988" s="29" t="s">
        <v>3527</v>
      </c>
      <c r="C1988" s="29" t="s">
        <v>10795</v>
      </c>
      <c r="D1988" s="30" t="s">
        <v>172</v>
      </c>
      <c r="E1988" s="31"/>
      <c r="F1988" s="32" t="n">
        <v>91</v>
      </c>
      <c r="G1988" s="31"/>
      <c r="H1988" s="31" t="n">
        <v>1</v>
      </c>
      <c r="I1988" s="31" t="s">
        <v>572</v>
      </c>
      <c r="J1988" s="29"/>
      <c r="K1988" s="29" t="s">
        <v>10796</v>
      </c>
      <c r="L1988" s="32" t="n">
        <v>8</v>
      </c>
      <c r="M1988" s="33" t="s">
        <v>10797</v>
      </c>
      <c r="N1988" s="34" t="n">
        <v>75008</v>
      </c>
      <c r="O1988" s="35" t="s">
        <v>55</v>
      </c>
      <c r="P1988" s="36" t="s">
        <v>10798</v>
      </c>
      <c r="Q1988" s="36" t="n">
        <v>1</v>
      </c>
      <c r="R1988" s="32" t="n">
        <v>55</v>
      </c>
      <c r="S1988" s="32" t="n">
        <v>0</v>
      </c>
      <c r="T1988" s="43" t="s">
        <v>316</v>
      </c>
      <c r="U1988" s="32"/>
      <c r="V1988" s="37"/>
      <c r="W1988" s="32"/>
      <c r="X1988" s="34"/>
      <c r="Y1988" s="34"/>
      <c r="Z1988" s="32"/>
      <c r="AA1988" s="32" t="s">
        <v>10799</v>
      </c>
      <c r="AB1988" s="32"/>
      <c r="AC1988" s="38" t="str">
        <f aca="false">HYPERLINK("https://biocodex6--c.vf.force.com/0014L00000KFdseQAD", "FLORESCO JEAN")</f>
        <v>FLORESCO JEAN</v>
      </c>
      <c r="AD1988" s="38"/>
      <c r="AE1988" s="39"/>
      <c r="AF1988" s="40"/>
      <c r="AG1988" s="41"/>
      <c r="AH1988" s="32"/>
      <c r="AI1988" s="32"/>
      <c r="AL1988" s="32"/>
      <c r="AM1988" s="32"/>
      <c r="AN1988" s="32"/>
      <c r="AO1988" s="32"/>
      <c r="AP1988" s="32"/>
      <c r="AQ1988" s="32"/>
      <c r="AR1988" s="32"/>
      <c r="AS1988" s="32"/>
      <c r="AT1988" s="32"/>
      <c r="AU1988" s="32"/>
      <c r="XEY1988" s="27"/>
      <c r="XEZ1988" s="27"/>
      <c r="XFA1988" s="27"/>
      <c r="XFB1988" s="27"/>
      <c r="XFC1988" s="27"/>
      <c r="XFD1988" s="27"/>
    </row>
    <row r="1989" s="42" customFormat="true" ht="14.15" hidden="false" customHeight="true" outlineLevel="0" collapsed="false">
      <c r="A1989" s="28" t="s">
        <v>10800</v>
      </c>
      <c r="B1989" s="29" t="s">
        <v>3674</v>
      </c>
      <c r="C1989" s="29" t="s">
        <v>10801</v>
      </c>
      <c r="D1989" s="30" t="s">
        <v>172</v>
      </c>
      <c r="E1989" s="30" t="s">
        <v>1103</v>
      </c>
      <c r="F1989" s="32" t="n">
        <v>64</v>
      </c>
      <c r="G1989" s="31"/>
      <c r="H1989" s="31" t="n">
        <v>1</v>
      </c>
      <c r="I1989" s="31" t="s">
        <v>572</v>
      </c>
      <c r="J1989" s="29"/>
      <c r="K1989" s="29" t="s">
        <v>6119</v>
      </c>
      <c r="L1989" s="32" t="n">
        <v>31</v>
      </c>
      <c r="M1989" s="33" t="s">
        <v>3647</v>
      </c>
      <c r="N1989" s="34" t="n">
        <v>75008</v>
      </c>
      <c r="O1989" s="35" t="s">
        <v>55</v>
      </c>
      <c r="P1989" s="36" t="s">
        <v>10802</v>
      </c>
      <c r="Q1989" s="36" t="n">
        <v>3</v>
      </c>
      <c r="R1989" s="32" t="n">
        <v>55</v>
      </c>
      <c r="S1989" s="32" t="n">
        <v>0</v>
      </c>
      <c r="T1989" s="43" t="s">
        <v>316</v>
      </c>
      <c r="U1989" s="32"/>
      <c r="V1989" s="37"/>
      <c r="W1989" s="32"/>
      <c r="X1989" s="34"/>
      <c r="Y1989" s="34"/>
      <c r="Z1989" s="32"/>
      <c r="AA1989" s="32" t="s">
        <v>10803</v>
      </c>
      <c r="AB1989" s="32"/>
      <c r="AC1989" s="38" t="str">
        <f aca="false">HYPERLINK("https://biocodex6--c.vf.force.com/0014L00000KFikjQAD", "HERVIEU JEAN MICHEL")</f>
        <v>HERVIEU JEAN MICHEL</v>
      </c>
      <c r="AD1989" s="38"/>
      <c r="AE1989" s="39"/>
      <c r="AF1989" s="40"/>
      <c r="AG1989" s="41"/>
      <c r="AH1989" s="32"/>
      <c r="AI1989" s="32"/>
      <c r="AL1989" s="32"/>
      <c r="AM1989" s="32"/>
      <c r="AN1989" s="32"/>
      <c r="AO1989" s="32"/>
      <c r="AP1989" s="32"/>
      <c r="AQ1989" s="32"/>
      <c r="AR1989" s="32"/>
      <c r="AS1989" s="32"/>
      <c r="AT1989" s="32"/>
      <c r="AU1989" s="32"/>
      <c r="XEY1989" s="27"/>
      <c r="XEZ1989" s="27"/>
      <c r="XFA1989" s="27"/>
      <c r="XFB1989" s="27"/>
      <c r="XFC1989" s="27"/>
      <c r="XFD1989" s="27"/>
    </row>
    <row r="1990" s="42" customFormat="true" ht="14.15" hidden="false" customHeight="true" outlineLevel="0" collapsed="false">
      <c r="A1990" s="28" t="s">
        <v>10804</v>
      </c>
      <c r="B1990" s="29" t="s">
        <v>204</v>
      </c>
      <c r="C1990" s="29" t="s">
        <v>10805</v>
      </c>
      <c r="D1990" s="30" t="s">
        <v>172</v>
      </c>
      <c r="E1990" s="31"/>
      <c r="F1990" s="32" t="n">
        <v>67</v>
      </c>
      <c r="G1990" s="31"/>
      <c r="H1990" s="31" t="n">
        <v>1</v>
      </c>
      <c r="I1990" s="31" t="s">
        <v>119</v>
      </c>
      <c r="J1990" s="29"/>
      <c r="K1990" s="29" t="s">
        <v>10806</v>
      </c>
      <c r="L1990" s="32" t="n">
        <v>15</v>
      </c>
      <c r="M1990" s="33" t="s">
        <v>10807</v>
      </c>
      <c r="N1990" s="34" t="n">
        <v>75007</v>
      </c>
      <c r="O1990" s="35" t="s">
        <v>55</v>
      </c>
      <c r="P1990" s="36" t="s">
        <v>10808</v>
      </c>
      <c r="Q1990" s="36" t="n">
        <v>1</v>
      </c>
      <c r="R1990" s="32" t="n">
        <v>55</v>
      </c>
      <c r="S1990" s="32" t="n">
        <v>0</v>
      </c>
      <c r="T1990" s="43" t="s">
        <v>316</v>
      </c>
      <c r="U1990" s="32"/>
      <c r="V1990" s="37"/>
      <c r="W1990" s="32"/>
      <c r="X1990" s="34"/>
      <c r="Y1990" s="34"/>
      <c r="Z1990" s="32"/>
      <c r="AA1990" s="32" t="s">
        <v>10809</v>
      </c>
      <c r="AB1990" s="32"/>
      <c r="AC1990" s="38" t="str">
        <f aca="false">HYPERLINK("https://biocodex6--c.vf.force.com/0014L00000KG5U0QAL", "WEILL TAVITIAN NATHALIE")</f>
        <v>WEILL TAVITIAN NATHALIE</v>
      </c>
      <c r="AD1990" s="38"/>
      <c r="AE1990" s="39"/>
      <c r="AF1990" s="40"/>
      <c r="AG1990" s="41"/>
      <c r="AH1990" s="32"/>
      <c r="AI1990" s="32"/>
      <c r="AL1990" s="32"/>
      <c r="AM1990" s="32"/>
      <c r="AN1990" s="32"/>
      <c r="AO1990" s="32"/>
      <c r="AP1990" s="32"/>
      <c r="AQ1990" s="32"/>
      <c r="AR1990" s="32"/>
      <c r="AS1990" s="32"/>
      <c r="AT1990" s="32"/>
      <c r="AU1990" s="32"/>
      <c r="XEY1990" s="27"/>
      <c r="XEZ1990" s="27"/>
      <c r="XFA1990" s="27"/>
      <c r="XFB1990" s="27"/>
      <c r="XFC1990" s="27"/>
      <c r="XFD1990" s="27"/>
    </row>
    <row r="1991" s="42" customFormat="true" ht="14.15" hidden="false" customHeight="true" outlineLevel="0" collapsed="false">
      <c r="A1991" s="28" t="s">
        <v>10810</v>
      </c>
      <c r="B1991" s="29" t="s">
        <v>332</v>
      </c>
      <c r="C1991" s="29" t="s">
        <v>10811</v>
      </c>
      <c r="D1991" s="30" t="s">
        <v>172</v>
      </c>
      <c r="E1991" s="31"/>
      <c r="F1991" s="32" t="n">
        <v>65</v>
      </c>
      <c r="G1991" s="31"/>
      <c r="H1991" s="31" t="n">
        <v>1</v>
      </c>
      <c r="I1991" s="31" t="s">
        <v>119</v>
      </c>
      <c r="J1991" s="29"/>
      <c r="K1991" s="29" t="s">
        <v>10812</v>
      </c>
      <c r="L1991" s="32" t="n">
        <v>33</v>
      </c>
      <c r="M1991" s="33" t="s">
        <v>3458</v>
      </c>
      <c r="N1991" s="34" t="n">
        <v>75007</v>
      </c>
      <c r="O1991" s="35" t="s">
        <v>55</v>
      </c>
      <c r="P1991" s="36" t="s">
        <v>10813</v>
      </c>
      <c r="Q1991" s="36" t="n">
        <v>1</v>
      </c>
      <c r="R1991" s="32" t="n">
        <v>55</v>
      </c>
      <c r="S1991" s="32" t="n">
        <v>0</v>
      </c>
      <c r="T1991" s="43" t="s">
        <v>316</v>
      </c>
      <c r="U1991" s="32"/>
      <c r="V1991" s="37"/>
      <c r="W1991" s="32"/>
      <c r="X1991" s="34"/>
      <c r="Y1991" s="34"/>
      <c r="Z1991" s="32"/>
      <c r="AA1991" s="32" t="s">
        <v>10814</v>
      </c>
      <c r="AB1991" s="32"/>
      <c r="AC1991" s="38" t="str">
        <f aca="false">HYPERLINK("https://biocodex6--c.vf.force.com/0014L00000KFrdKQAT", "MEUT TERTO CATHERINE")</f>
        <v>MEUT TERTO CATHERINE</v>
      </c>
      <c r="AD1991" s="38"/>
      <c r="AE1991" s="39"/>
      <c r="AF1991" s="40"/>
      <c r="AG1991" s="41"/>
      <c r="AH1991" s="32"/>
      <c r="AI1991" s="32"/>
      <c r="AL1991" s="32"/>
      <c r="AM1991" s="32"/>
      <c r="AN1991" s="32"/>
      <c r="AO1991" s="32"/>
      <c r="AP1991" s="32"/>
      <c r="AQ1991" s="32"/>
      <c r="AR1991" s="32"/>
      <c r="AS1991" s="32"/>
      <c r="AT1991" s="32"/>
      <c r="AU1991" s="32"/>
      <c r="XEY1991" s="27"/>
      <c r="XEZ1991" s="27"/>
      <c r="XFA1991" s="27"/>
      <c r="XFB1991" s="27"/>
      <c r="XFC1991" s="27"/>
      <c r="XFD1991" s="27"/>
    </row>
    <row r="1992" s="42" customFormat="true" ht="14.15" hidden="false" customHeight="true" outlineLevel="0" collapsed="false">
      <c r="A1992" s="28" t="s">
        <v>10815</v>
      </c>
      <c r="B1992" s="29" t="s">
        <v>3524</v>
      </c>
      <c r="C1992" s="29" t="s">
        <v>10816</v>
      </c>
      <c r="D1992" s="30" t="s">
        <v>172</v>
      </c>
      <c r="E1992" s="30" t="s">
        <v>818</v>
      </c>
      <c r="F1992" s="32" t="n">
        <v>73</v>
      </c>
      <c r="G1992" s="31"/>
      <c r="H1992" s="31" t="n">
        <v>1</v>
      </c>
      <c r="I1992" s="31" t="s">
        <v>435</v>
      </c>
      <c r="J1992" s="29"/>
      <c r="K1992" s="29" t="s">
        <v>10817</v>
      </c>
      <c r="L1992" s="32" t="n">
        <v>12</v>
      </c>
      <c r="M1992" s="33" t="s">
        <v>4389</v>
      </c>
      <c r="N1992" s="34" t="n">
        <v>75016</v>
      </c>
      <c r="O1992" s="35" t="s">
        <v>55</v>
      </c>
      <c r="P1992" s="36" t="s">
        <v>10818</v>
      </c>
      <c r="Q1992" s="36" t="n">
        <v>1</v>
      </c>
      <c r="R1992" s="32" t="n">
        <v>55</v>
      </c>
      <c r="S1992" s="32" t="n">
        <v>0</v>
      </c>
      <c r="T1992" s="43" t="s">
        <v>1925</v>
      </c>
      <c r="U1992" s="32" t="n">
        <v>3</v>
      </c>
      <c r="V1992" s="37"/>
      <c r="W1992" s="32"/>
      <c r="X1992" s="34"/>
      <c r="Y1992" s="34"/>
      <c r="Z1992" s="32"/>
      <c r="AA1992" s="32" t="s">
        <v>10819</v>
      </c>
      <c r="AB1992" s="32"/>
      <c r="AC1992" s="38" t="str">
        <f aca="false">HYPERLINK("https://biocodex6--c.vf.force.com/0014L00000KFXDjQAP", "COLOMBANI JEAN NOEL")</f>
        <v>COLOMBANI JEAN NOEL</v>
      </c>
      <c r="AD1992" s="38"/>
      <c r="AE1992" s="39"/>
      <c r="AF1992" s="40"/>
      <c r="AG1992" s="41"/>
      <c r="AH1992" s="32"/>
      <c r="AI1992" s="32"/>
      <c r="AL1992" s="32"/>
      <c r="AM1992" s="32"/>
      <c r="AN1992" s="32"/>
      <c r="AO1992" s="32"/>
      <c r="AP1992" s="32"/>
      <c r="AQ1992" s="32"/>
      <c r="AR1992" s="32"/>
      <c r="AS1992" s="32"/>
      <c r="AT1992" s="32"/>
      <c r="AU1992" s="32"/>
      <c r="XEY1992" s="27"/>
      <c r="XEZ1992" s="27"/>
      <c r="XFA1992" s="27"/>
      <c r="XFB1992" s="27"/>
      <c r="XFC1992" s="27"/>
      <c r="XFD1992" s="27"/>
    </row>
    <row r="1993" s="42" customFormat="true" ht="14.15" hidden="false" customHeight="true" outlineLevel="0" collapsed="false">
      <c r="A1993" s="28" t="s">
        <v>242</v>
      </c>
      <c r="B1993" s="29" t="s">
        <v>690</v>
      </c>
      <c r="C1993" s="29" t="s">
        <v>10820</v>
      </c>
      <c r="D1993" s="30" t="s">
        <v>172</v>
      </c>
      <c r="E1993" s="30" t="s">
        <v>978</v>
      </c>
      <c r="F1993" s="32" t="n">
        <v>62</v>
      </c>
      <c r="G1993" s="31"/>
      <c r="H1993" s="31" t="n">
        <v>3</v>
      </c>
      <c r="I1993" s="31" t="s">
        <v>197</v>
      </c>
      <c r="J1993" s="29" t="s">
        <v>1915</v>
      </c>
      <c r="K1993" s="29" t="s">
        <v>1916</v>
      </c>
      <c r="L1993" s="32" t="n">
        <v>17</v>
      </c>
      <c r="M1993" s="33" t="s">
        <v>1917</v>
      </c>
      <c r="N1993" s="34" t="n">
        <v>75017</v>
      </c>
      <c r="O1993" s="35" t="s">
        <v>55</v>
      </c>
      <c r="P1993" s="36" t="s">
        <v>7525</v>
      </c>
      <c r="Q1993" s="36" t="n">
        <v>12</v>
      </c>
      <c r="R1993" s="32" t="n">
        <v>55</v>
      </c>
      <c r="S1993" s="32" t="n">
        <v>0</v>
      </c>
      <c r="T1993" s="43" t="s">
        <v>316</v>
      </c>
      <c r="U1993" s="32"/>
      <c r="V1993" s="37"/>
      <c r="W1993" s="32"/>
      <c r="X1993" s="34"/>
      <c r="Y1993" s="34"/>
      <c r="Z1993" s="32"/>
      <c r="AA1993" s="32" t="s">
        <v>10821</v>
      </c>
      <c r="AB1993" s="32"/>
      <c r="AC1993" s="38" t="str">
        <f aca="false">HYPERLINK("https://biocodex6--c.vf.force.com/0014L00000KFjwrQAD", "JEROME ERIC")</f>
        <v>JEROME ERIC</v>
      </c>
      <c r="AD1993" s="38"/>
      <c r="AE1993" s="39"/>
      <c r="AF1993" s="40"/>
      <c r="AG1993" s="41"/>
      <c r="AH1993" s="32"/>
      <c r="AI1993" s="32"/>
      <c r="AL1993" s="32"/>
      <c r="AM1993" s="32"/>
      <c r="AN1993" s="32"/>
      <c r="AO1993" s="32"/>
      <c r="AP1993" s="32"/>
      <c r="AQ1993" s="32"/>
      <c r="AR1993" s="32"/>
      <c r="AS1993" s="32"/>
      <c r="AT1993" s="32"/>
      <c r="AU1993" s="32"/>
      <c r="XEY1993" s="27"/>
      <c r="XEZ1993" s="27"/>
      <c r="XFA1993" s="27"/>
      <c r="XFB1993" s="27"/>
      <c r="XFC1993" s="27"/>
      <c r="XFD1993" s="27"/>
    </row>
    <row r="1994" s="42" customFormat="true" ht="14.15" hidden="false" customHeight="true" outlineLevel="0" collapsed="false">
      <c r="A1994" s="28" t="s">
        <v>10822</v>
      </c>
      <c r="B1994" s="29" t="s">
        <v>986</v>
      </c>
      <c r="C1994" s="29" t="s">
        <v>10823</v>
      </c>
      <c r="D1994" s="30" t="s">
        <v>172</v>
      </c>
      <c r="E1994" s="30" t="s">
        <v>818</v>
      </c>
      <c r="F1994" s="32" t="n">
        <v>74</v>
      </c>
      <c r="G1994" s="31"/>
      <c r="H1994" s="31" t="n">
        <v>1</v>
      </c>
      <c r="I1994" s="31" t="s">
        <v>197</v>
      </c>
      <c r="J1994" s="29"/>
      <c r="K1994" s="29" t="s">
        <v>9192</v>
      </c>
      <c r="L1994" s="32" t="n">
        <v>26</v>
      </c>
      <c r="M1994" s="33" t="s">
        <v>9193</v>
      </c>
      <c r="N1994" s="34" t="n">
        <v>75017</v>
      </c>
      <c r="O1994" s="35" t="s">
        <v>55</v>
      </c>
      <c r="P1994" s="36" t="s">
        <v>9194</v>
      </c>
      <c r="Q1994" s="36" t="n">
        <v>2</v>
      </c>
      <c r="R1994" s="32" t="n">
        <v>55</v>
      </c>
      <c r="S1994" s="32" t="n">
        <v>0</v>
      </c>
      <c r="T1994" s="43" t="s">
        <v>316</v>
      </c>
      <c r="U1994" s="32"/>
      <c r="V1994" s="37"/>
      <c r="W1994" s="32"/>
      <c r="X1994" s="34"/>
      <c r="Y1994" s="34"/>
      <c r="Z1994" s="32"/>
      <c r="AA1994" s="32" t="s">
        <v>10824</v>
      </c>
      <c r="AB1994" s="32"/>
      <c r="AC1994" s="38" t="str">
        <f aca="false">HYPERLINK("https://biocodex6--c.vf.force.com/0014L00000KFhGlQAL", "GRUPPER JEAN BERNARD")</f>
        <v>GRUPPER JEAN BERNARD</v>
      </c>
      <c r="AD1994" s="38"/>
      <c r="AE1994" s="39"/>
      <c r="AF1994" s="40"/>
      <c r="AG1994" s="41"/>
      <c r="AH1994" s="32"/>
      <c r="AI1994" s="32"/>
      <c r="AL1994" s="32"/>
      <c r="AM1994" s="32"/>
      <c r="AN1994" s="32"/>
      <c r="AO1994" s="32"/>
      <c r="AP1994" s="32"/>
      <c r="AQ1994" s="32"/>
      <c r="AR1994" s="32"/>
      <c r="AS1994" s="32"/>
      <c r="AT1994" s="32"/>
      <c r="AU1994" s="32"/>
      <c r="XEY1994" s="27"/>
      <c r="XEZ1994" s="27"/>
      <c r="XFA1994" s="27"/>
      <c r="XFB1994" s="27"/>
      <c r="XFC1994" s="27"/>
      <c r="XFD1994" s="27"/>
    </row>
    <row r="1995" s="42" customFormat="true" ht="14.15" hidden="false" customHeight="true" outlineLevel="0" collapsed="false">
      <c r="A1995" s="28" t="s">
        <v>10825</v>
      </c>
      <c r="B1995" s="29" t="s">
        <v>690</v>
      </c>
      <c r="C1995" s="29" t="s">
        <v>10826</v>
      </c>
      <c r="D1995" s="30" t="s">
        <v>172</v>
      </c>
      <c r="E1995" s="31"/>
      <c r="F1995" s="32" t="n">
        <v>61</v>
      </c>
      <c r="G1995" s="31"/>
      <c r="H1995" s="31" t="n">
        <v>1</v>
      </c>
      <c r="I1995" s="31" t="s">
        <v>572</v>
      </c>
      <c r="J1995" s="29"/>
      <c r="K1995" s="29" t="s">
        <v>10827</v>
      </c>
      <c r="L1995" s="32" t="n">
        <v>13</v>
      </c>
      <c r="M1995" s="33" t="s">
        <v>5340</v>
      </c>
      <c r="N1995" s="34" t="n">
        <v>75008</v>
      </c>
      <c r="O1995" s="35" t="s">
        <v>55</v>
      </c>
      <c r="P1995" s="36"/>
      <c r="Q1995" s="36" t="n">
        <v>2</v>
      </c>
      <c r="R1995" s="32" t="n">
        <v>54</v>
      </c>
      <c r="S1995" s="32" t="n">
        <v>0</v>
      </c>
      <c r="T1995" s="43" t="s">
        <v>316</v>
      </c>
      <c r="U1995" s="32"/>
      <c r="V1995" s="37"/>
      <c r="W1995" s="32"/>
      <c r="X1995" s="34"/>
      <c r="Y1995" s="34"/>
      <c r="Z1995" s="32"/>
      <c r="AA1995" s="32" t="s">
        <v>10828</v>
      </c>
      <c r="AB1995" s="32"/>
      <c r="AC1995" s="38" t="str">
        <f aca="false">HYPERLINK("https://biocodex6--c.vf.force.com/0014L00000KG595QAD", "VEGH ERIC")</f>
        <v>VEGH ERIC</v>
      </c>
      <c r="AD1995" s="38"/>
      <c r="AE1995" s="39"/>
      <c r="AF1995" s="40"/>
      <c r="AG1995" s="41"/>
      <c r="AH1995" s="32"/>
      <c r="AI1995" s="32"/>
      <c r="AL1995" s="32"/>
      <c r="AM1995" s="32"/>
      <c r="AN1995" s="32"/>
      <c r="AO1995" s="32"/>
      <c r="AP1995" s="32"/>
      <c r="AQ1995" s="32"/>
      <c r="AR1995" s="32"/>
      <c r="AS1995" s="32"/>
      <c r="AT1995" s="32"/>
      <c r="AU1995" s="32"/>
      <c r="XEY1995" s="27"/>
      <c r="XEZ1995" s="27"/>
      <c r="XFA1995" s="27"/>
      <c r="XFB1995" s="27"/>
      <c r="XFC1995" s="27"/>
      <c r="XFD1995" s="27"/>
    </row>
    <row r="1996" s="42" customFormat="true" ht="14.15" hidden="false" customHeight="true" outlineLevel="0" collapsed="false">
      <c r="A1996" s="28" t="s">
        <v>10829</v>
      </c>
      <c r="B1996" s="29" t="s">
        <v>593</v>
      </c>
      <c r="C1996" s="29" t="s">
        <v>10830</v>
      </c>
      <c r="D1996" s="30" t="s">
        <v>172</v>
      </c>
      <c r="E1996" s="31"/>
      <c r="F1996" s="32" t="n">
        <v>80</v>
      </c>
      <c r="G1996" s="31"/>
      <c r="H1996" s="31" t="n">
        <v>1</v>
      </c>
      <c r="I1996" s="31" t="s">
        <v>62</v>
      </c>
      <c r="J1996" s="29"/>
      <c r="K1996" s="29" t="s">
        <v>10831</v>
      </c>
      <c r="L1996" s="32" t="n">
        <v>146</v>
      </c>
      <c r="M1996" s="33" t="s">
        <v>4230</v>
      </c>
      <c r="N1996" s="34" t="n">
        <v>75017</v>
      </c>
      <c r="O1996" s="35" t="s">
        <v>55</v>
      </c>
      <c r="P1996" s="36" t="s">
        <v>10832</v>
      </c>
      <c r="Q1996" s="36" t="n">
        <v>1</v>
      </c>
      <c r="R1996" s="32" t="n">
        <v>54</v>
      </c>
      <c r="S1996" s="32" t="n">
        <v>0</v>
      </c>
      <c r="T1996" s="43" t="s">
        <v>316</v>
      </c>
      <c r="U1996" s="32"/>
      <c r="V1996" s="37"/>
      <c r="W1996" s="32"/>
      <c r="X1996" s="34"/>
      <c r="Y1996" s="34"/>
      <c r="Z1996" s="32"/>
      <c r="AA1996" s="32" t="s">
        <v>10833</v>
      </c>
      <c r="AB1996" s="32"/>
      <c r="AC1996" s="38" t="str">
        <f aca="false">HYPERLINK("https://biocodex6--c.vf.force.com/0014L00000KFiEGQA1", "HARLE ANTOINE")</f>
        <v>HARLE ANTOINE</v>
      </c>
      <c r="AD1996" s="38"/>
      <c r="AE1996" s="39"/>
      <c r="AF1996" s="40"/>
      <c r="AG1996" s="41"/>
      <c r="AH1996" s="32"/>
      <c r="AI1996" s="32"/>
      <c r="AL1996" s="32"/>
      <c r="AM1996" s="32"/>
      <c r="AN1996" s="32"/>
      <c r="AO1996" s="32"/>
      <c r="AP1996" s="32"/>
      <c r="AQ1996" s="32"/>
      <c r="AR1996" s="32"/>
      <c r="AS1996" s="32"/>
      <c r="AT1996" s="32"/>
      <c r="AU1996" s="32"/>
      <c r="XEY1996" s="27"/>
      <c r="XEZ1996" s="27"/>
      <c r="XFA1996" s="27"/>
      <c r="XFB1996" s="27"/>
      <c r="XFC1996" s="27"/>
      <c r="XFD1996" s="27"/>
    </row>
    <row r="1997" s="42" customFormat="true" ht="14.15" hidden="false" customHeight="true" outlineLevel="0" collapsed="false">
      <c r="A1997" s="28" t="s">
        <v>10834</v>
      </c>
      <c r="B1997" s="29" t="s">
        <v>5157</v>
      </c>
      <c r="C1997" s="29" t="s">
        <v>10835</v>
      </c>
      <c r="D1997" s="30" t="s">
        <v>172</v>
      </c>
      <c r="E1997" s="30" t="s">
        <v>113</v>
      </c>
      <c r="F1997" s="32" t="n">
        <v>74</v>
      </c>
      <c r="G1997" s="31"/>
      <c r="H1997" s="31" t="n">
        <v>1</v>
      </c>
      <c r="I1997" s="31" t="s">
        <v>197</v>
      </c>
      <c r="J1997" s="29"/>
      <c r="K1997" s="29" t="s">
        <v>10836</v>
      </c>
      <c r="L1997" s="32" t="n">
        <v>27</v>
      </c>
      <c r="M1997" s="33" t="s">
        <v>2563</v>
      </c>
      <c r="N1997" s="34" t="n">
        <v>75017</v>
      </c>
      <c r="O1997" s="35" t="s">
        <v>55</v>
      </c>
      <c r="P1997" s="36" t="s">
        <v>10837</v>
      </c>
      <c r="Q1997" s="36" t="n">
        <v>1</v>
      </c>
      <c r="R1997" s="32" t="n">
        <v>54</v>
      </c>
      <c r="S1997" s="32" t="n">
        <v>0</v>
      </c>
      <c r="T1997" s="43" t="s">
        <v>316</v>
      </c>
      <c r="U1997" s="32"/>
      <c r="V1997" s="37"/>
      <c r="W1997" s="32"/>
      <c r="X1997" s="34"/>
      <c r="Y1997" s="34"/>
      <c r="Z1997" s="32"/>
      <c r="AA1997" s="32" t="s">
        <v>10838</v>
      </c>
      <c r="AB1997" s="32"/>
      <c r="AC1997" s="38" t="str">
        <f aca="false">HYPERLINK("https://biocodex6--c.vf.force.com/0014L00000KFYKKQA5", "D ASSIGNIES HUBERT")</f>
        <v>D ASSIGNIES HUBERT</v>
      </c>
      <c r="AD1997" s="38"/>
      <c r="AE1997" s="39"/>
      <c r="AF1997" s="40"/>
      <c r="AG1997" s="41"/>
      <c r="AH1997" s="32"/>
      <c r="AI1997" s="32"/>
      <c r="AL1997" s="32"/>
      <c r="AM1997" s="32"/>
      <c r="AN1997" s="32"/>
      <c r="AO1997" s="32"/>
      <c r="AP1997" s="32"/>
      <c r="AQ1997" s="32"/>
      <c r="AR1997" s="32"/>
      <c r="AS1997" s="32"/>
      <c r="AT1997" s="32"/>
      <c r="AU1997" s="32"/>
      <c r="XEY1997" s="27"/>
      <c r="XEZ1997" s="27"/>
      <c r="XFA1997" s="27"/>
      <c r="XFB1997" s="27"/>
      <c r="XFC1997" s="27"/>
      <c r="XFD1997" s="27"/>
    </row>
    <row r="1998" s="42" customFormat="true" ht="14.15" hidden="false" customHeight="true" outlineLevel="0" collapsed="false">
      <c r="A1998" s="28" t="s">
        <v>10839</v>
      </c>
      <c r="B1998" s="29" t="s">
        <v>353</v>
      </c>
      <c r="C1998" s="29" t="s">
        <v>10840</v>
      </c>
      <c r="D1998" s="30" t="s">
        <v>172</v>
      </c>
      <c r="E1998" s="31"/>
      <c r="F1998" s="32" t="n">
        <v>75</v>
      </c>
      <c r="G1998" s="31"/>
      <c r="H1998" s="31" t="n">
        <v>1</v>
      </c>
      <c r="I1998" s="31" t="s">
        <v>51</v>
      </c>
      <c r="J1998" s="29"/>
      <c r="K1998" s="29" t="s">
        <v>10841</v>
      </c>
      <c r="L1998" s="32" t="n">
        <v>59</v>
      </c>
      <c r="M1998" s="33" t="s">
        <v>5717</v>
      </c>
      <c r="N1998" s="34" t="n">
        <v>75015</v>
      </c>
      <c r="O1998" s="35" t="s">
        <v>55</v>
      </c>
      <c r="P1998" s="36" t="s">
        <v>10842</v>
      </c>
      <c r="Q1998" s="36" t="n">
        <v>1</v>
      </c>
      <c r="R1998" s="32" t="n">
        <v>53</v>
      </c>
      <c r="S1998" s="32" t="n">
        <v>0</v>
      </c>
      <c r="T1998" s="43" t="s">
        <v>316</v>
      </c>
      <c r="U1998" s="32"/>
      <c r="V1998" s="37"/>
      <c r="W1998" s="32"/>
      <c r="X1998" s="34"/>
      <c r="Y1998" s="34"/>
      <c r="Z1998" s="32"/>
      <c r="AA1998" s="32" t="s">
        <v>10843</v>
      </c>
      <c r="AB1998" s="32"/>
      <c r="AC1998" s="38" t="str">
        <f aca="false">HYPERLINK("https://biocodex6--c.vf.force.com/0014L00000KFSfnQAH", "BELIER ALAIN")</f>
        <v>BELIER ALAIN</v>
      </c>
      <c r="AD1998" s="38"/>
      <c r="AE1998" s="39"/>
      <c r="AF1998" s="40"/>
      <c r="AG1998" s="41"/>
      <c r="AH1998" s="32"/>
      <c r="AI1998" s="32"/>
      <c r="AL1998" s="32"/>
      <c r="AM1998" s="32"/>
      <c r="AN1998" s="32"/>
      <c r="AO1998" s="32"/>
      <c r="AP1998" s="32"/>
      <c r="AQ1998" s="32"/>
      <c r="AR1998" s="32"/>
      <c r="AS1998" s="32"/>
      <c r="AT1998" s="32"/>
      <c r="AU1998" s="32"/>
      <c r="XEY1998" s="27"/>
      <c r="XEZ1998" s="27"/>
      <c r="XFA1998" s="27"/>
      <c r="XFB1998" s="27"/>
      <c r="XFC1998" s="27"/>
      <c r="XFD1998" s="27"/>
    </row>
    <row r="1999" s="42" customFormat="true" ht="14.15" hidden="false" customHeight="true" outlineLevel="0" collapsed="false">
      <c r="A1999" s="28" t="s">
        <v>10844</v>
      </c>
      <c r="B1999" s="29" t="s">
        <v>4227</v>
      </c>
      <c r="C1999" s="29" t="s">
        <v>10845</v>
      </c>
      <c r="D1999" s="30" t="s">
        <v>172</v>
      </c>
      <c r="E1999" s="31"/>
      <c r="F1999" s="32" t="n">
        <v>45</v>
      </c>
      <c r="G1999" s="31"/>
      <c r="H1999" s="31" t="n">
        <v>1</v>
      </c>
      <c r="I1999" s="31" t="s">
        <v>233</v>
      </c>
      <c r="J1999" s="29"/>
      <c r="K1999" s="29" t="s">
        <v>10846</v>
      </c>
      <c r="L1999" s="32" t="n">
        <v>149</v>
      </c>
      <c r="M1999" s="33" t="s">
        <v>588</v>
      </c>
      <c r="N1999" s="34" t="n">
        <v>75015</v>
      </c>
      <c r="O1999" s="35" t="s">
        <v>55</v>
      </c>
      <c r="P1999" s="36" t="s">
        <v>10847</v>
      </c>
      <c r="Q1999" s="36" t="n">
        <v>1</v>
      </c>
      <c r="R1999" s="32" t="n">
        <v>53</v>
      </c>
      <c r="S1999" s="32" t="n">
        <v>0</v>
      </c>
      <c r="T1999" s="43" t="s">
        <v>3663</v>
      </c>
      <c r="U1999" s="32"/>
      <c r="V1999" s="37"/>
      <c r="W1999" s="32"/>
      <c r="X1999" s="34"/>
      <c r="Y1999" s="34"/>
      <c r="Z1999" s="32"/>
      <c r="AA1999" s="32" t="s">
        <v>10848</v>
      </c>
      <c r="AB1999" s="32"/>
      <c r="AC1999" s="38" t="str">
        <f aca="false">HYPERLINK("https://biocodex6--c.vf.force.com/0014L00000KFs8FQAT", "MIGNON JEAN BAPTISTE")</f>
        <v>MIGNON JEAN BAPTISTE</v>
      </c>
      <c r="AD1999" s="38"/>
      <c r="AE1999" s="39"/>
      <c r="AF1999" s="40"/>
      <c r="AG1999" s="41"/>
      <c r="AH1999" s="32"/>
      <c r="AI1999" s="32"/>
      <c r="AL1999" s="32"/>
      <c r="AM1999" s="32"/>
      <c r="AN1999" s="32"/>
      <c r="AO1999" s="32"/>
      <c r="AP1999" s="32"/>
      <c r="AQ1999" s="32"/>
      <c r="AR1999" s="32"/>
      <c r="AS1999" s="32"/>
      <c r="AT1999" s="32"/>
      <c r="AU1999" s="32"/>
      <c r="XEY1999" s="27"/>
      <c r="XEZ1999" s="27"/>
      <c r="XFA1999" s="27"/>
      <c r="XFB1999" s="27"/>
      <c r="XFC1999" s="27"/>
      <c r="XFD1999" s="27"/>
    </row>
    <row r="2000" s="42" customFormat="true" ht="14.15" hidden="false" customHeight="true" outlineLevel="0" collapsed="false">
      <c r="A2000" s="28" t="s">
        <v>10849</v>
      </c>
      <c r="B2000" s="29" t="s">
        <v>204</v>
      </c>
      <c r="C2000" s="29" t="s">
        <v>10850</v>
      </c>
      <c r="D2000" s="30" t="s">
        <v>172</v>
      </c>
      <c r="E2000" s="31"/>
      <c r="F2000" s="32" t="n">
        <v>55</v>
      </c>
      <c r="G2000" s="31"/>
      <c r="H2000" s="31" t="n">
        <v>1</v>
      </c>
      <c r="I2000" s="31" t="s">
        <v>77</v>
      </c>
      <c r="J2000" s="29"/>
      <c r="K2000" s="29" t="s">
        <v>10851</v>
      </c>
      <c r="L2000" s="32" t="n">
        <v>6</v>
      </c>
      <c r="M2000" s="33" t="s">
        <v>10852</v>
      </c>
      <c r="N2000" s="34" t="n">
        <v>92200</v>
      </c>
      <c r="O2000" s="35" t="s">
        <v>81</v>
      </c>
      <c r="P2000" s="36" t="s">
        <v>10853</v>
      </c>
      <c r="Q2000" s="36" t="n">
        <v>1</v>
      </c>
      <c r="R2000" s="32" t="n">
        <v>53</v>
      </c>
      <c r="S2000" s="32" t="n">
        <v>0</v>
      </c>
      <c r="T2000" s="43" t="s">
        <v>316</v>
      </c>
      <c r="U2000" s="32"/>
      <c r="V2000" s="37"/>
      <c r="W2000" s="32"/>
      <c r="X2000" s="34"/>
      <c r="Y2000" s="34"/>
      <c r="Z2000" s="32"/>
      <c r="AA2000" s="32" t="s">
        <v>10854</v>
      </c>
      <c r="AB2000" s="32"/>
      <c r="AC2000" s="38" t="str">
        <f aca="false">HYPERLINK("https://biocodex6--c.vf.force.com/0014L00000KFiobQAD", "QUARTON MICHAUD NATHALIE")</f>
        <v>QUARTON MICHAUD NATHALIE</v>
      </c>
      <c r="AD2000" s="38"/>
      <c r="AE2000" s="39"/>
      <c r="AF2000" s="40"/>
      <c r="AG2000" s="41"/>
      <c r="AH2000" s="32"/>
      <c r="AI2000" s="32"/>
      <c r="AL2000" s="32"/>
      <c r="AM2000" s="32"/>
      <c r="AN2000" s="32"/>
      <c r="AO2000" s="32"/>
      <c r="AP2000" s="32"/>
      <c r="AQ2000" s="32"/>
      <c r="AR2000" s="32"/>
      <c r="AS2000" s="32"/>
      <c r="AT2000" s="32"/>
      <c r="AU2000" s="32"/>
      <c r="XEY2000" s="27"/>
      <c r="XEZ2000" s="27"/>
      <c r="XFA2000" s="27"/>
      <c r="XFB2000" s="27"/>
      <c r="XFC2000" s="27"/>
      <c r="XFD2000" s="27"/>
    </row>
    <row r="2001" s="42" customFormat="true" ht="14.15" hidden="false" customHeight="true" outlineLevel="0" collapsed="false">
      <c r="A2001" s="28" t="s">
        <v>10855</v>
      </c>
      <c r="B2001" s="29" t="s">
        <v>10856</v>
      </c>
      <c r="C2001" s="29" t="s">
        <v>10857</v>
      </c>
      <c r="D2001" s="30" t="s">
        <v>172</v>
      </c>
      <c r="E2001" s="31"/>
      <c r="F2001" s="32" t="n">
        <v>89</v>
      </c>
      <c r="G2001" s="31" t="s">
        <v>345</v>
      </c>
      <c r="H2001" s="31" t="n">
        <v>1</v>
      </c>
      <c r="I2001" s="31" t="s">
        <v>387</v>
      </c>
      <c r="J2001" s="29"/>
      <c r="K2001" s="29" t="s">
        <v>10858</v>
      </c>
      <c r="L2001" s="32" t="n">
        <v>44</v>
      </c>
      <c r="M2001" s="33" t="s">
        <v>878</v>
      </c>
      <c r="N2001" s="34" t="n">
        <v>75016</v>
      </c>
      <c r="O2001" s="35" t="s">
        <v>55</v>
      </c>
      <c r="P2001" s="36" t="s">
        <v>10859</v>
      </c>
      <c r="Q2001" s="36" t="n">
        <v>1</v>
      </c>
      <c r="R2001" s="32" t="n">
        <v>52</v>
      </c>
      <c r="S2001" s="32" t="n">
        <v>0</v>
      </c>
      <c r="T2001" s="43" t="s">
        <v>316</v>
      </c>
      <c r="U2001" s="32"/>
      <c r="V2001" s="37"/>
      <c r="W2001" s="32"/>
      <c r="X2001" s="34"/>
      <c r="Y2001" s="34"/>
      <c r="Z2001" s="32"/>
      <c r="AA2001" s="32" t="s">
        <v>10860</v>
      </c>
      <c r="AB2001" s="32" t="s">
        <v>10861</v>
      </c>
      <c r="AC2001" s="38" t="str">
        <f aca="false">HYPERLINK("https://biocodex6--c.vf.force.com/0014L00000KFtIpQAL", "NASIO JUAN DAVID")</f>
        <v>NASIO JUAN DAVID</v>
      </c>
      <c r="AD2001" s="38" t="str">
        <f aca="false">HYPERLINK("https://annuairesante.ameli.fr/professionnels-de-sante/recherche/fiche-detaillee-B7c1kTc4ODW6.html", "NASIO JUAN DAVID")</f>
        <v>NASIO JUAN DAVID</v>
      </c>
      <c r="AE2001" s="39"/>
      <c r="AF2001" s="40"/>
      <c r="AG2001" s="41"/>
      <c r="AH2001" s="32"/>
      <c r="AI2001" s="32"/>
      <c r="AL2001" s="32"/>
      <c r="AM2001" s="32"/>
      <c r="AN2001" s="32"/>
      <c r="AO2001" s="32"/>
      <c r="AP2001" s="32"/>
      <c r="AQ2001" s="32"/>
      <c r="AR2001" s="32"/>
      <c r="AS2001" s="32"/>
      <c r="AT2001" s="32"/>
      <c r="AU2001" s="32"/>
      <c r="XEY2001" s="27"/>
      <c r="XEZ2001" s="27"/>
      <c r="XFA2001" s="27"/>
      <c r="XFB2001" s="27"/>
      <c r="XFC2001" s="27"/>
      <c r="XFD2001" s="27"/>
    </row>
    <row r="2002" s="42" customFormat="true" ht="14.15" hidden="false" customHeight="true" outlineLevel="0" collapsed="false">
      <c r="A2002" s="28" t="s">
        <v>10862</v>
      </c>
      <c r="B2002" s="29" t="s">
        <v>353</v>
      </c>
      <c r="C2002" s="29" t="s">
        <v>10863</v>
      </c>
      <c r="D2002" s="30" t="s">
        <v>172</v>
      </c>
      <c r="E2002" s="31"/>
      <c r="F2002" s="32" t="n">
        <v>67</v>
      </c>
      <c r="G2002" s="31"/>
      <c r="H2002" s="31" t="n">
        <v>1</v>
      </c>
      <c r="I2002" s="31" t="s">
        <v>387</v>
      </c>
      <c r="J2002" s="29"/>
      <c r="K2002" s="29" t="s">
        <v>10864</v>
      </c>
      <c r="L2002" s="32" t="n">
        <v>15</v>
      </c>
      <c r="M2002" s="33" t="s">
        <v>10865</v>
      </c>
      <c r="N2002" s="34" t="n">
        <v>75016</v>
      </c>
      <c r="O2002" s="35" t="s">
        <v>55</v>
      </c>
      <c r="P2002" s="36" t="s">
        <v>10866</v>
      </c>
      <c r="Q2002" s="36" t="n">
        <v>1</v>
      </c>
      <c r="R2002" s="32" t="n">
        <v>52</v>
      </c>
      <c r="S2002" s="32" t="n">
        <v>0</v>
      </c>
      <c r="T2002" s="43" t="s">
        <v>316</v>
      </c>
      <c r="U2002" s="32"/>
      <c r="V2002" s="37"/>
      <c r="W2002" s="32"/>
      <c r="X2002" s="34"/>
      <c r="Y2002" s="34"/>
      <c r="Z2002" s="32"/>
      <c r="AA2002" s="32" t="s">
        <v>10867</v>
      </c>
      <c r="AB2002" s="32"/>
      <c r="AC2002" s="38" t="str">
        <f aca="false">HYPERLINK("https://biocodex6--c.vf.force.com/0014L00000KFTjvQAH", "BOCHET ALAIN")</f>
        <v>BOCHET ALAIN</v>
      </c>
      <c r="AD2002" s="38"/>
      <c r="AE2002" s="39"/>
      <c r="AF2002" s="40"/>
      <c r="AG2002" s="41"/>
      <c r="AH2002" s="32"/>
      <c r="AI2002" s="32"/>
      <c r="AL2002" s="32"/>
      <c r="AM2002" s="32"/>
      <c r="AN2002" s="32"/>
      <c r="AO2002" s="32"/>
      <c r="AP2002" s="32"/>
      <c r="AQ2002" s="32"/>
      <c r="AR2002" s="32"/>
      <c r="AS2002" s="32"/>
      <c r="AT2002" s="32"/>
      <c r="AU2002" s="32"/>
      <c r="XEY2002" s="27"/>
      <c r="XEZ2002" s="27"/>
      <c r="XFA2002" s="27"/>
      <c r="XFB2002" s="27"/>
      <c r="XFC2002" s="27"/>
      <c r="XFD2002" s="27"/>
    </row>
    <row r="2003" s="42" customFormat="true" ht="14.15" hidden="false" customHeight="true" outlineLevel="0" collapsed="false">
      <c r="A2003" s="28" t="s">
        <v>10868</v>
      </c>
      <c r="B2003" s="29" t="s">
        <v>1218</v>
      </c>
      <c r="C2003" s="29" t="s">
        <v>10869</v>
      </c>
      <c r="D2003" s="30" t="s">
        <v>172</v>
      </c>
      <c r="E2003" s="30" t="s">
        <v>818</v>
      </c>
      <c r="F2003" s="32" t="n">
        <v>85</v>
      </c>
      <c r="G2003" s="31"/>
      <c r="H2003" s="31" t="n">
        <v>1</v>
      </c>
      <c r="I2003" s="31" t="s">
        <v>387</v>
      </c>
      <c r="J2003" s="29"/>
      <c r="K2003" s="29" t="s">
        <v>10870</v>
      </c>
      <c r="L2003" s="32" t="n">
        <v>16</v>
      </c>
      <c r="M2003" s="33" t="s">
        <v>10871</v>
      </c>
      <c r="N2003" s="34" t="n">
        <v>75016</v>
      </c>
      <c r="O2003" s="35" t="s">
        <v>55</v>
      </c>
      <c r="P2003" s="36"/>
      <c r="Q2003" s="36" t="n">
        <v>1</v>
      </c>
      <c r="R2003" s="32" t="n">
        <v>52</v>
      </c>
      <c r="S2003" s="32" t="n">
        <v>0</v>
      </c>
      <c r="T2003" s="43" t="s">
        <v>316</v>
      </c>
      <c r="U2003" s="32"/>
      <c r="V2003" s="37"/>
      <c r="W2003" s="32"/>
      <c r="X2003" s="34"/>
      <c r="Y2003" s="34"/>
      <c r="Z2003" s="32"/>
      <c r="AA2003" s="32" t="s">
        <v>10872</v>
      </c>
      <c r="AB2003" s="32"/>
      <c r="AC2003" s="38" t="str">
        <f aca="false">HYPERLINK("https://biocodex6--c.vf.force.com/0014L00000KFuDZQA1", "ORSEL CLAUDE")</f>
        <v>ORSEL CLAUDE</v>
      </c>
      <c r="AD2003" s="38"/>
      <c r="AE2003" s="39"/>
      <c r="AF2003" s="40"/>
      <c r="AG2003" s="41"/>
      <c r="AH2003" s="32"/>
      <c r="AI2003" s="32"/>
      <c r="AL2003" s="32"/>
      <c r="AM2003" s="32"/>
      <c r="AN2003" s="32"/>
      <c r="AO2003" s="32"/>
      <c r="AP2003" s="32"/>
      <c r="AQ2003" s="32"/>
      <c r="AR2003" s="32"/>
      <c r="AS2003" s="32"/>
      <c r="AT2003" s="32"/>
      <c r="AU2003" s="32"/>
      <c r="XEY2003" s="27"/>
      <c r="XEZ2003" s="27"/>
      <c r="XFA2003" s="27"/>
      <c r="XFB2003" s="27"/>
      <c r="XFC2003" s="27"/>
      <c r="XFD2003" s="27"/>
    </row>
    <row r="2004" s="42" customFormat="true" ht="14.15" hidden="false" customHeight="true" outlineLevel="0" collapsed="false">
      <c r="A2004" s="28" t="s">
        <v>10873</v>
      </c>
      <c r="B2004" s="29" t="s">
        <v>353</v>
      </c>
      <c r="C2004" s="29" t="s">
        <v>10874</v>
      </c>
      <c r="D2004" s="30" t="s">
        <v>172</v>
      </c>
      <c r="E2004" s="30" t="s">
        <v>818</v>
      </c>
      <c r="F2004" s="32" t="n">
        <v>74</v>
      </c>
      <c r="G2004" s="31"/>
      <c r="H2004" s="31" t="n">
        <v>1</v>
      </c>
      <c r="I2004" s="31" t="s">
        <v>51</v>
      </c>
      <c r="J2004" s="29"/>
      <c r="K2004" s="29" t="s">
        <v>10875</v>
      </c>
      <c r="L2004" s="32" t="n">
        <v>317</v>
      </c>
      <c r="M2004" s="33" t="s">
        <v>852</v>
      </c>
      <c r="N2004" s="34" t="n">
        <v>75015</v>
      </c>
      <c r="O2004" s="35" t="s">
        <v>55</v>
      </c>
      <c r="P2004" s="36" t="s">
        <v>10876</v>
      </c>
      <c r="Q2004" s="36" t="n">
        <v>1</v>
      </c>
      <c r="R2004" s="32" t="n">
        <v>52</v>
      </c>
      <c r="S2004" s="32" t="n">
        <v>0</v>
      </c>
      <c r="T2004" s="43" t="s">
        <v>316</v>
      </c>
      <c r="U2004" s="32"/>
      <c r="V2004" s="37"/>
      <c r="W2004" s="32"/>
      <c r="X2004" s="34"/>
      <c r="Y2004" s="34"/>
      <c r="Z2004" s="32"/>
      <c r="AA2004" s="32" t="s">
        <v>10877</v>
      </c>
      <c r="AB2004" s="32"/>
      <c r="AC2004" s="38" t="str">
        <f aca="false">HYPERLINK("https://biocodex6--c.vf.force.com/0014L00000KFhflQAD", "GUILLIET ALAIN")</f>
        <v>GUILLIET ALAIN</v>
      </c>
      <c r="AD2004" s="38"/>
      <c r="AE2004" s="39"/>
      <c r="AF2004" s="40"/>
      <c r="AG2004" s="41"/>
      <c r="AH2004" s="32"/>
      <c r="AI2004" s="32"/>
      <c r="AL2004" s="32"/>
      <c r="AM2004" s="32"/>
      <c r="AN2004" s="32"/>
      <c r="AO2004" s="32"/>
      <c r="AP2004" s="32"/>
      <c r="AQ2004" s="32"/>
      <c r="AR2004" s="32"/>
      <c r="AS2004" s="32"/>
      <c r="AT2004" s="32"/>
      <c r="AU2004" s="32"/>
      <c r="XEY2004" s="27"/>
      <c r="XEZ2004" s="27"/>
      <c r="XFA2004" s="27"/>
      <c r="XFB2004" s="27"/>
      <c r="XFC2004" s="27"/>
      <c r="XFD2004" s="27"/>
    </row>
    <row r="2005" s="42" customFormat="true" ht="14.15" hidden="false" customHeight="true" outlineLevel="0" collapsed="false">
      <c r="A2005" s="28" t="s">
        <v>10878</v>
      </c>
      <c r="B2005" s="29" t="s">
        <v>10879</v>
      </c>
      <c r="C2005" s="29" t="s">
        <v>10880</v>
      </c>
      <c r="D2005" s="30" t="s">
        <v>172</v>
      </c>
      <c r="E2005" s="31"/>
      <c r="F2005" s="32" t="n">
        <v>68</v>
      </c>
      <c r="G2005" s="31"/>
      <c r="H2005" s="31" t="n">
        <v>1</v>
      </c>
      <c r="I2005" s="31" t="s">
        <v>197</v>
      </c>
      <c r="J2005" s="29"/>
      <c r="K2005" s="29" t="s">
        <v>10881</v>
      </c>
      <c r="L2005" s="32" t="n">
        <v>9</v>
      </c>
      <c r="M2005" s="33" t="s">
        <v>10882</v>
      </c>
      <c r="N2005" s="34" t="n">
        <v>75017</v>
      </c>
      <c r="O2005" s="35" t="s">
        <v>55</v>
      </c>
      <c r="P2005" s="36"/>
      <c r="Q2005" s="36" t="n">
        <v>1</v>
      </c>
      <c r="R2005" s="32" t="n">
        <v>52</v>
      </c>
      <c r="S2005" s="32" t="n">
        <v>0</v>
      </c>
      <c r="T2005" s="43" t="s">
        <v>3663</v>
      </c>
      <c r="U2005" s="32"/>
      <c r="V2005" s="37"/>
      <c r="W2005" s="32"/>
      <c r="X2005" s="34"/>
      <c r="Y2005" s="34"/>
      <c r="Z2005" s="32"/>
      <c r="AA2005" s="32" t="s">
        <v>10883</v>
      </c>
      <c r="AB2005" s="32"/>
      <c r="AC2005" s="38" t="str">
        <f aca="false">HYPERLINK("https://biocodex6--c.vf.force.com/0014L00000KFWWCQA5", "CHIESA LE ROY CARINA")</f>
        <v>CHIESA LE ROY CARINA</v>
      </c>
      <c r="AD2005" s="38"/>
      <c r="AE2005" s="39"/>
      <c r="AF2005" s="40"/>
      <c r="AG2005" s="41"/>
      <c r="AH2005" s="32"/>
      <c r="AI2005" s="32"/>
      <c r="AL2005" s="32"/>
      <c r="AM2005" s="32"/>
      <c r="AN2005" s="32"/>
      <c r="AO2005" s="32"/>
      <c r="AP2005" s="32"/>
      <c r="AQ2005" s="32"/>
      <c r="AR2005" s="32"/>
      <c r="AS2005" s="32"/>
      <c r="AT2005" s="32"/>
      <c r="AU2005" s="32"/>
      <c r="XEY2005" s="27"/>
      <c r="XEZ2005" s="27"/>
      <c r="XFA2005" s="27"/>
      <c r="XFB2005" s="27"/>
      <c r="XFC2005" s="27"/>
      <c r="XFD2005" s="27"/>
    </row>
    <row r="2006" s="42" customFormat="true" ht="14.15" hidden="false" customHeight="true" outlineLevel="0" collapsed="false">
      <c r="A2006" s="28" t="s">
        <v>10884</v>
      </c>
      <c r="B2006" s="29" t="s">
        <v>419</v>
      </c>
      <c r="C2006" s="29" t="s">
        <v>10885</v>
      </c>
      <c r="D2006" s="30" t="s">
        <v>172</v>
      </c>
      <c r="E2006" s="31"/>
      <c r="F2006" s="32" t="n">
        <v>74</v>
      </c>
      <c r="G2006" s="31"/>
      <c r="H2006" s="31" t="n">
        <v>1</v>
      </c>
      <c r="I2006" s="31" t="s">
        <v>233</v>
      </c>
      <c r="J2006" s="29"/>
      <c r="K2006" s="29" t="s">
        <v>10886</v>
      </c>
      <c r="L2006" s="32" t="n">
        <v>4</v>
      </c>
      <c r="M2006" s="33" t="s">
        <v>10887</v>
      </c>
      <c r="N2006" s="34" t="n">
        <v>75015</v>
      </c>
      <c r="O2006" s="35" t="s">
        <v>55</v>
      </c>
      <c r="P2006" s="36" t="s">
        <v>10888</v>
      </c>
      <c r="Q2006" s="36" t="n">
        <v>1</v>
      </c>
      <c r="R2006" s="32" t="n">
        <v>52</v>
      </c>
      <c r="S2006" s="32" t="n">
        <v>0</v>
      </c>
      <c r="T2006" s="43" t="s">
        <v>316</v>
      </c>
      <c r="U2006" s="32"/>
      <c r="V2006" s="37"/>
      <c r="W2006" s="32"/>
      <c r="X2006" s="34"/>
      <c r="Y2006" s="34"/>
      <c r="Z2006" s="32"/>
      <c r="AA2006" s="32" t="s">
        <v>10889</v>
      </c>
      <c r="AB2006" s="32"/>
      <c r="AC2006" s="38" t="str">
        <f aca="false">HYPERLINK("https://biocodex6--c.vf.force.com/0014L00000KFNX8QAP", "MELESE FLORENCE")</f>
        <v>MELESE FLORENCE</v>
      </c>
      <c r="AD2006" s="38"/>
      <c r="AE2006" s="39"/>
      <c r="AF2006" s="40"/>
      <c r="AG2006" s="41"/>
      <c r="AH2006" s="32"/>
      <c r="AI2006" s="32"/>
      <c r="AL2006" s="32"/>
      <c r="AM2006" s="32"/>
      <c r="AN2006" s="32"/>
      <c r="AO2006" s="32"/>
      <c r="AP2006" s="32"/>
      <c r="AQ2006" s="32"/>
      <c r="AR2006" s="32"/>
      <c r="AS2006" s="32"/>
      <c r="AT2006" s="32"/>
      <c r="AU2006" s="32"/>
      <c r="XEY2006" s="27"/>
      <c r="XEZ2006" s="27"/>
      <c r="XFA2006" s="27"/>
      <c r="XFB2006" s="27"/>
      <c r="XFC2006" s="27"/>
      <c r="XFD2006" s="27"/>
    </row>
    <row r="2007" s="42" customFormat="true" ht="14.15" hidden="false" customHeight="true" outlineLevel="0" collapsed="false">
      <c r="A2007" s="28" t="s">
        <v>10890</v>
      </c>
      <c r="B2007" s="29" t="s">
        <v>1584</v>
      </c>
      <c r="C2007" s="29" t="s">
        <v>10891</v>
      </c>
      <c r="D2007" s="30" t="s">
        <v>172</v>
      </c>
      <c r="E2007" s="31"/>
      <c r="F2007" s="32" t="n">
        <v>53</v>
      </c>
      <c r="G2007" s="31"/>
      <c r="H2007" s="31" t="n">
        <v>2</v>
      </c>
      <c r="I2007" s="31" t="s">
        <v>233</v>
      </c>
      <c r="J2007" s="29"/>
      <c r="K2007" s="29" t="s">
        <v>10892</v>
      </c>
      <c r="L2007" s="32" t="n">
        <v>33</v>
      </c>
      <c r="M2007" s="33" t="s">
        <v>1996</v>
      </c>
      <c r="N2007" s="34" t="n">
        <v>75015</v>
      </c>
      <c r="O2007" s="35" t="s">
        <v>55</v>
      </c>
      <c r="P2007" s="36" t="s">
        <v>10893</v>
      </c>
      <c r="Q2007" s="36" t="n">
        <v>1</v>
      </c>
      <c r="R2007" s="32" t="n">
        <v>52</v>
      </c>
      <c r="S2007" s="32" t="n">
        <v>0</v>
      </c>
      <c r="T2007" s="43" t="s">
        <v>316</v>
      </c>
      <c r="U2007" s="32"/>
      <c r="V2007" s="37"/>
      <c r="W2007" s="32"/>
      <c r="X2007" s="34"/>
      <c r="Y2007" s="34"/>
      <c r="Z2007" s="32"/>
      <c r="AA2007" s="32" t="s">
        <v>10894</v>
      </c>
      <c r="AB2007" s="32"/>
      <c r="AC2007" s="38" t="str">
        <f aca="false">HYPERLINK("https://biocodex6--c.vf.force.com/0014L00000KFv25QAD", "PATRY LAURENCE")</f>
        <v>PATRY LAURENCE</v>
      </c>
      <c r="AD2007" s="38"/>
      <c r="AE2007" s="39"/>
      <c r="AF2007" s="40"/>
      <c r="AG2007" s="41"/>
      <c r="AH2007" s="32"/>
      <c r="AI2007" s="32"/>
      <c r="AL2007" s="32"/>
      <c r="AM2007" s="32"/>
      <c r="AN2007" s="32"/>
      <c r="AO2007" s="32"/>
      <c r="AP2007" s="32"/>
      <c r="AQ2007" s="32"/>
      <c r="AR2007" s="32"/>
      <c r="AS2007" s="32"/>
      <c r="AT2007" s="32"/>
      <c r="AU2007" s="32"/>
      <c r="XEY2007" s="27"/>
      <c r="XEZ2007" s="27"/>
      <c r="XFA2007" s="27"/>
      <c r="XFB2007" s="27"/>
      <c r="XFC2007" s="27"/>
      <c r="XFD2007" s="27"/>
    </row>
    <row r="2008" s="42" customFormat="true" ht="14.15" hidden="false" customHeight="true" outlineLevel="0" collapsed="false">
      <c r="A2008" s="28" t="s">
        <v>10895</v>
      </c>
      <c r="B2008" s="29" t="s">
        <v>3255</v>
      </c>
      <c r="C2008" s="29" t="s">
        <v>10896</v>
      </c>
      <c r="D2008" s="30" t="s">
        <v>172</v>
      </c>
      <c r="E2008" s="31"/>
      <c r="F2008" s="32" t="n">
        <v>66</v>
      </c>
      <c r="G2008" s="31"/>
      <c r="H2008" s="31" t="n">
        <v>1</v>
      </c>
      <c r="I2008" s="31" t="s">
        <v>233</v>
      </c>
      <c r="J2008" s="29"/>
      <c r="K2008" s="29" t="s">
        <v>10897</v>
      </c>
      <c r="L2008" s="32" t="n">
        <v>111</v>
      </c>
      <c r="M2008" s="33" t="s">
        <v>1996</v>
      </c>
      <c r="N2008" s="34" t="n">
        <v>75015</v>
      </c>
      <c r="O2008" s="35" t="s">
        <v>55</v>
      </c>
      <c r="P2008" s="36" t="s">
        <v>10898</v>
      </c>
      <c r="Q2008" s="36" t="n">
        <v>1</v>
      </c>
      <c r="R2008" s="36" t="n">
        <v>52</v>
      </c>
      <c r="S2008" s="32" t="n">
        <v>0</v>
      </c>
      <c r="T2008" s="43" t="s">
        <v>2189</v>
      </c>
      <c r="U2008" s="32"/>
      <c r="V2008" s="37"/>
      <c r="W2008" s="32"/>
      <c r="X2008" s="34"/>
      <c r="Y2008" s="34"/>
      <c r="Z2008" s="32"/>
      <c r="AA2008" s="32" t="s">
        <v>10899</v>
      </c>
      <c r="AB2008" s="32"/>
      <c r="AC2008" s="38" t="str">
        <f aca="false">HYPERLINK("https://biocodex6--c.vf.force.com/0014L00000KFeR2QAL", "FREBAULT DENIS")</f>
        <v>FREBAULT DENIS</v>
      </c>
      <c r="AD2008" s="38"/>
      <c r="AE2008" s="39"/>
      <c r="AF2008" s="40"/>
      <c r="AG2008" s="41"/>
      <c r="AH2008" s="32"/>
      <c r="AI2008" s="32"/>
      <c r="AL2008" s="32"/>
      <c r="AM2008" s="32"/>
      <c r="AN2008" s="32"/>
      <c r="AO2008" s="32"/>
      <c r="AP2008" s="32"/>
      <c r="AQ2008" s="32"/>
      <c r="AR2008" s="32"/>
      <c r="AS2008" s="32"/>
      <c r="AT2008" s="32"/>
      <c r="AU2008" s="32"/>
      <c r="XEY2008" s="27"/>
      <c r="XEZ2008" s="27"/>
      <c r="XFA2008" s="27"/>
      <c r="XFB2008" s="27"/>
      <c r="XFC2008" s="27"/>
      <c r="XFD2008" s="27"/>
    </row>
    <row r="2009" s="42" customFormat="true" ht="14.15" hidden="false" customHeight="true" outlineLevel="0" collapsed="false">
      <c r="A2009" s="28" t="s">
        <v>10900</v>
      </c>
      <c r="B2009" s="29" t="s">
        <v>2433</v>
      </c>
      <c r="C2009" s="29" t="s">
        <v>10901</v>
      </c>
      <c r="D2009" s="30" t="s">
        <v>172</v>
      </c>
      <c r="E2009" s="30" t="s">
        <v>1103</v>
      </c>
      <c r="F2009" s="32" t="n">
        <v>70</v>
      </c>
      <c r="G2009" s="31"/>
      <c r="H2009" s="31" t="n">
        <v>1</v>
      </c>
      <c r="I2009" s="31" t="s">
        <v>233</v>
      </c>
      <c r="J2009" s="29"/>
      <c r="K2009" s="29" t="s">
        <v>10902</v>
      </c>
      <c r="L2009" s="32" t="n">
        <v>5</v>
      </c>
      <c r="M2009" s="33" t="s">
        <v>10903</v>
      </c>
      <c r="N2009" s="34" t="n">
        <v>75015</v>
      </c>
      <c r="O2009" s="35" t="s">
        <v>55</v>
      </c>
      <c r="P2009" s="36" t="s">
        <v>10904</v>
      </c>
      <c r="Q2009" s="36" t="n">
        <v>1</v>
      </c>
      <c r="R2009" s="32" t="n">
        <v>52</v>
      </c>
      <c r="S2009" s="32" t="n">
        <v>0</v>
      </c>
      <c r="T2009" s="43" t="s">
        <v>316</v>
      </c>
      <c r="U2009" s="32"/>
      <c r="V2009" s="37"/>
      <c r="W2009" s="32"/>
      <c r="X2009" s="34"/>
      <c r="Y2009" s="34"/>
      <c r="Z2009" s="32"/>
      <c r="AA2009" s="32" t="s">
        <v>10905</v>
      </c>
      <c r="AB2009" s="32"/>
      <c r="AC2009" s="38" t="str">
        <f aca="false">HYPERLINK("https://biocodex6--c.vf.force.com/0014L00000KFVCkQAP", "CADET BERNARD")</f>
        <v>CADET BERNARD</v>
      </c>
      <c r="AD2009" s="38"/>
      <c r="AE2009" s="39"/>
      <c r="AF2009" s="40"/>
      <c r="AG2009" s="41"/>
      <c r="AH2009" s="32"/>
      <c r="AI2009" s="32"/>
      <c r="AL2009" s="32"/>
      <c r="AM2009" s="32"/>
      <c r="AN2009" s="32"/>
      <c r="AO2009" s="32"/>
      <c r="AP2009" s="32"/>
      <c r="AQ2009" s="32"/>
      <c r="AR2009" s="32"/>
      <c r="AS2009" s="32"/>
      <c r="AT2009" s="32"/>
      <c r="AU2009" s="32"/>
      <c r="XEY2009" s="27"/>
      <c r="XEZ2009" s="27"/>
      <c r="XFA2009" s="27"/>
      <c r="XFB2009" s="27"/>
      <c r="XFC2009" s="27"/>
      <c r="XFD2009" s="27"/>
    </row>
    <row r="2010" s="42" customFormat="true" ht="14.15" hidden="false" customHeight="true" outlineLevel="0" collapsed="false">
      <c r="A2010" s="28" t="s">
        <v>10906</v>
      </c>
      <c r="B2010" s="29" t="s">
        <v>794</v>
      </c>
      <c r="C2010" s="29" t="s">
        <v>10907</v>
      </c>
      <c r="D2010" s="30" t="s">
        <v>172</v>
      </c>
      <c r="E2010" s="30" t="s">
        <v>10908</v>
      </c>
      <c r="F2010" s="32" t="n">
        <v>86</v>
      </c>
      <c r="G2010" s="31" t="s">
        <v>215</v>
      </c>
      <c r="H2010" s="31" t="n">
        <v>1</v>
      </c>
      <c r="I2010" s="31" t="s">
        <v>387</v>
      </c>
      <c r="J2010" s="29"/>
      <c r="K2010" s="29" t="s">
        <v>10909</v>
      </c>
      <c r="L2010" s="32" t="n">
        <v>26</v>
      </c>
      <c r="M2010" s="33" t="s">
        <v>10910</v>
      </c>
      <c r="N2010" s="34" t="n">
        <v>75016</v>
      </c>
      <c r="O2010" s="35" t="s">
        <v>55</v>
      </c>
      <c r="P2010" s="36" t="s">
        <v>10911</v>
      </c>
      <c r="Q2010" s="36" t="n">
        <v>1</v>
      </c>
      <c r="R2010" s="32" t="n">
        <v>51</v>
      </c>
      <c r="S2010" s="32" t="n">
        <v>0</v>
      </c>
      <c r="T2010" s="43" t="s">
        <v>316</v>
      </c>
      <c r="U2010" s="32"/>
      <c r="V2010" s="37"/>
      <c r="W2010" s="32"/>
      <c r="X2010" s="34"/>
      <c r="Y2010" s="34"/>
      <c r="Z2010" s="32"/>
      <c r="AA2010" s="32" t="s">
        <v>10912</v>
      </c>
      <c r="AB2010" s="32" t="s">
        <v>10913</v>
      </c>
      <c r="AC2010" s="38" t="str">
        <f aca="false">HYPERLINK("https://biocodex6--c.vf.force.com/0014L00000KFpyeQAD", "MARGUERITAT DANIELLE")</f>
        <v>MARGUERITAT DANIELLE</v>
      </c>
      <c r="AD2010" s="38" t="str">
        <f aca="false">HYPERLINK("https://annuairesante.ameli.fr/professionnels-de-sante/recherche/fiche-detaillee-B7c1kDQ5ODq7.html", "MARGUERITAT DANIELLE")</f>
        <v>MARGUERITAT DANIELLE</v>
      </c>
      <c r="AE2010" s="39"/>
      <c r="AF2010" s="40"/>
      <c r="AG2010" s="41"/>
      <c r="AH2010" s="32"/>
      <c r="AI2010" s="32"/>
      <c r="AL2010" s="32"/>
      <c r="AM2010" s="32"/>
      <c r="AN2010" s="32"/>
      <c r="AO2010" s="32"/>
      <c r="AP2010" s="32"/>
      <c r="AQ2010" s="32"/>
      <c r="AR2010" s="32"/>
      <c r="AS2010" s="32"/>
      <c r="AT2010" s="32"/>
      <c r="AU2010" s="32"/>
      <c r="XEY2010" s="27"/>
      <c r="XEZ2010" s="27"/>
      <c r="XFA2010" s="27"/>
      <c r="XFB2010" s="27"/>
      <c r="XFC2010" s="27"/>
      <c r="XFD2010" s="27"/>
    </row>
    <row r="2011" s="42" customFormat="true" ht="14.15" hidden="false" customHeight="true" outlineLevel="0" collapsed="false">
      <c r="A2011" s="28" t="s">
        <v>10914</v>
      </c>
      <c r="B2011" s="29" t="s">
        <v>73</v>
      </c>
      <c r="C2011" s="29" t="s">
        <v>10915</v>
      </c>
      <c r="D2011" s="30" t="s">
        <v>172</v>
      </c>
      <c r="E2011" s="31"/>
      <c r="F2011" s="32" t="n">
        <v>67</v>
      </c>
      <c r="G2011" s="31"/>
      <c r="H2011" s="31" t="n">
        <v>1</v>
      </c>
      <c r="I2011" s="31" t="s">
        <v>387</v>
      </c>
      <c r="J2011" s="29"/>
      <c r="K2011" s="29" t="s">
        <v>8511</v>
      </c>
      <c r="L2011" s="32" t="n">
        <v>19</v>
      </c>
      <c r="M2011" s="33" t="s">
        <v>7850</v>
      </c>
      <c r="N2011" s="34" t="n">
        <v>75016</v>
      </c>
      <c r="O2011" s="35" t="s">
        <v>55</v>
      </c>
      <c r="P2011" s="36" t="s">
        <v>10916</v>
      </c>
      <c r="Q2011" s="36" t="n">
        <v>2</v>
      </c>
      <c r="R2011" s="32" t="n">
        <v>51</v>
      </c>
      <c r="S2011" s="32" t="n">
        <v>0</v>
      </c>
      <c r="T2011" s="43" t="s">
        <v>316</v>
      </c>
      <c r="U2011" s="32"/>
      <c r="V2011" s="37"/>
      <c r="W2011" s="32"/>
      <c r="X2011" s="34"/>
      <c r="Y2011" s="34"/>
      <c r="Z2011" s="32"/>
      <c r="AA2011" s="32" t="s">
        <v>10917</v>
      </c>
      <c r="AB2011" s="32"/>
      <c r="AC2011" s="38" t="str">
        <f aca="false">HYPERLINK("https://biocodex6--c.vf.force.com/0014L00000KFgAmQAL", "GIRAUT XAVIER")</f>
        <v>GIRAUT XAVIER</v>
      </c>
      <c r="AD2011" s="38"/>
      <c r="AE2011" s="39"/>
      <c r="AF2011" s="40"/>
      <c r="AG2011" s="41"/>
      <c r="AH2011" s="32"/>
      <c r="AI2011" s="32"/>
      <c r="AL2011" s="32"/>
      <c r="AM2011" s="32"/>
      <c r="AN2011" s="32"/>
      <c r="AO2011" s="32"/>
      <c r="AP2011" s="32"/>
      <c r="AQ2011" s="32"/>
      <c r="AR2011" s="32"/>
      <c r="AS2011" s="32"/>
      <c r="AT2011" s="32"/>
      <c r="AU2011" s="32"/>
      <c r="XEY2011" s="27"/>
      <c r="XEZ2011" s="27"/>
      <c r="XFA2011" s="27"/>
      <c r="XFB2011" s="27"/>
      <c r="XFC2011" s="27"/>
      <c r="XFD2011" s="27"/>
    </row>
    <row r="2012" s="42" customFormat="true" ht="14.15" hidden="false" customHeight="true" outlineLevel="0" collapsed="false">
      <c r="A2012" s="28" t="s">
        <v>10825</v>
      </c>
      <c r="B2012" s="29" t="s">
        <v>10918</v>
      </c>
      <c r="C2012" s="29" t="s">
        <v>10919</v>
      </c>
      <c r="D2012" s="30" t="s">
        <v>172</v>
      </c>
      <c r="E2012" s="31"/>
      <c r="F2012" s="32" t="n">
        <v>59</v>
      </c>
      <c r="G2012" s="31"/>
      <c r="H2012" s="31" t="n">
        <v>1</v>
      </c>
      <c r="I2012" s="31" t="s">
        <v>572</v>
      </c>
      <c r="J2012" s="29"/>
      <c r="K2012" s="29" t="s">
        <v>10827</v>
      </c>
      <c r="L2012" s="32" t="n">
        <v>13</v>
      </c>
      <c r="M2012" s="33" t="s">
        <v>5340</v>
      </c>
      <c r="N2012" s="34" t="n">
        <v>75008</v>
      </c>
      <c r="O2012" s="35" t="s">
        <v>55</v>
      </c>
      <c r="P2012" s="36"/>
      <c r="Q2012" s="36" t="n">
        <v>2</v>
      </c>
      <c r="R2012" s="32" t="n">
        <v>51</v>
      </c>
      <c r="S2012" s="32" t="n">
        <v>0</v>
      </c>
      <c r="T2012" s="43" t="s">
        <v>316</v>
      </c>
      <c r="U2012" s="32"/>
      <c r="V2012" s="37"/>
      <c r="W2012" s="32"/>
      <c r="X2012" s="34"/>
      <c r="Y2012" s="34"/>
      <c r="Z2012" s="32"/>
      <c r="AA2012" s="32" t="s">
        <v>10920</v>
      </c>
      <c r="AB2012" s="32"/>
      <c r="AC2012" s="38" t="str">
        <f aca="false">HYPERLINK("https://biocodex6--c.vf.force.com/0014L00000KG592QAD", "VEGH MARIE GABRIELLE")</f>
        <v>VEGH MARIE GABRIELLE</v>
      </c>
      <c r="AD2012" s="38"/>
      <c r="AE2012" s="39"/>
      <c r="AF2012" s="40"/>
      <c r="AG2012" s="41"/>
      <c r="AH2012" s="32"/>
      <c r="AI2012" s="32"/>
      <c r="AL2012" s="32"/>
      <c r="AM2012" s="32"/>
      <c r="AN2012" s="32"/>
      <c r="AO2012" s="32"/>
      <c r="AP2012" s="32"/>
      <c r="AQ2012" s="32"/>
      <c r="AR2012" s="32"/>
      <c r="AS2012" s="32"/>
      <c r="AT2012" s="32"/>
      <c r="AU2012" s="32"/>
      <c r="XEY2012" s="27"/>
      <c r="XEZ2012" s="27"/>
      <c r="XFA2012" s="27"/>
      <c r="XFB2012" s="27"/>
      <c r="XFC2012" s="27"/>
      <c r="XFD2012" s="27"/>
    </row>
    <row r="2013" s="42" customFormat="true" ht="14.15" hidden="false" customHeight="true" outlineLevel="0" collapsed="false">
      <c r="A2013" s="28" t="s">
        <v>10921</v>
      </c>
      <c r="B2013" s="29" t="s">
        <v>3304</v>
      </c>
      <c r="C2013" s="29" t="s">
        <v>10922</v>
      </c>
      <c r="D2013" s="30" t="s">
        <v>172</v>
      </c>
      <c r="E2013" s="31"/>
      <c r="F2013" s="32" t="n">
        <v>60</v>
      </c>
      <c r="G2013" s="31"/>
      <c r="H2013" s="31" t="n">
        <v>1</v>
      </c>
      <c r="I2013" s="31" t="s">
        <v>572</v>
      </c>
      <c r="J2013" s="29"/>
      <c r="K2013" s="29" t="s">
        <v>4789</v>
      </c>
      <c r="L2013" s="32" t="n">
        <v>57</v>
      </c>
      <c r="M2013" s="33" t="s">
        <v>1379</v>
      </c>
      <c r="N2013" s="34" t="n">
        <v>75008</v>
      </c>
      <c r="O2013" s="35" t="s">
        <v>55</v>
      </c>
      <c r="P2013" s="36" t="s">
        <v>10923</v>
      </c>
      <c r="Q2013" s="36" t="n">
        <v>2</v>
      </c>
      <c r="R2013" s="32" t="n">
        <v>51</v>
      </c>
      <c r="S2013" s="32" t="n">
        <v>0</v>
      </c>
      <c r="T2013" s="43" t="s">
        <v>3663</v>
      </c>
      <c r="U2013" s="32"/>
      <c r="V2013" s="37"/>
      <c r="W2013" s="32"/>
      <c r="X2013" s="34"/>
      <c r="Y2013" s="34"/>
      <c r="Z2013" s="32"/>
      <c r="AA2013" s="32" t="s">
        <v>10924</v>
      </c>
      <c r="AB2013" s="32"/>
      <c r="AC2013" s="38" t="str">
        <f aca="false">HYPERLINK("https://biocodex6--c.vf.force.com/0014L00000KFjQaQAL", "CAZABAT SYLVIE")</f>
        <v>CAZABAT SYLVIE</v>
      </c>
      <c r="AD2013" s="38"/>
      <c r="AE2013" s="39"/>
      <c r="AF2013" s="40"/>
      <c r="AG2013" s="41"/>
      <c r="AH2013" s="32"/>
      <c r="AI2013" s="32"/>
      <c r="AL2013" s="32"/>
      <c r="AM2013" s="32"/>
      <c r="AN2013" s="32"/>
      <c r="AO2013" s="32"/>
      <c r="AP2013" s="32"/>
      <c r="AQ2013" s="32"/>
      <c r="AR2013" s="32"/>
      <c r="AS2013" s="32"/>
      <c r="AT2013" s="32"/>
      <c r="AU2013" s="32"/>
      <c r="XEY2013" s="27"/>
      <c r="XEZ2013" s="27"/>
      <c r="XFA2013" s="27"/>
      <c r="XFB2013" s="27"/>
      <c r="XFC2013" s="27"/>
      <c r="XFD2013" s="27"/>
    </row>
    <row r="2014" s="42" customFormat="true" ht="14.15" hidden="false" customHeight="true" outlineLevel="0" collapsed="false">
      <c r="A2014" s="28" t="s">
        <v>10925</v>
      </c>
      <c r="B2014" s="29" t="s">
        <v>128</v>
      </c>
      <c r="C2014" s="29" t="s">
        <v>10926</v>
      </c>
      <c r="D2014" s="30" t="s">
        <v>172</v>
      </c>
      <c r="E2014" s="31"/>
      <c r="F2014" s="32" t="n">
        <v>63</v>
      </c>
      <c r="G2014" s="31"/>
      <c r="H2014" s="31" t="n">
        <v>1</v>
      </c>
      <c r="I2014" s="31" t="s">
        <v>119</v>
      </c>
      <c r="J2014" s="29"/>
      <c r="K2014" s="29" t="s">
        <v>5086</v>
      </c>
      <c r="L2014" s="32" t="n">
        <v>50</v>
      </c>
      <c r="M2014" s="33" t="s">
        <v>5087</v>
      </c>
      <c r="N2014" s="34" t="n">
        <v>75007</v>
      </c>
      <c r="O2014" s="35" t="s">
        <v>55</v>
      </c>
      <c r="P2014" s="36" t="s">
        <v>10927</v>
      </c>
      <c r="Q2014" s="36" t="n">
        <v>4</v>
      </c>
      <c r="R2014" s="32" t="n">
        <v>51</v>
      </c>
      <c r="S2014" s="32" t="n">
        <v>0</v>
      </c>
      <c r="T2014" s="43" t="s">
        <v>1107</v>
      </c>
      <c r="U2014" s="32"/>
      <c r="V2014" s="37"/>
      <c r="W2014" s="32"/>
      <c r="X2014" s="34"/>
      <c r="Y2014" s="34"/>
      <c r="Z2014" s="32"/>
      <c r="AA2014" s="32" t="s">
        <v>10928</v>
      </c>
      <c r="AB2014" s="32"/>
      <c r="AC2014" s="38" t="str">
        <f aca="false">HYPERLINK("https://biocodex6--c.vf.force.com/0014L00000KFbpNQAT", "COINTOT FRANCOISE")</f>
        <v>COINTOT FRANCOISE</v>
      </c>
      <c r="AD2014" s="38"/>
      <c r="AE2014" s="39"/>
      <c r="AF2014" s="40"/>
      <c r="AG2014" s="41"/>
      <c r="AH2014" s="32"/>
      <c r="AI2014" s="32"/>
      <c r="AL2014" s="32"/>
      <c r="AM2014" s="32"/>
      <c r="AN2014" s="32"/>
      <c r="AO2014" s="32"/>
      <c r="AP2014" s="32"/>
      <c r="AQ2014" s="32"/>
      <c r="AR2014" s="32"/>
      <c r="AS2014" s="32"/>
      <c r="AT2014" s="32"/>
      <c r="AU2014" s="32"/>
      <c r="XEY2014" s="27"/>
      <c r="XEZ2014" s="27"/>
      <c r="XFA2014" s="27"/>
      <c r="XFB2014" s="27"/>
      <c r="XFC2014" s="27"/>
      <c r="XFD2014" s="27"/>
    </row>
    <row r="2015" s="42" customFormat="true" ht="14.15" hidden="false" customHeight="true" outlineLevel="0" collapsed="false">
      <c r="A2015" s="28" t="s">
        <v>10929</v>
      </c>
      <c r="B2015" s="29" t="s">
        <v>332</v>
      </c>
      <c r="C2015" s="29" t="s">
        <v>10930</v>
      </c>
      <c r="D2015" s="30" t="s">
        <v>172</v>
      </c>
      <c r="E2015" s="30" t="s">
        <v>1103</v>
      </c>
      <c r="F2015" s="32" t="n">
        <v>64</v>
      </c>
      <c r="G2015" s="31"/>
      <c r="H2015" s="31" t="n">
        <v>2</v>
      </c>
      <c r="I2015" s="31" t="s">
        <v>119</v>
      </c>
      <c r="J2015" s="29"/>
      <c r="K2015" s="29" t="s">
        <v>10931</v>
      </c>
      <c r="L2015" s="32" t="n">
        <v>42</v>
      </c>
      <c r="M2015" s="33" t="s">
        <v>5621</v>
      </c>
      <c r="N2015" s="34" t="n">
        <v>75007</v>
      </c>
      <c r="O2015" s="35" t="s">
        <v>55</v>
      </c>
      <c r="P2015" s="36" t="s">
        <v>10932</v>
      </c>
      <c r="Q2015" s="36" t="n">
        <v>2</v>
      </c>
      <c r="R2015" s="32" t="n">
        <v>51</v>
      </c>
      <c r="S2015" s="32" t="n">
        <v>0</v>
      </c>
      <c r="T2015" s="43" t="s">
        <v>316</v>
      </c>
      <c r="U2015" s="32"/>
      <c r="V2015" s="37"/>
      <c r="W2015" s="32"/>
      <c r="X2015" s="34"/>
      <c r="Y2015" s="34"/>
      <c r="Z2015" s="32"/>
      <c r="AA2015" s="32" t="s">
        <v>10933</v>
      </c>
      <c r="AB2015" s="32"/>
      <c r="AC2015" s="38" t="str">
        <f aca="false">HYPERLINK("https://biocodex6--c.vf.force.com/0014L00000KFeDpQAL", "FOUQUES CATHERINE")</f>
        <v>FOUQUES CATHERINE</v>
      </c>
      <c r="AD2015" s="38"/>
      <c r="AE2015" s="39"/>
      <c r="AF2015" s="40"/>
      <c r="AG2015" s="41"/>
      <c r="AH2015" s="32"/>
      <c r="AI2015" s="32"/>
      <c r="AL2015" s="32"/>
      <c r="AM2015" s="32"/>
      <c r="AN2015" s="32"/>
      <c r="AO2015" s="32"/>
      <c r="AP2015" s="32"/>
      <c r="AQ2015" s="32"/>
      <c r="AR2015" s="32"/>
      <c r="AS2015" s="32"/>
      <c r="AT2015" s="32"/>
      <c r="AU2015" s="32"/>
      <c r="XEY2015" s="27"/>
      <c r="XEZ2015" s="27"/>
      <c r="XFA2015" s="27"/>
      <c r="XFB2015" s="27"/>
      <c r="XFC2015" s="27"/>
      <c r="XFD2015" s="27"/>
    </row>
    <row r="2016" s="42" customFormat="true" ht="14.15" hidden="false" customHeight="true" outlineLevel="0" collapsed="false">
      <c r="A2016" s="28" t="s">
        <v>10934</v>
      </c>
      <c r="B2016" s="29" t="s">
        <v>231</v>
      </c>
      <c r="C2016" s="29" t="s">
        <v>10935</v>
      </c>
      <c r="D2016" s="30" t="s">
        <v>172</v>
      </c>
      <c r="E2016" s="31"/>
      <c r="F2016" s="32" t="n">
        <v>73</v>
      </c>
      <c r="G2016" s="31"/>
      <c r="H2016" s="31" t="n">
        <v>1</v>
      </c>
      <c r="I2016" s="31" t="s">
        <v>119</v>
      </c>
      <c r="J2016" s="29"/>
      <c r="K2016" s="29" t="s">
        <v>10936</v>
      </c>
      <c r="L2016" s="32" t="n">
        <v>6</v>
      </c>
      <c r="M2016" s="33" t="s">
        <v>5261</v>
      </c>
      <c r="N2016" s="34" t="n">
        <v>75007</v>
      </c>
      <c r="O2016" s="35" t="s">
        <v>55</v>
      </c>
      <c r="P2016" s="36" t="s">
        <v>10937</v>
      </c>
      <c r="Q2016" s="36" t="n">
        <v>1</v>
      </c>
      <c r="R2016" s="32" t="n">
        <v>51</v>
      </c>
      <c r="S2016" s="32" t="n">
        <v>0</v>
      </c>
      <c r="T2016" s="43" t="s">
        <v>316</v>
      </c>
      <c r="U2016" s="32"/>
      <c r="V2016" s="37"/>
      <c r="W2016" s="32"/>
      <c r="X2016" s="34"/>
      <c r="Y2016" s="34"/>
      <c r="Z2016" s="32"/>
      <c r="AA2016" s="32" t="s">
        <v>10938</v>
      </c>
      <c r="AB2016" s="32"/>
      <c r="AC2016" s="38" t="str">
        <f aca="false">HYPERLINK("https://biocodex6--c.vf.force.com/0014L00000KFQ8gQAH", "ALBERTINI ANNE")</f>
        <v>ALBERTINI ANNE</v>
      </c>
      <c r="AD2016" s="38"/>
      <c r="AE2016" s="39"/>
      <c r="AF2016" s="40"/>
      <c r="AG2016" s="41"/>
      <c r="AH2016" s="32"/>
      <c r="AI2016" s="32"/>
      <c r="AL2016" s="32"/>
      <c r="AM2016" s="32"/>
      <c r="AN2016" s="32"/>
      <c r="AO2016" s="32"/>
      <c r="AP2016" s="32"/>
      <c r="AQ2016" s="32"/>
      <c r="AR2016" s="32"/>
      <c r="AS2016" s="32"/>
      <c r="AT2016" s="32"/>
      <c r="AU2016" s="32"/>
      <c r="XEY2016" s="27"/>
      <c r="XEZ2016" s="27"/>
      <c r="XFA2016" s="27"/>
      <c r="XFB2016" s="27"/>
      <c r="XFC2016" s="27"/>
      <c r="XFD2016" s="27"/>
    </row>
    <row r="2017" s="42" customFormat="true" ht="14.15" hidden="false" customHeight="true" outlineLevel="0" collapsed="false">
      <c r="A2017" s="28" t="s">
        <v>10939</v>
      </c>
      <c r="B2017" s="29" t="s">
        <v>685</v>
      </c>
      <c r="C2017" s="29" t="s">
        <v>10940</v>
      </c>
      <c r="D2017" s="30" t="s">
        <v>172</v>
      </c>
      <c r="E2017" s="31"/>
      <c r="F2017" s="32" t="n">
        <v>72</v>
      </c>
      <c r="G2017" s="31"/>
      <c r="H2017" s="31" t="n">
        <v>2</v>
      </c>
      <c r="I2017" s="31" t="s">
        <v>119</v>
      </c>
      <c r="J2017" s="29"/>
      <c r="K2017" s="29" t="s">
        <v>10941</v>
      </c>
      <c r="L2017" s="32" t="n">
        <v>5</v>
      </c>
      <c r="M2017" s="33" t="s">
        <v>10942</v>
      </c>
      <c r="N2017" s="34" t="n">
        <v>75007</v>
      </c>
      <c r="O2017" s="35" t="s">
        <v>55</v>
      </c>
      <c r="P2017" s="36" t="s">
        <v>10943</v>
      </c>
      <c r="Q2017" s="36" t="n">
        <v>1</v>
      </c>
      <c r="R2017" s="32" t="n">
        <v>51</v>
      </c>
      <c r="S2017" s="32" t="n">
        <v>0</v>
      </c>
      <c r="T2017" s="43" t="s">
        <v>316</v>
      </c>
      <c r="U2017" s="32"/>
      <c r="V2017" s="37"/>
      <c r="W2017" s="32"/>
      <c r="X2017" s="34"/>
      <c r="Y2017" s="34"/>
      <c r="Z2017" s="32"/>
      <c r="AA2017" s="32" t="s">
        <v>10944</v>
      </c>
      <c r="AB2017" s="32"/>
      <c r="AC2017" s="38" t="str">
        <f aca="false">HYPERLINK("https://biocodex6--c.vf.force.com/0014L00000KFdsBQAT", "FLIS TREVES MURIEL")</f>
        <v>FLIS TREVES MURIEL</v>
      </c>
      <c r="AD2017" s="38"/>
      <c r="AE2017" s="39"/>
      <c r="AF2017" s="40"/>
      <c r="AG2017" s="41"/>
      <c r="AH2017" s="32"/>
      <c r="AI2017" s="32"/>
      <c r="AL2017" s="32"/>
      <c r="AM2017" s="32"/>
      <c r="AN2017" s="32"/>
      <c r="AO2017" s="32"/>
      <c r="AP2017" s="32"/>
      <c r="AQ2017" s="32"/>
      <c r="AR2017" s="32"/>
      <c r="AS2017" s="32"/>
      <c r="AT2017" s="32"/>
      <c r="AU2017" s="32"/>
      <c r="XEY2017" s="27"/>
      <c r="XEZ2017" s="27"/>
      <c r="XFA2017" s="27"/>
      <c r="XFB2017" s="27"/>
      <c r="XFC2017" s="27"/>
      <c r="XFD2017" s="27"/>
    </row>
    <row r="2018" s="42" customFormat="true" ht="14.15" hidden="false" customHeight="true" outlineLevel="0" collapsed="false">
      <c r="A2018" s="28" t="s">
        <v>10945</v>
      </c>
      <c r="B2018" s="29" t="s">
        <v>4073</v>
      </c>
      <c r="C2018" s="29" t="s">
        <v>10946</v>
      </c>
      <c r="D2018" s="30" t="s">
        <v>172</v>
      </c>
      <c r="E2018" s="31"/>
      <c r="F2018" s="32" t="n">
        <v>70</v>
      </c>
      <c r="G2018" s="31"/>
      <c r="H2018" s="31" t="n">
        <v>1</v>
      </c>
      <c r="I2018" s="31" t="s">
        <v>119</v>
      </c>
      <c r="J2018" s="29"/>
      <c r="K2018" s="29" t="s">
        <v>10947</v>
      </c>
      <c r="L2018" s="32" t="n">
        <v>7</v>
      </c>
      <c r="M2018" s="33" t="s">
        <v>10948</v>
      </c>
      <c r="N2018" s="34" t="n">
        <v>75007</v>
      </c>
      <c r="O2018" s="35" t="s">
        <v>55</v>
      </c>
      <c r="P2018" s="36" t="s">
        <v>10949</v>
      </c>
      <c r="Q2018" s="36" t="n">
        <v>1</v>
      </c>
      <c r="R2018" s="36" t="n">
        <v>51</v>
      </c>
      <c r="S2018" s="32" t="n">
        <v>0</v>
      </c>
      <c r="T2018" s="43" t="s">
        <v>2189</v>
      </c>
      <c r="U2018" s="32"/>
      <c r="V2018" s="37"/>
      <c r="W2018" s="32"/>
      <c r="X2018" s="34"/>
      <c r="Y2018" s="34"/>
      <c r="Z2018" s="32"/>
      <c r="AA2018" s="32" t="s">
        <v>10950</v>
      </c>
      <c r="AB2018" s="32"/>
      <c r="AC2018" s="38" t="str">
        <f aca="false">HYPERLINK("https://biocodex6--c.vf.force.com/0014L00000KFjnrQAD", "JATTEAU ODILE")</f>
        <v>JATTEAU ODILE</v>
      </c>
      <c r="AD2018" s="38"/>
      <c r="AE2018" s="39"/>
      <c r="AF2018" s="40"/>
      <c r="AG2018" s="41"/>
      <c r="AH2018" s="32"/>
      <c r="AI2018" s="32"/>
      <c r="AL2018" s="32"/>
      <c r="AM2018" s="32"/>
      <c r="AN2018" s="32"/>
      <c r="AO2018" s="32"/>
      <c r="AP2018" s="32"/>
      <c r="AQ2018" s="32"/>
      <c r="AR2018" s="32"/>
      <c r="AS2018" s="32"/>
      <c r="AT2018" s="32"/>
      <c r="AU2018" s="32"/>
      <c r="XEY2018" s="27"/>
      <c r="XEZ2018" s="27"/>
      <c r="XFA2018" s="27"/>
      <c r="XFB2018" s="27"/>
      <c r="XFC2018" s="27"/>
      <c r="XFD2018" s="27"/>
    </row>
    <row r="2019" s="42" customFormat="true" ht="14.15" hidden="false" customHeight="true" outlineLevel="0" collapsed="false">
      <c r="A2019" s="28" t="s">
        <v>10951</v>
      </c>
      <c r="B2019" s="29" t="s">
        <v>1749</v>
      </c>
      <c r="C2019" s="29" t="s">
        <v>10952</v>
      </c>
      <c r="D2019" s="30" t="s">
        <v>172</v>
      </c>
      <c r="E2019" s="31"/>
      <c r="F2019" s="32" t="n">
        <v>71</v>
      </c>
      <c r="G2019" s="31"/>
      <c r="H2019" s="31" t="n">
        <v>1</v>
      </c>
      <c r="I2019" s="31" t="s">
        <v>51</v>
      </c>
      <c r="J2019" s="29"/>
      <c r="K2019" s="29" t="s">
        <v>10953</v>
      </c>
      <c r="L2019" s="32" t="n">
        <v>15</v>
      </c>
      <c r="M2019" s="33" t="s">
        <v>481</v>
      </c>
      <c r="N2019" s="34" t="n">
        <v>75015</v>
      </c>
      <c r="O2019" s="35" t="s">
        <v>55</v>
      </c>
      <c r="P2019" s="36" t="s">
        <v>10954</v>
      </c>
      <c r="Q2019" s="36" t="n">
        <v>1</v>
      </c>
      <c r="R2019" s="32" t="n">
        <v>51</v>
      </c>
      <c r="S2019" s="32" t="n">
        <v>0</v>
      </c>
      <c r="T2019" s="43" t="s">
        <v>1107</v>
      </c>
      <c r="U2019" s="32"/>
      <c r="V2019" s="37"/>
      <c r="W2019" s="32"/>
      <c r="X2019" s="34"/>
      <c r="Y2019" s="34"/>
      <c r="Z2019" s="32"/>
      <c r="AA2019" s="32" t="s">
        <v>10955</v>
      </c>
      <c r="AB2019" s="32"/>
      <c r="AC2019" s="38" t="str">
        <f aca="false">HYPERLINK("https://biocodex6--c.vf.force.com/0014L00000KG1QCQA1", "SFEZ DANIELE")</f>
        <v>SFEZ DANIELE</v>
      </c>
      <c r="AD2019" s="38"/>
      <c r="AE2019" s="39"/>
      <c r="AF2019" s="40"/>
      <c r="AG2019" s="41"/>
      <c r="AH2019" s="32"/>
      <c r="AI2019" s="32"/>
      <c r="AL2019" s="32"/>
      <c r="AM2019" s="32"/>
      <c r="AN2019" s="32"/>
      <c r="AO2019" s="32"/>
      <c r="AP2019" s="32"/>
      <c r="AQ2019" s="32"/>
      <c r="AR2019" s="32"/>
      <c r="AS2019" s="32"/>
      <c r="AT2019" s="32"/>
      <c r="AU2019" s="32"/>
      <c r="XEY2019" s="27"/>
      <c r="XEZ2019" s="27"/>
      <c r="XFA2019" s="27"/>
      <c r="XFB2019" s="27"/>
      <c r="XFC2019" s="27"/>
      <c r="XFD2019" s="27"/>
    </row>
    <row r="2020" s="42" customFormat="true" ht="14.15" hidden="false" customHeight="true" outlineLevel="0" collapsed="false">
      <c r="A2020" s="28" t="s">
        <v>10956</v>
      </c>
      <c r="B2020" s="29" t="s">
        <v>10957</v>
      </c>
      <c r="C2020" s="29" t="s">
        <v>10958</v>
      </c>
      <c r="D2020" s="30" t="s">
        <v>172</v>
      </c>
      <c r="E2020" s="31"/>
      <c r="F2020" s="32" t="n">
        <v>57</v>
      </c>
      <c r="G2020" s="31"/>
      <c r="H2020" s="31" t="n">
        <v>1</v>
      </c>
      <c r="I2020" s="31" t="s">
        <v>51</v>
      </c>
      <c r="J2020" s="29"/>
      <c r="K2020" s="29" t="s">
        <v>10959</v>
      </c>
      <c r="L2020" s="32" t="n">
        <v>104</v>
      </c>
      <c r="M2020" s="33" t="s">
        <v>3548</v>
      </c>
      <c r="N2020" s="34" t="n">
        <v>75015</v>
      </c>
      <c r="O2020" s="35" t="s">
        <v>55</v>
      </c>
      <c r="P2020" s="36" t="s">
        <v>10960</v>
      </c>
      <c r="Q2020" s="36" t="n">
        <v>1</v>
      </c>
      <c r="R2020" s="32" t="n">
        <v>51</v>
      </c>
      <c r="S2020" s="32" t="n">
        <v>0</v>
      </c>
      <c r="T2020" s="43" t="s">
        <v>316</v>
      </c>
      <c r="U2020" s="32"/>
      <c r="V2020" s="37"/>
      <c r="W2020" s="32"/>
      <c r="X2020" s="34"/>
      <c r="Y2020" s="34"/>
      <c r="Z2020" s="32"/>
      <c r="AA2020" s="32" t="s">
        <v>10961</v>
      </c>
      <c r="AB2020" s="32"/>
      <c r="AC2020" s="38" t="str">
        <f aca="false">HYPERLINK("https://biocodex6--c.vf.force.com/0014L00000KG4aiQAD", "TURCAS CRISTINA")</f>
        <v>TURCAS CRISTINA</v>
      </c>
      <c r="AD2020" s="38"/>
      <c r="AE2020" s="39"/>
      <c r="AF2020" s="40"/>
      <c r="AG2020" s="41"/>
      <c r="AH2020" s="32"/>
      <c r="AI2020" s="32"/>
      <c r="AL2020" s="32"/>
      <c r="AM2020" s="32"/>
      <c r="AN2020" s="32"/>
      <c r="AO2020" s="32"/>
      <c r="AP2020" s="32"/>
      <c r="AQ2020" s="32"/>
      <c r="AR2020" s="32"/>
      <c r="AS2020" s="32"/>
      <c r="AT2020" s="32"/>
      <c r="AU2020" s="32"/>
      <c r="XEY2020" s="27"/>
      <c r="XEZ2020" s="27"/>
      <c r="XFA2020" s="27"/>
      <c r="XFB2020" s="27"/>
      <c r="XFC2020" s="27"/>
      <c r="XFD2020" s="27"/>
    </row>
    <row r="2021" s="42" customFormat="true" ht="14.15" hidden="false" customHeight="true" outlineLevel="0" collapsed="false">
      <c r="A2021" s="28" t="s">
        <v>10962</v>
      </c>
      <c r="B2021" s="29" t="s">
        <v>10963</v>
      </c>
      <c r="C2021" s="29" t="s">
        <v>10964</v>
      </c>
      <c r="D2021" s="30" t="s">
        <v>172</v>
      </c>
      <c r="E2021" s="31"/>
      <c r="F2021" s="32" t="n">
        <v>76</v>
      </c>
      <c r="G2021" s="31"/>
      <c r="H2021" s="31" t="n">
        <v>1</v>
      </c>
      <c r="I2021" s="31" t="s">
        <v>51</v>
      </c>
      <c r="J2021" s="29"/>
      <c r="K2021" s="29" t="s">
        <v>10965</v>
      </c>
      <c r="L2021" s="32" t="n">
        <v>4</v>
      </c>
      <c r="M2021" s="33" t="s">
        <v>4091</v>
      </c>
      <c r="N2021" s="34" t="n">
        <v>75015</v>
      </c>
      <c r="O2021" s="35" t="s">
        <v>55</v>
      </c>
      <c r="P2021" s="36" t="s">
        <v>10966</v>
      </c>
      <c r="Q2021" s="36" t="n">
        <v>1</v>
      </c>
      <c r="R2021" s="36" t="n">
        <v>51</v>
      </c>
      <c r="S2021" s="32" t="n">
        <v>0</v>
      </c>
      <c r="T2021" s="43" t="s">
        <v>2189</v>
      </c>
      <c r="U2021" s="32"/>
      <c r="V2021" s="37"/>
      <c r="W2021" s="32"/>
      <c r="X2021" s="34"/>
      <c r="Y2021" s="34"/>
      <c r="Z2021" s="32"/>
      <c r="AA2021" s="32" t="s">
        <v>10967</v>
      </c>
      <c r="AB2021" s="32"/>
      <c r="AC2021" s="38" t="str">
        <f aca="false">HYPERLINK("https://biocodex6--c.vf.force.com/0014L00000KG2eZQAT", "TASLITZKY EVELYNE")</f>
        <v>TASLITZKY EVELYNE</v>
      </c>
      <c r="AD2021" s="38"/>
      <c r="AE2021" s="39"/>
      <c r="AF2021" s="40"/>
      <c r="AG2021" s="41"/>
      <c r="AH2021" s="32"/>
      <c r="AI2021" s="32"/>
      <c r="AL2021" s="32"/>
      <c r="AM2021" s="32"/>
      <c r="AN2021" s="32"/>
      <c r="AO2021" s="32"/>
      <c r="AP2021" s="32"/>
      <c r="AQ2021" s="32"/>
      <c r="AR2021" s="32"/>
      <c r="AS2021" s="32"/>
      <c r="AT2021" s="32"/>
      <c r="AU2021" s="32"/>
      <c r="XEY2021" s="27"/>
      <c r="XEZ2021" s="27"/>
      <c r="XFA2021" s="27"/>
      <c r="XFB2021" s="27"/>
      <c r="XFC2021" s="27"/>
      <c r="XFD2021" s="27"/>
    </row>
    <row r="2022" s="42" customFormat="true" ht="14.15" hidden="false" customHeight="true" outlineLevel="0" collapsed="false">
      <c r="A2022" s="28" t="s">
        <v>10968</v>
      </c>
      <c r="B2022" s="29" t="s">
        <v>10963</v>
      </c>
      <c r="C2022" s="29" t="s">
        <v>10969</v>
      </c>
      <c r="D2022" s="30" t="s">
        <v>172</v>
      </c>
      <c r="E2022" s="31"/>
      <c r="F2022" s="32" t="n">
        <v>83</v>
      </c>
      <c r="G2022" s="31"/>
      <c r="H2022" s="31" t="n">
        <v>1</v>
      </c>
      <c r="I2022" s="31" t="s">
        <v>435</v>
      </c>
      <c r="J2022" s="29"/>
      <c r="K2022" s="29" t="s">
        <v>10970</v>
      </c>
      <c r="L2022" s="32" t="n">
        <v>76</v>
      </c>
      <c r="M2022" s="33" t="s">
        <v>2883</v>
      </c>
      <c r="N2022" s="34" t="n">
        <v>75016</v>
      </c>
      <c r="O2022" s="35" t="s">
        <v>55</v>
      </c>
      <c r="P2022" s="36" t="s">
        <v>10971</v>
      </c>
      <c r="Q2022" s="36" t="n">
        <v>1</v>
      </c>
      <c r="R2022" s="32" t="n">
        <v>51</v>
      </c>
      <c r="S2022" s="32" t="n">
        <v>0</v>
      </c>
      <c r="T2022" s="43" t="s">
        <v>316</v>
      </c>
      <c r="U2022" s="32"/>
      <c r="V2022" s="37"/>
      <c r="W2022" s="32"/>
      <c r="X2022" s="34"/>
      <c r="Y2022" s="34"/>
      <c r="Z2022" s="32"/>
      <c r="AA2022" s="32" t="s">
        <v>10972</v>
      </c>
      <c r="AB2022" s="32"/>
      <c r="AC2022" s="38" t="str">
        <f aca="false">HYPERLINK("https://biocodex6--c.vf.force.com/0014L00000KFvkcQAD", "PEWZNER APELOIG EVELYNE")</f>
        <v>PEWZNER APELOIG EVELYNE</v>
      </c>
      <c r="AD2022" s="38"/>
      <c r="AE2022" s="39"/>
      <c r="AF2022" s="40"/>
      <c r="AG2022" s="41"/>
      <c r="AH2022" s="32"/>
      <c r="AI2022" s="32"/>
      <c r="AL2022" s="32"/>
      <c r="AM2022" s="32"/>
      <c r="AN2022" s="32"/>
      <c r="AO2022" s="32"/>
      <c r="AP2022" s="32"/>
      <c r="AQ2022" s="32"/>
      <c r="AR2022" s="32"/>
      <c r="AS2022" s="32"/>
      <c r="AT2022" s="32"/>
      <c r="AU2022" s="32"/>
      <c r="XEY2022" s="27"/>
      <c r="XEZ2022" s="27"/>
      <c r="XFA2022" s="27"/>
      <c r="XFB2022" s="27"/>
      <c r="XFC2022" s="27"/>
      <c r="XFD2022" s="27"/>
    </row>
    <row r="2023" s="42" customFormat="true" ht="14.15" hidden="false" customHeight="true" outlineLevel="0" collapsed="false">
      <c r="A2023" s="28" t="s">
        <v>10973</v>
      </c>
      <c r="B2023" s="29" t="s">
        <v>3439</v>
      </c>
      <c r="C2023" s="29" t="s">
        <v>10974</v>
      </c>
      <c r="D2023" s="30" t="s">
        <v>172</v>
      </c>
      <c r="E2023" s="31"/>
      <c r="F2023" s="32" t="n">
        <v>69</v>
      </c>
      <c r="G2023" s="31"/>
      <c r="H2023" s="31" t="n">
        <v>1</v>
      </c>
      <c r="I2023" s="31" t="s">
        <v>435</v>
      </c>
      <c r="J2023" s="29"/>
      <c r="K2023" s="29" t="s">
        <v>10975</v>
      </c>
      <c r="L2023" s="32" t="n">
        <v>12</v>
      </c>
      <c r="M2023" s="33" t="s">
        <v>10976</v>
      </c>
      <c r="N2023" s="34" t="n">
        <v>75016</v>
      </c>
      <c r="O2023" s="35" t="s">
        <v>55</v>
      </c>
      <c r="P2023" s="36" t="s">
        <v>10977</v>
      </c>
      <c r="Q2023" s="36" t="n">
        <v>1</v>
      </c>
      <c r="R2023" s="32" t="n">
        <v>51</v>
      </c>
      <c r="S2023" s="32" t="n">
        <v>0</v>
      </c>
      <c r="T2023" s="43" t="s">
        <v>316</v>
      </c>
      <c r="U2023" s="32"/>
      <c r="V2023" s="37"/>
      <c r="W2023" s="32"/>
      <c r="X2023" s="34"/>
      <c r="Y2023" s="34"/>
      <c r="Z2023" s="32"/>
      <c r="AA2023" s="32" t="s">
        <v>10978</v>
      </c>
      <c r="AB2023" s="32"/>
      <c r="AC2023" s="38" t="str">
        <f aca="false">HYPERLINK("https://biocodex6--c.vf.force.com/0014L00000KFrqfQAD", "MICHON RAFFAITIN PASCALE")</f>
        <v>MICHON RAFFAITIN PASCALE</v>
      </c>
      <c r="AD2023" s="38"/>
      <c r="AE2023" s="39"/>
      <c r="AF2023" s="40"/>
      <c r="AG2023" s="41"/>
      <c r="AH2023" s="32"/>
      <c r="AI2023" s="32"/>
      <c r="AL2023" s="32"/>
      <c r="AM2023" s="32"/>
      <c r="AN2023" s="32"/>
      <c r="AO2023" s="32"/>
      <c r="AP2023" s="32"/>
      <c r="AQ2023" s="32"/>
      <c r="AR2023" s="32"/>
      <c r="AS2023" s="32"/>
      <c r="AT2023" s="32"/>
      <c r="AU2023" s="32"/>
      <c r="XEY2023" s="27"/>
      <c r="XEZ2023" s="27"/>
      <c r="XFA2023" s="27"/>
      <c r="XFB2023" s="27"/>
      <c r="XFC2023" s="27"/>
      <c r="XFD2023" s="27"/>
    </row>
    <row r="2024" s="42" customFormat="true" ht="14.15" hidden="false" customHeight="true" outlineLevel="0" collapsed="false">
      <c r="A2024" s="28" t="s">
        <v>10979</v>
      </c>
      <c r="B2024" s="29" t="s">
        <v>1438</v>
      </c>
      <c r="C2024" s="29" t="s">
        <v>10980</v>
      </c>
      <c r="D2024" s="30" t="s">
        <v>172</v>
      </c>
      <c r="E2024" s="31"/>
      <c r="F2024" s="32" t="n">
        <v>50</v>
      </c>
      <c r="G2024" s="31"/>
      <c r="H2024" s="31" t="n">
        <v>1</v>
      </c>
      <c r="I2024" s="31" t="s">
        <v>233</v>
      </c>
      <c r="J2024" s="29"/>
      <c r="K2024" s="29" t="s">
        <v>10981</v>
      </c>
      <c r="L2024" s="32" t="n">
        <v>9</v>
      </c>
      <c r="M2024" s="33" t="s">
        <v>10982</v>
      </c>
      <c r="N2024" s="34" t="n">
        <v>75015</v>
      </c>
      <c r="O2024" s="35" t="s">
        <v>55</v>
      </c>
      <c r="P2024" s="36" t="s">
        <v>10983</v>
      </c>
      <c r="Q2024" s="36" t="n">
        <v>1</v>
      </c>
      <c r="R2024" s="32" t="n">
        <v>51</v>
      </c>
      <c r="S2024" s="32" t="n">
        <v>0</v>
      </c>
      <c r="T2024" s="43" t="s">
        <v>316</v>
      </c>
      <c r="U2024" s="32"/>
      <c r="V2024" s="37"/>
      <c r="W2024" s="32"/>
      <c r="X2024" s="34"/>
      <c r="Y2024" s="34"/>
      <c r="Z2024" s="32"/>
      <c r="AA2024" s="32" t="s">
        <v>10984</v>
      </c>
      <c r="AB2024" s="32"/>
      <c r="AC2024" s="38" t="str">
        <f aca="false">HYPERLINK("https://biocodex6--c.vf.force.com/0014L00000KFrvTQAT", "MAILLOL JULIE")</f>
        <v>MAILLOL JULIE</v>
      </c>
      <c r="AD2024" s="38"/>
      <c r="AE2024" s="39"/>
      <c r="AF2024" s="40"/>
      <c r="AG2024" s="41"/>
      <c r="AH2024" s="32"/>
      <c r="AI2024" s="32"/>
      <c r="AL2024" s="32"/>
      <c r="AM2024" s="32"/>
      <c r="AN2024" s="32"/>
      <c r="AO2024" s="32"/>
      <c r="AP2024" s="32"/>
      <c r="AQ2024" s="32"/>
      <c r="AR2024" s="32"/>
      <c r="AS2024" s="32"/>
      <c r="AT2024" s="32"/>
      <c r="AU2024" s="32"/>
      <c r="XEY2024" s="27"/>
      <c r="XEZ2024" s="27"/>
      <c r="XFA2024" s="27"/>
      <c r="XFB2024" s="27"/>
      <c r="XFC2024" s="27"/>
      <c r="XFD2024" s="27"/>
    </row>
    <row r="2025" s="42" customFormat="true" ht="14.15" hidden="false" customHeight="true" outlineLevel="0" collapsed="false">
      <c r="A2025" s="28" t="s">
        <v>10985</v>
      </c>
      <c r="B2025" s="29" t="s">
        <v>1968</v>
      </c>
      <c r="C2025" s="29" t="s">
        <v>10986</v>
      </c>
      <c r="D2025" s="30" t="s">
        <v>172</v>
      </c>
      <c r="E2025" s="31"/>
      <c r="F2025" s="32" t="n">
        <v>46</v>
      </c>
      <c r="G2025" s="31"/>
      <c r="H2025" s="31" t="n">
        <v>1</v>
      </c>
      <c r="I2025" s="31" t="s">
        <v>119</v>
      </c>
      <c r="J2025" s="29"/>
      <c r="K2025" s="29" t="s">
        <v>9769</v>
      </c>
      <c r="L2025" s="32" t="n">
        <v>12</v>
      </c>
      <c r="M2025" s="33" t="s">
        <v>9770</v>
      </c>
      <c r="N2025" s="34" t="n">
        <v>75007</v>
      </c>
      <c r="O2025" s="35" t="s">
        <v>55</v>
      </c>
      <c r="P2025" s="36" t="s">
        <v>9771</v>
      </c>
      <c r="Q2025" s="36" t="n">
        <v>2</v>
      </c>
      <c r="R2025" s="32" t="n">
        <v>50</v>
      </c>
      <c r="S2025" s="32" t="n">
        <v>0</v>
      </c>
      <c r="T2025" s="43" t="s">
        <v>316</v>
      </c>
      <c r="U2025" s="32"/>
      <c r="V2025" s="37"/>
      <c r="W2025" s="32"/>
      <c r="X2025" s="34"/>
      <c r="Y2025" s="34"/>
      <c r="Z2025" s="32"/>
      <c r="AA2025" s="32" t="s">
        <v>10987</v>
      </c>
      <c r="AB2025" s="32"/>
      <c r="AC2025" s="38" t="str">
        <f aca="false">HYPERLINK("https://biocodex6--c.vf.force.com/0014L00000KFUORQA5", "BISAC SEBASTIEN")</f>
        <v>BISAC SEBASTIEN</v>
      </c>
      <c r="AD2025" s="38"/>
      <c r="AE2025" s="39"/>
      <c r="AF2025" s="40"/>
      <c r="AG2025" s="41"/>
      <c r="AH2025" s="32"/>
      <c r="AI2025" s="32"/>
      <c r="AL2025" s="32"/>
      <c r="AM2025" s="32"/>
      <c r="AN2025" s="32"/>
      <c r="AO2025" s="32"/>
      <c r="AP2025" s="32"/>
      <c r="AQ2025" s="32"/>
      <c r="AR2025" s="32"/>
      <c r="AS2025" s="32"/>
      <c r="AT2025" s="32"/>
      <c r="AU2025" s="32"/>
      <c r="XEY2025" s="27"/>
      <c r="XEZ2025" s="27"/>
      <c r="XFA2025" s="27"/>
      <c r="XFB2025" s="27"/>
      <c r="XFC2025" s="27"/>
      <c r="XFD2025" s="27"/>
    </row>
    <row r="2026" s="42" customFormat="true" ht="14.15" hidden="false" customHeight="true" outlineLevel="0" collapsed="false">
      <c r="A2026" s="28" t="s">
        <v>10988</v>
      </c>
      <c r="B2026" s="29" t="s">
        <v>9626</v>
      </c>
      <c r="C2026" s="29" t="s">
        <v>10989</v>
      </c>
      <c r="D2026" s="30" t="s">
        <v>172</v>
      </c>
      <c r="E2026" s="31"/>
      <c r="F2026" s="32" t="n">
        <v>80</v>
      </c>
      <c r="G2026" s="31"/>
      <c r="H2026" s="31" t="n">
        <v>1</v>
      </c>
      <c r="I2026" s="31" t="s">
        <v>99</v>
      </c>
      <c r="J2026" s="29"/>
      <c r="K2026" s="29" t="s">
        <v>9312</v>
      </c>
      <c r="L2026" s="32" t="n">
        <v>39</v>
      </c>
      <c r="M2026" s="33" t="s">
        <v>892</v>
      </c>
      <c r="N2026" s="34" t="n">
        <v>75015</v>
      </c>
      <c r="O2026" s="35" t="s">
        <v>55</v>
      </c>
      <c r="P2026" s="36" t="s">
        <v>9313</v>
      </c>
      <c r="Q2026" s="36" t="n">
        <v>2</v>
      </c>
      <c r="R2026" s="32" t="n">
        <v>44</v>
      </c>
      <c r="S2026" s="32" t="n">
        <v>0</v>
      </c>
      <c r="T2026" s="43" t="s">
        <v>316</v>
      </c>
      <c r="U2026" s="32"/>
      <c r="V2026" s="37"/>
      <c r="W2026" s="32"/>
      <c r="X2026" s="34"/>
      <c r="Y2026" s="34"/>
      <c r="Z2026" s="32"/>
      <c r="AA2026" s="32" t="s">
        <v>10990</v>
      </c>
      <c r="AB2026" s="32"/>
      <c r="AC2026" s="38" t="str">
        <f aca="false">HYPERLINK("https://biocodex6--c.vf.force.com/0014L00000KFUK7QAP", "BIRCK GISELE")</f>
        <v>BIRCK GISELE</v>
      </c>
      <c r="AD2026" s="38"/>
      <c r="AE2026" s="39"/>
      <c r="AF2026" s="40"/>
      <c r="AG2026" s="41"/>
      <c r="AH2026" s="32"/>
      <c r="AI2026" s="32"/>
      <c r="AL2026" s="32"/>
      <c r="AM2026" s="32"/>
      <c r="AN2026" s="32"/>
      <c r="AO2026" s="32"/>
      <c r="AP2026" s="32"/>
      <c r="AQ2026" s="32"/>
      <c r="AR2026" s="32"/>
      <c r="AS2026" s="32"/>
      <c r="AT2026" s="32"/>
      <c r="AU2026" s="32"/>
      <c r="XEY2026" s="27"/>
      <c r="XEZ2026" s="27"/>
      <c r="XFA2026" s="27"/>
      <c r="XFB2026" s="27"/>
      <c r="XFC2026" s="27"/>
      <c r="XFD2026" s="27"/>
    </row>
    <row r="2027" s="42" customFormat="true" ht="14.15" hidden="false" customHeight="true" outlineLevel="0" collapsed="false">
      <c r="A2027" s="28" t="s">
        <v>10991</v>
      </c>
      <c r="B2027" s="29" t="s">
        <v>1057</v>
      </c>
      <c r="C2027" s="29" t="s">
        <v>10992</v>
      </c>
      <c r="D2027" s="30" t="s">
        <v>172</v>
      </c>
      <c r="E2027" s="31"/>
      <c r="F2027" s="32" t="n">
        <v>66</v>
      </c>
      <c r="G2027" s="31"/>
      <c r="H2027" s="31" t="n">
        <v>1</v>
      </c>
      <c r="I2027" s="31" t="s">
        <v>99</v>
      </c>
      <c r="J2027" s="29" t="s">
        <v>595</v>
      </c>
      <c r="K2027" s="29" t="s">
        <v>596</v>
      </c>
      <c r="L2027" s="32" t="n">
        <v>20</v>
      </c>
      <c r="M2027" s="33" t="s">
        <v>597</v>
      </c>
      <c r="N2027" s="34" t="n">
        <v>75015</v>
      </c>
      <c r="O2027" s="35" t="s">
        <v>55</v>
      </c>
      <c r="P2027" s="36" t="s">
        <v>9720</v>
      </c>
      <c r="Q2027" s="36" t="n">
        <v>90</v>
      </c>
      <c r="R2027" s="32" t="n">
        <v>44</v>
      </c>
      <c r="S2027" s="32" t="n">
        <v>0</v>
      </c>
      <c r="T2027" s="43" t="s">
        <v>316</v>
      </c>
      <c r="U2027" s="32"/>
      <c r="V2027" s="37"/>
      <c r="W2027" s="32"/>
      <c r="X2027" s="34"/>
      <c r="Y2027" s="34"/>
      <c r="Z2027" s="32"/>
      <c r="AA2027" s="32" t="s">
        <v>10993</v>
      </c>
      <c r="AB2027" s="32"/>
      <c r="AC2027" s="38" t="str">
        <f aca="false">HYPERLINK("https://biocodex6--c.vf.force.com/0014L00000KFv9bQAD", "PELICIER NICOLE")</f>
        <v>PELICIER NICOLE</v>
      </c>
      <c r="AD2027" s="38"/>
      <c r="AE2027" s="39"/>
      <c r="AF2027" s="40"/>
      <c r="AG2027" s="41"/>
      <c r="AH2027" s="32"/>
      <c r="AI2027" s="32"/>
      <c r="AL2027" s="32"/>
      <c r="AM2027" s="32"/>
      <c r="AN2027" s="32"/>
      <c r="AO2027" s="32"/>
      <c r="AP2027" s="32"/>
      <c r="AQ2027" s="32"/>
      <c r="AR2027" s="32"/>
      <c r="AS2027" s="32"/>
      <c r="AT2027" s="32"/>
      <c r="AU2027" s="32"/>
      <c r="XEY2027" s="27"/>
      <c r="XEZ2027" s="27"/>
      <c r="XFA2027" s="27"/>
      <c r="XFB2027" s="27"/>
      <c r="XFC2027" s="27"/>
      <c r="XFD2027" s="27"/>
    </row>
    <row r="2028" s="42" customFormat="true" ht="14.15" hidden="false" customHeight="true" outlineLevel="0" collapsed="false">
      <c r="A2028" s="28" t="s">
        <v>10994</v>
      </c>
      <c r="B2028" s="29" t="s">
        <v>1584</v>
      </c>
      <c r="C2028" s="29" t="s">
        <v>10995</v>
      </c>
      <c r="D2028" s="30" t="s">
        <v>172</v>
      </c>
      <c r="E2028" s="30" t="s">
        <v>1103</v>
      </c>
      <c r="F2028" s="32" t="n">
        <v>60</v>
      </c>
      <c r="G2028" s="31"/>
      <c r="H2028" s="31" t="n">
        <v>2</v>
      </c>
      <c r="I2028" s="31" t="s">
        <v>51</v>
      </c>
      <c r="J2028" s="29" t="s">
        <v>52</v>
      </c>
      <c r="K2028" s="29" t="s">
        <v>53</v>
      </c>
      <c r="L2028" s="32" t="n">
        <v>149</v>
      </c>
      <c r="M2028" s="33" t="s">
        <v>54</v>
      </c>
      <c r="N2028" s="34" t="n">
        <v>75015</v>
      </c>
      <c r="O2028" s="35" t="s">
        <v>55</v>
      </c>
      <c r="P2028" s="36" t="s">
        <v>1609</v>
      </c>
      <c r="Q2028" s="36" t="n">
        <v>236</v>
      </c>
      <c r="R2028" s="32" t="n">
        <v>42</v>
      </c>
      <c r="S2028" s="32" t="n">
        <v>0</v>
      </c>
      <c r="T2028" s="43" t="s">
        <v>4813</v>
      </c>
      <c r="U2028" s="32"/>
      <c r="V2028" s="37"/>
      <c r="W2028" s="32"/>
      <c r="X2028" s="34"/>
      <c r="Y2028" s="34"/>
      <c r="Z2028" s="32"/>
      <c r="AA2028" s="32" t="s">
        <v>10996</v>
      </c>
      <c r="AB2028" s="44"/>
      <c r="AC2028" s="38" t="str">
        <f aca="false">HYPERLINK("https://biocodex6--c.vf.force.com/0014L00000KFyoFQAT", "ROBEL LAURENCE")</f>
        <v>ROBEL LAURENCE</v>
      </c>
      <c r="AD2028" s="38"/>
      <c r="AE2028" s="39"/>
      <c r="AF2028" s="40"/>
      <c r="AG2028" s="41"/>
      <c r="AH2028" s="32" t="s">
        <v>2191</v>
      </c>
      <c r="AI2028" s="32" t="s">
        <v>2191</v>
      </c>
      <c r="AJ2028" s="42" t="s">
        <v>10997</v>
      </c>
      <c r="AL2028" s="32"/>
      <c r="AM2028" s="32"/>
      <c r="AN2028" s="32"/>
      <c r="AO2028" s="32"/>
      <c r="AP2028" s="32"/>
      <c r="AQ2028" s="32"/>
      <c r="AR2028" s="32"/>
      <c r="AS2028" s="32"/>
      <c r="AT2028" s="32"/>
      <c r="AU2028" s="32"/>
      <c r="XEY2028" s="27"/>
      <c r="XEZ2028" s="27"/>
      <c r="XFA2028" s="27"/>
      <c r="XFB2028" s="27"/>
      <c r="XFC2028" s="27"/>
      <c r="XFD2028" s="27"/>
    </row>
    <row r="2029" s="42" customFormat="true" ht="14.15" hidden="false" customHeight="true" outlineLevel="0" collapsed="false">
      <c r="A2029" s="28" t="s">
        <v>10998</v>
      </c>
      <c r="B2029" s="29" t="s">
        <v>5792</v>
      </c>
      <c r="C2029" s="29" t="s">
        <v>10999</v>
      </c>
      <c r="D2029" s="30" t="s">
        <v>1103</v>
      </c>
      <c r="E2029" s="31"/>
      <c r="F2029" s="32" t="n">
        <v>78</v>
      </c>
      <c r="G2029" s="31"/>
      <c r="H2029" s="31" t="n">
        <v>1</v>
      </c>
      <c r="I2029" s="31" t="s">
        <v>173</v>
      </c>
      <c r="J2029" s="29"/>
      <c r="K2029" s="29" t="s">
        <v>1104</v>
      </c>
      <c r="L2029" s="32" t="n">
        <v>6</v>
      </c>
      <c r="M2029" s="33" t="s">
        <v>1105</v>
      </c>
      <c r="N2029" s="34" t="n">
        <v>75016</v>
      </c>
      <c r="O2029" s="35" t="s">
        <v>55</v>
      </c>
      <c r="P2029" s="36" t="s">
        <v>1106</v>
      </c>
      <c r="Q2029" s="36" t="n">
        <v>3</v>
      </c>
      <c r="R2029" s="32" t="n">
        <v>40</v>
      </c>
      <c r="S2029" s="32" t="n">
        <v>0</v>
      </c>
      <c r="T2029" s="43" t="s">
        <v>1610</v>
      </c>
      <c r="U2029" s="32" t="n">
        <v>3</v>
      </c>
      <c r="V2029" s="37"/>
      <c r="W2029" s="32"/>
      <c r="X2029" s="34"/>
      <c r="Y2029" s="34"/>
      <c r="Z2029" s="36"/>
      <c r="AA2029" s="32" t="s">
        <v>11000</v>
      </c>
      <c r="AB2029" s="32"/>
      <c r="AC2029" s="38" t="str">
        <f aca="false">HYPERLINK("https://biocodex6--c.vf.force.com/0014L00000KFVWAQA5", "CONTEJEAN YVES")</f>
        <v>CONTEJEAN YVES</v>
      </c>
      <c r="AD2029" s="38"/>
      <c r="AE2029" s="39"/>
      <c r="AF2029" s="40"/>
      <c r="AG2029" s="41"/>
      <c r="AH2029" s="32" t="s">
        <v>179</v>
      </c>
      <c r="AI2029" s="32"/>
      <c r="AL2029" s="32"/>
      <c r="AM2029" s="32"/>
      <c r="AN2029" s="32"/>
      <c r="AO2029" s="32"/>
      <c r="AP2029" s="32"/>
      <c r="AQ2029" s="32"/>
      <c r="AR2029" s="32"/>
      <c r="AS2029" s="32"/>
      <c r="AT2029" s="32"/>
      <c r="AU2029" s="32"/>
      <c r="XEY2029" s="27"/>
      <c r="XEZ2029" s="27"/>
      <c r="XFA2029" s="27"/>
      <c r="XFB2029" s="27"/>
      <c r="XFC2029" s="27"/>
      <c r="XFD2029" s="27"/>
    </row>
    <row r="2030" s="42" customFormat="true" ht="14.15" hidden="false" customHeight="true" outlineLevel="0" collapsed="false">
      <c r="A2030" s="28" t="s">
        <v>11001</v>
      </c>
      <c r="B2030" s="29" t="s">
        <v>399</v>
      </c>
      <c r="C2030" s="29" t="s">
        <v>11002</v>
      </c>
      <c r="D2030" s="30" t="s">
        <v>50</v>
      </c>
      <c r="E2030" s="30" t="s">
        <v>2401</v>
      </c>
      <c r="F2030" s="32" t="n">
        <v>68</v>
      </c>
      <c r="G2030" s="31"/>
      <c r="H2030" s="31" t="n">
        <v>1</v>
      </c>
      <c r="I2030" s="31" t="s">
        <v>197</v>
      </c>
      <c r="J2030" s="29"/>
      <c r="K2030" s="29" t="s">
        <v>11003</v>
      </c>
      <c r="L2030" s="32" t="n">
        <v>5</v>
      </c>
      <c r="M2030" s="33" t="s">
        <v>11004</v>
      </c>
      <c r="N2030" s="34" t="n">
        <v>75017</v>
      </c>
      <c r="O2030" s="35" t="s">
        <v>55</v>
      </c>
      <c r="P2030" s="36" t="s">
        <v>11005</v>
      </c>
      <c r="Q2030" s="36" t="n">
        <v>1</v>
      </c>
      <c r="R2030" s="32" t="n">
        <v>20</v>
      </c>
      <c r="S2030" s="32" t="n">
        <v>0</v>
      </c>
      <c r="T2030" s="32"/>
      <c r="U2030" s="32"/>
      <c r="V2030" s="37"/>
      <c r="W2030" s="32"/>
      <c r="X2030" s="34"/>
      <c r="Y2030" s="34"/>
      <c r="Z2030" s="32"/>
      <c r="AA2030" s="32" t="s">
        <v>11006</v>
      </c>
      <c r="AB2030" s="32"/>
      <c r="AC2030" s="38" t="str">
        <f aca="false">HYPERLINK("https://biocodex6--c.vf.force.com/001Py000001m869IAA", "TANTET OLIVIER")</f>
        <v>TANTET OLIVIER</v>
      </c>
      <c r="AD2030" s="38"/>
      <c r="AE2030" s="39"/>
      <c r="AF2030" s="40"/>
      <c r="AG2030" s="41"/>
      <c r="AH2030" s="32"/>
      <c r="AI2030" s="32"/>
      <c r="AL2030" s="32"/>
      <c r="AM2030" s="32"/>
      <c r="AN2030" s="32"/>
      <c r="AO2030" s="32"/>
      <c r="AP2030" s="32"/>
      <c r="AQ2030" s="32"/>
      <c r="AR2030" s="32"/>
      <c r="AS2030" s="32"/>
      <c r="AT2030" s="32"/>
      <c r="AU2030" s="32"/>
      <c r="XEY2030" s="27"/>
      <c r="XEZ2030" s="27"/>
      <c r="XFA2030" s="27"/>
      <c r="XFB2030" s="27"/>
      <c r="XFC2030" s="27"/>
      <c r="XFD2030" s="27"/>
    </row>
    <row r="2031" s="42" customFormat="true" ht="14.15" hidden="false" customHeight="true" outlineLevel="0" collapsed="false">
      <c r="A2031" s="28" t="s">
        <v>11007</v>
      </c>
      <c r="B2031" s="29" t="s">
        <v>11008</v>
      </c>
      <c r="C2031" s="29" t="s">
        <v>11009</v>
      </c>
      <c r="D2031" s="30" t="s">
        <v>172</v>
      </c>
      <c r="E2031" s="30" t="s">
        <v>545</v>
      </c>
      <c r="F2031" s="32" t="n">
        <v>43</v>
      </c>
      <c r="G2031" s="31"/>
      <c r="H2031" s="31" t="n">
        <v>2</v>
      </c>
      <c r="I2031" s="31" t="s">
        <v>99</v>
      </c>
      <c r="J2031" s="29"/>
      <c r="K2031" s="29" t="s">
        <v>11010</v>
      </c>
      <c r="L2031" s="32" t="n">
        <v>21</v>
      </c>
      <c r="M2031" s="33" t="s">
        <v>11011</v>
      </c>
      <c r="N2031" s="58" t="n">
        <v>75007</v>
      </c>
      <c r="O2031" s="35" t="s">
        <v>55</v>
      </c>
      <c r="P2031" s="36" t="s">
        <v>11012</v>
      </c>
      <c r="Q2031" s="36" t="n">
        <v>1</v>
      </c>
      <c r="R2031" s="32"/>
      <c r="S2031" s="32" t="n">
        <v>0</v>
      </c>
      <c r="T2031" s="32"/>
      <c r="U2031" s="32"/>
      <c r="V2031" s="37"/>
      <c r="W2031" s="32"/>
      <c r="X2031" s="34"/>
      <c r="Y2031" s="34"/>
      <c r="Z2031" s="32"/>
      <c r="AA2031" s="32" t="s">
        <v>11013</v>
      </c>
      <c r="AB2031" s="44"/>
      <c r="AC2031" s="38" t="str">
        <f aca="false">HYPERLINK("https://biocodex6--c.vf.force.com/0014L00000KFsPxQAL", "MIRKOVIC BOJAN")</f>
        <v>MIRKOVIC BOJAN</v>
      </c>
      <c r="AD2031" s="38"/>
      <c r="AE2031" s="39"/>
      <c r="AF2031" s="40"/>
      <c r="AG2031" s="41"/>
      <c r="AH2031" s="32" t="s">
        <v>2191</v>
      </c>
      <c r="AI2031" s="32" t="s">
        <v>2191</v>
      </c>
      <c r="AJ2031" s="42" t="s">
        <v>11014</v>
      </c>
      <c r="AL2031" s="32"/>
      <c r="AM2031" s="32"/>
      <c r="AN2031" s="32"/>
      <c r="AO2031" s="32"/>
      <c r="AP2031" s="32"/>
      <c r="AQ2031" s="32"/>
      <c r="AR2031" s="32"/>
      <c r="AS2031" s="32"/>
      <c r="AT2031" s="32"/>
      <c r="AU2031" s="32"/>
      <c r="XEY2031" s="27"/>
      <c r="XEZ2031" s="27"/>
      <c r="XFA2031" s="27"/>
      <c r="XFB2031" s="27"/>
      <c r="XFC2031" s="27"/>
      <c r="XFD2031" s="27"/>
    </row>
    <row r="2032" s="42" customFormat="true" ht="14.15" hidden="false" customHeight="true" outlineLevel="0" collapsed="false">
      <c r="A2032" s="28" t="s">
        <v>11015</v>
      </c>
      <c r="B2032" s="29" t="s">
        <v>11016</v>
      </c>
      <c r="C2032" s="29" t="s">
        <v>11017</v>
      </c>
      <c r="D2032" s="30" t="s">
        <v>172</v>
      </c>
      <c r="E2032" s="31"/>
      <c r="F2032" s="32" t="n">
        <v>39</v>
      </c>
      <c r="G2032" s="31"/>
      <c r="H2032" s="31" t="n">
        <v>2</v>
      </c>
      <c r="I2032" s="31" t="s">
        <v>197</v>
      </c>
      <c r="J2032" s="29" t="s">
        <v>1915</v>
      </c>
      <c r="K2032" s="29" t="s">
        <v>1916</v>
      </c>
      <c r="L2032" s="32" t="n">
        <v>17</v>
      </c>
      <c r="M2032" s="33" t="s">
        <v>1917</v>
      </c>
      <c r="N2032" s="34" t="n">
        <v>75017</v>
      </c>
      <c r="O2032" s="35" t="s">
        <v>55</v>
      </c>
      <c r="P2032" s="36" t="s">
        <v>7525</v>
      </c>
      <c r="Q2032" s="36" t="n">
        <v>12</v>
      </c>
      <c r="R2032" s="36"/>
      <c r="S2032" s="32" t="n">
        <v>0</v>
      </c>
      <c r="T2032" s="43" t="s">
        <v>2189</v>
      </c>
      <c r="U2032" s="32"/>
      <c r="V2032" s="37"/>
      <c r="W2032" s="32"/>
      <c r="X2032" s="34"/>
      <c r="Y2032" s="34"/>
      <c r="Z2032" s="32"/>
      <c r="AA2032" s="32" t="s">
        <v>11018</v>
      </c>
      <c r="AB2032" s="32"/>
      <c r="AC2032" s="38" t="str">
        <f aca="false">HYPERLINK("https://biocodex6--c.vf.force.com/0014L00000KFOXlQAP", "ROBERTS DINA")</f>
        <v>ROBERTS DINA</v>
      </c>
      <c r="AD2032" s="38"/>
      <c r="AE2032" s="39"/>
      <c r="AF2032" s="40"/>
      <c r="AG2032" s="41"/>
      <c r="AH2032" s="32"/>
      <c r="AI2032" s="32"/>
      <c r="AL2032" s="32"/>
      <c r="AM2032" s="32"/>
      <c r="AN2032" s="32"/>
      <c r="AO2032" s="32"/>
      <c r="AP2032" s="32"/>
      <c r="AQ2032" s="32"/>
      <c r="AR2032" s="32"/>
      <c r="AS2032" s="32"/>
      <c r="AT2032" s="32"/>
      <c r="AU2032" s="32"/>
      <c r="XEY2032" s="27"/>
      <c r="XEZ2032" s="27"/>
      <c r="XFA2032" s="27"/>
      <c r="XFB2032" s="27"/>
      <c r="XFC2032" s="27"/>
      <c r="XFD2032" s="27"/>
    </row>
    <row r="2033" s="42" customFormat="true" ht="14.15" hidden="false" customHeight="true" outlineLevel="0" collapsed="false">
      <c r="A2033" s="28" t="s">
        <v>10567</v>
      </c>
      <c r="B2033" s="29" t="s">
        <v>7540</v>
      </c>
      <c r="C2033" s="29" t="s">
        <v>11019</v>
      </c>
      <c r="D2033" s="30" t="s">
        <v>50</v>
      </c>
      <c r="E2033" s="31"/>
      <c r="F2033" s="32"/>
      <c r="G2033" s="31" t="s">
        <v>215</v>
      </c>
      <c r="H2033" s="31" t="n">
        <v>3</v>
      </c>
      <c r="I2033" s="31" t="s">
        <v>295</v>
      </c>
      <c r="J2033" s="29" t="s">
        <v>489</v>
      </c>
      <c r="K2033" s="29" t="s">
        <v>1183</v>
      </c>
      <c r="L2033" s="32" t="n">
        <v>4</v>
      </c>
      <c r="M2033" s="33" t="s">
        <v>297</v>
      </c>
      <c r="N2033" s="34" t="n">
        <v>92300</v>
      </c>
      <c r="O2033" s="35" t="s">
        <v>298</v>
      </c>
      <c r="P2033" s="36" t="s">
        <v>11020</v>
      </c>
      <c r="Q2033" s="36" t="n">
        <v>27</v>
      </c>
      <c r="R2033" s="32"/>
      <c r="S2033" s="32" t="n">
        <v>0</v>
      </c>
      <c r="T2033" s="32"/>
      <c r="U2033" s="32"/>
      <c r="V2033" s="37"/>
      <c r="W2033" s="32"/>
      <c r="X2033" s="34"/>
      <c r="Y2033" s="34"/>
      <c r="Z2033" s="32"/>
      <c r="AA2033" s="32" t="s">
        <v>11021</v>
      </c>
      <c r="AB2033" s="32" t="s">
        <v>11022</v>
      </c>
      <c r="AC2033" s="38" t="str">
        <f aca="false">HYPERLINK("https://biocodex6--c.vf.force.com/0014L00000KGIHjQAP", "SARFATI SAMUEL")</f>
        <v>SARFATI SAMUEL</v>
      </c>
      <c r="AD2033" s="38" t="str">
        <f aca="false">HYPERLINK("https://annuairesante.ameli.fr/professionnels-de-sante/recherche/fiche-detaillee-B7c1kzcwMDOy.html", "SARFATI SAMUEL")</f>
        <v>SARFATI SAMUEL</v>
      </c>
      <c r="AE2033" s="39"/>
      <c r="AF2033" s="40"/>
      <c r="AG2033" s="41"/>
      <c r="AH2033" s="32"/>
      <c r="AI2033" s="32"/>
      <c r="AL2033" s="43" t="s">
        <v>657</v>
      </c>
      <c r="AM2033" s="43" t="s">
        <v>137</v>
      </c>
      <c r="AN2033" s="43" t="s">
        <v>657</v>
      </c>
      <c r="AO2033" s="43" t="s">
        <v>137</v>
      </c>
      <c r="AP2033" s="43" t="s">
        <v>657</v>
      </c>
      <c r="AQ2033" s="43" t="s">
        <v>137</v>
      </c>
      <c r="AR2033" s="32"/>
      <c r="AS2033" s="32"/>
      <c r="AT2033" s="43" t="s">
        <v>11023</v>
      </c>
      <c r="AU2033" s="43" t="s">
        <v>262</v>
      </c>
      <c r="XEY2033" s="27"/>
      <c r="XEZ2033" s="27"/>
      <c r="XFA2033" s="27"/>
      <c r="XFB2033" s="27"/>
      <c r="XFC2033" s="27"/>
      <c r="XFD2033" s="27"/>
    </row>
    <row r="2034" s="42" customFormat="true" ht="14.15" hidden="false" customHeight="true" outlineLevel="0" collapsed="false">
      <c r="A2034" s="28" t="s">
        <v>11024</v>
      </c>
      <c r="B2034" s="29" t="s">
        <v>342</v>
      </c>
      <c r="C2034" s="29" t="s">
        <v>11025</v>
      </c>
      <c r="D2034" s="30" t="s">
        <v>244</v>
      </c>
      <c r="E2034" s="30" t="s">
        <v>245</v>
      </c>
      <c r="F2034" s="32"/>
      <c r="G2034" s="31" t="s">
        <v>98</v>
      </c>
      <c r="H2034" s="31" t="n">
        <v>1</v>
      </c>
      <c r="I2034" s="31" t="s">
        <v>62</v>
      </c>
      <c r="J2034" s="29" t="s">
        <v>8069</v>
      </c>
      <c r="K2034" s="29" t="s">
        <v>8070</v>
      </c>
      <c r="L2034" s="32" t="n">
        <v>96</v>
      </c>
      <c r="M2034" s="33" t="s">
        <v>64</v>
      </c>
      <c r="N2034" s="34" t="n">
        <v>75017</v>
      </c>
      <c r="O2034" s="35" t="s">
        <v>55</v>
      </c>
      <c r="P2034" s="36" t="s">
        <v>8071</v>
      </c>
      <c r="Q2034" s="36" t="n">
        <v>2</v>
      </c>
      <c r="R2034" s="32" t="n">
        <v>400</v>
      </c>
      <c r="S2034" s="32"/>
      <c r="T2034" s="32"/>
      <c r="U2034" s="32"/>
      <c r="V2034" s="37"/>
      <c r="W2034" s="32"/>
      <c r="X2034" s="34"/>
      <c r="Y2034" s="34"/>
      <c r="Z2034" s="32"/>
      <c r="AA2034" s="32" t="s">
        <v>11026</v>
      </c>
      <c r="AB2034" s="32" t="s">
        <v>11027</v>
      </c>
      <c r="AC2034" s="38" t="str">
        <f aca="false">HYPERLINK("https://biocodex6--c.vf.force.com/0014L00000bOioGQAS", "BRANCATO VALERIA")</f>
        <v>BRANCATO VALERIA</v>
      </c>
      <c r="AD2034" s="38" t="str">
        <f aca="false">HYPERLINK("https://annuairesante.ameli.fr/professionnels-de-sante/recherche/fiche-detaillee-B7c1kzYwODa1.html", "BRANCATO VALERIA")</f>
        <v>BRANCATO VALERIA</v>
      </c>
      <c r="AE2034" s="39" t="n">
        <v>45313.4166666667</v>
      </c>
      <c r="AF2034" s="40"/>
      <c r="AG2034" s="41"/>
      <c r="AH2034" s="32"/>
      <c r="AI2034" s="32" t="s">
        <v>11028</v>
      </c>
      <c r="AL2034" s="32"/>
      <c r="AM2034" s="32"/>
      <c r="AN2034" s="32"/>
      <c r="AO2034" s="32"/>
      <c r="AP2034" s="32"/>
      <c r="AQ2034" s="32"/>
      <c r="AR2034" s="32"/>
      <c r="AS2034" s="32"/>
      <c r="AT2034" s="32"/>
      <c r="AU2034" s="32"/>
      <c r="XEY2034" s="27"/>
      <c r="XEZ2034" s="27"/>
      <c r="XFA2034" s="27"/>
      <c r="XFB2034" s="27"/>
      <c r="XFC2034" s="27"/>
      <c r="XFD2034" s="27"/>
    </row>
    <row r="2035" s="42" customFormat="true" ht="14.15" hidden="false" customHeight="true" outlineLevel="0" collapsed="false">
      <c r="A2035" s="28" t="s">
        <v>11029</v>
      </c>
      <c r="B2035" s="29" t="s">
        <v>4463</v>
      </c>
      <c r="C2035" s="29" t="s">
        <v>11030</v>
      </c>
      <c r="D2035" s="30" t="s">
        <v>50</v>
      </c>
      <c r="E2035" s="31"/>
      <c r="F2035" s="32" t="n">
        <v>0</v>
      </c>
      <c r="G2035" s="31" t="s">
        <v>345</v>
      </c>
      <c r="H2035" s="31" t="n">
        <v>1</v>
      </c>
      <c r="I2035" s="31" t="s">
        <v>572</v>
      </c>
      <c r="J2035" s="29"/>
      <c r="K2035" s="29" t="s">
        <v>11031</v>
      </c>
      <c r="L2035" s="32" t="n">
        <v>161</v>
      </c>
      <c r="M2035" s="33" t="s">
        <v>3334</v>
      </c>
      <c r="N2035" s="34" t="n">
        <v>75008</v>
      </c>
      <c r="O2035" s="35" t="s">
        <v>55</v>
      </c>
      <c r="P2035" s="36" t="s">
        <v>11032</v>
      </c>
      <c r="Q2035" s="36" t="n">
        <v>1</v>
      </c>
      <c r="R2035" s="32" t="n">
        <v>400</v>
      </c>
      <c r="S2035" s="32"/>
      <c r="T2035" s="32"/>
      <c r="U2035" s="32"/>
      <c r="V2035" s="37"/>
      <c r="W2035" s="32"/>
      <c r="X2035" s="34"/>
      <c r="Y2035" s="34"/>
      <c r="Z2035" s="32"/>
      <c r="AA2035" s="32" t="s">
        <v>11033</v>
      </c>
      <c r="AB2035" s="32" t="s">
        <v>11034</v>
      </c>
      <c r="AC2035" s="38" t="str">
        <f aca="false">HYPERLINK("https://biocodex6--c.vf.force.com/0014L00000huKTFQA2", "GMATI NICOLAS")</f>
        <v>GMATI NICOLAS</v>
      </c>
      <c r="AD2035" s="38" t="str">
        <f aca="false">HYPERLINK("https://annuairesante.ameli.fr/professionnels-de-sante/recherche/fiche-detaillee-B7c1lTA4Mjew.html", "GMATI NICOLAS")</f>
        <v>GMATI NICOLAS</v>
      </c>
      <c r="AE2035" s="39"/>
      <c r="AF2035" s="40"/>
      <c r="AG2035" s="41"/>
      <c r="AH2035" s="32"/>
      <c r="AI2035" s="32"/>
      <c r="AL2035" s="32"/>
      <c r="AM2035" s="32"/>
      <c r="AN2035" s="32"/>
      <c r="AO2035" s="32"/>
      <c r="AP2035" s="32"/>
      <c r="AQ2035" s="32"/>
      <c r="AR2035" s="32"/>
      <c r="AS2035" s="32"/>
      <c r="AT2035" s="32"/>
      <c r="AU2035" s="32"/>
      <c r="XEY2035" s="27"/>
      <c r="XEZ2035" s="27"/>
      <c r="XFA2035" s="27"/>
      <c r="XFB2035" s="27"/>
      <c r="XFC2035" s="27"/>
      <c r="XFD2035" s="27"/>
    </row>
    <row r="2036" s="42" customFormat="true" ht="14.15" hidden="false" customHeight="true" outlineLevel="0" collapsed="false">
      <c r="A2036" s="28" t="s">
        <v>11035</v>
      </c>
      <c r="B2036" s="29" t="s">
        <v>3388</v>
      </c>
      <c r="C2036" s="29" t="s">
        <v>11036</v>
      </c>
      <c r="D2036" s="30" t="s">
        <v>50</v>
      </c>
      <c r="E2036" s="31"/>
      <c r="F2036" s="32" t="n">
        <v>33</v>
      </c>
      <c r="G2036" s="31"/>
      <c r="H2036" s="31" t="n">
        <v>1</v>
      </c>
      <c r="I2036" s="31" t="s">
        <v>572</v>
      </c>
      <c r="J2036" s="29"/>
      <c r="K2036" s="29" t="s">
        <v>11037</v>
      </c>
      <c r="L2036" s="32" t="n">
        <v>18</v>
      </c>
      <c r="M2036" s="33" t="s">
        <v>1434</v>
      </c>
      <c r="N2036" s="34" t="n">
        <v>75008</v>
      </c>
      <c r="O2036" s="35" t="s">
        <v>55</v>
      </c>
      <c r="P2036" s="36" t="s">
        <v>11038</v>
      </c>
      <c r="Q2036" s="36" t="n">
        <v>1</v>
      </c>
      <c r="R2036" s="32" t="n">
        <v>400</v>
      </c>
      <c r="S2036" s="32"/>
      <c r="T2036" s="32"/>
      <c r="U2036" s="32"/>
      <c r="V2036" s="37"/>
      <c r="W2036" s="32"/>
      <c r="X2036" s="34"/>
      <c r="Y2036" s="34"/>
      <c r="Z2036" s="32"/>
      <c r="AA2036" s="32" t="s">
        <v>11039</v>
      </c>
      <c r="AB2036" s="32"/>
      <c r="AC2036" s="38" t="str">
        <f aca="false">HYPERLINK("https://biocodex6--c.vf.force.com/0014L00000KGPDyQAP", "BRUN AGNES")</f>
        <v>BRUN AGNES</v>
      </c>
      <c r="AD2036" s="38"/>
      <c r="AE2036" s="39"/>
      <c r="AF2036" s="40"/>
      <c r="AG2036" s="41"/>
      <c r="AH2036" s="32"/>
      <c r="AI2036" s="32"/>
      <c r="AL2036" s="32"/>
      <c r="AM2036" s="32"/>
      <c r="AN2036" s="32"/>
      <c r="AO2036" s="32"/>
      <c r="AP2036" s="32"/>
      <c r="AQ2036" s="32"/>
      <c r="AR2036" s="32"/>
      <c r="AS2036" s="32"/>
      <c r="AT2036" s="32"/>
      <c r="AU2036" s="32"/>
      <c r="XEY2036" s="27"/>
      <c r="XEZ2036" s="27"/>
      <c r="XFA2036" s="27"/>
      <c r="XFB2036" s="27"/>
      <c r="XFC2036" s="27"/>
      <c r="XFD2036" s="27"/>
    </row>
    <row r="2037" s="42" customFormat="true" ht="14.15" hidden="false" customHeight="true" outlineLevel="0" collapsed="false">
      <c r="A2037" s="28" t="s">
        <v>11040</v>
      </c>
      <c r="B2037" s="29" t="s">
        <v>1871</v>
      </c>
      <c r="C2037" s="29" t="s">
        <v>11041</v>
      </c>
      <c r="D2037" s="30" t="s">
        <v>50</v>
      </c>
      <c r="E2037" s="30" t="s">
        <v>344</v>
      </c>
      <c r="F2037" s="32" t="n">
        <v>0</v>
      </c>
      <c r="G2037" s="31" t="s">
        <v>98</v>
      </c>
      <c r="H2037" s="31" t="n">
        <v>1</v>
      </c>
      <c r="I2037" s="31" t="s">
        <v>572</v>
      </c>
      <c r="J2037" s="29"/>
      <c r="K2037" s="29" t="s">
        <v>11042</v>
      </c>
      <c r="L2037" s="32" t="n">
        <v>7</v>
      </c>
      <c r="M2037" s="33" t="s">
        <v>3647</v>
      </c>
      <c r="N2037" s="34" t="n">
        <v>75008</v>
      </c>
      <c r="O2037" s="35" t="s">
        <v>55</v>
      </c>
      <c r="P2037" s="36" t="s">
        <v>11043</v>
      </c>
      <c r="Q2037" s="36" t="n">
        <v>1</v>
      </c>
      <c r="R2037" s="32" t="n">
        <v>400</v>
      </c>
      <c r="S2037" s="32"/>
      <c r="T2037" s="32"/>
      <c r="U2037" s="32"/>
      <c r="V2037" s="37"/>
      <c r="W2037" s="32"/>
      <c r="X2037" s="34"/>
      <c r="Y2037" s="34"/>
      <c r="Z2037" s="32"/>
      <c r="AA2037" s="32" t="s">
        <v>11044</v>
      </c>
      <c r="AB2037" s="32" t="s">
        <v>11045</v>
      </c>
      <c r="AC2037" s="38" t="str">
        <f aca="false">HYPERLINK("https://biocodex6--c.vf.force.com/0014L00000KGDC6QAP", "FEIGNOUX POLIMENI GRAZIELLA")</f>
        <v>FEIGNOUX POLIMENI GRAZIELLA</v>
      </c>
      <c r="AD2037" s="38" t="str">
        <f aca="false">HYPERLINK("https://annuairesante.ameli.fr/professionnels-de-sante/recherche/fiche-detaillee-B7c1kjE4MjCx.html", "FEIGNOUX POLIMENI GRAZIELLA")</f>
        <v>FEIGNOUX POLIMENI GRAZIELLA</v>
      </c>
      <c r="AE2037" s="39"/>
      <c r="AF2037" s="40"/>
      <c r="AG2037" s="41"/>
      <c r="AH2037" s="32"/>
      <c r="AI2037" s="32"/>
      <c r="AL2037" s="32"/>
      <c r="AM2037" s="32"/>
      <c r="AN2037" s="32"/>
      <c r="AO2037" s="32"/>
      <c r="AP2037" s="32"/>
      <c r="AQ2037" s="32"/>
      <c r="AR2037" s="32"/>
      <c r="AS2037" s="32"/>
      <c r="AT2037" s="32"/>
      <c r="AU2037" s="32"/>
      <c r="XEY2037" s="27"/>
      <c r="XEZ2037" s="27"/>
      <c r="XFA2037" s="27"/>
      <c r="XFB2037" s="27"/>
      <c r="XFC2037" s="27"/>
      <c r="XFD2037" s="27"/>
    </row>
    <row r="2038" s="42" customFormat="true" ht="14.15" hidden="false" customHeight="true" outlineLevel="0" collapsed="false">
      <c r="A2038" s="28" t="s">
        <v>11046</v>
      </c>
      <c r="B2038" s="29" t="s">
        <v>4046</v>
      </c>
      <c r="C2038" s="29" t="s">
        <v>11047</v>
      </c>
      <c r="D2038" s="30" t="s">
        <v>50</v>
      </c>
      <c r="E2038" s="31"/>
      <c r="F2038" s="32" t="n">
        <v>0</v>
      </c>
      <c r="G2038" s="31"/>
      <c r="H2038" s="31" t="n">
        <v>1</v>
      </c>
      <c r="I2038" s="31" t="s">
        <v>99</v>
      </c>
      <c r="J2038" s="29" t="s">
        <v>5359</v>
      </c>
      <c r="K2038" s="29" t="s">
        <v>5360</v>
      </c>
      <c r="L2038" s="32" t="n">
        <v>106</v>
      </c>
      <c r="M2038" s="33" t="s">
        <v>4367</v>
      </c>
      <c r="N2038" s="34" t="n">
        <v>75015</v>
      </c>
      <c r="O2038" s="35" t="s">
        <v>55</v>
      </c>
      <c r="P2038" s="36" t="s">
        <v>11048</v>
      </c>
      <c r="Q2038" s="36" t="n">
        <v>5</v>
      </c>
      <c r="R2038" s="32" t="n">
        <v>400</v>
      </c>
      <c r="S2038" s="32"/>
      <c r="T2038" s="32"/>
      <c r="U2038" s="32"/>
      <c r="V2038" s="37"/>
      <c r="W2038" s="32"/>
      <c r="X2038" s="34"/>
      <c r="Y2038" s="34"/>
      <c r="Z2038" s="32"/>
      <c r="AA2038" s="32" t="s">
        <v>11049</v>
      </c>
      <c r="AB2038" s="32"/>
      <c r="AC2038" s="38" t="str">
        <f aca="false">HYPERLINK("https://biocodex6--c.vf.force.com/0014L00000KGPaHQAX", "JARROSSAY ETIENNE")</f>
        <v>JARROSSAY ETIENNE</v>
      </c>
      <c r="AD2038" s="38"/>
      <c r="AE2038" s="39"/>
      <c r="AF2038" s="40"/>
      <c r="AG2038" s="41"/>
      <c r="AH2038" s="32"/>
      <c r="AI2038" s="32"/>
      <c r="AL2038" s="32"/>
      <c r="AM2038" s="32"/>
      <c r="AN2038" s="32"/>
      <c r="AO2038" s="32"/>
      <c r="AP2038" s="32"/>
      <c r="AQ2038" s="32"/>
      <c r="AR2038" s="32"/>
      <c r="AS2038" s="32"/>
      <c r="AT2038" s="32"/>
      <c r="AU2038" s="32"/>
      <c r="XEY2038" s="27"/>
      <c r="XEZ2038" s="27"/>
      <c r="XFA2038" s="27"/>
      <c r="XFB2038" s="27"/>
      <c r="XFC2038" s="27"/>
      <c r="XFD2038" s="27"/>
    </row>
    <row r="2039" s="42" customFormat="true" ht="14.15" hidden="false" customHeight="true" outlineLevel="0" collapsed="false">
      <c r="A2039" s="28" t="s">
        <v>11050</v>
      </c>
      <c r="B2039" s="29" t="s">
        <v>11051</v>
      </c>
      <c r="C2039" s="29" t="s">
        <v>11052</v>
      </c>
      <c r="D2039" s="30" t="s">
        <v>50</v>
      </c>
      <c r="E2039" s="31"/>
      <c r="F2039" s="32" t="n">
        <v>35</v>
      </c>
      <c r="G2039" s="31"/>
      <c r="H2039" s="31" t="n">
        <v>1</v>
      </c>
      <c r="I2039" s="31" t="s">
        <v>99</v>
      </c>
      <c r="J2039" s="29" t="s">
        <v>595</v>
      </c>
      <c r="K2039" s="29" t="s">
        <v>596</v>
      </c>
      <c r="L2039" s="32" t="n">
        <v>20</v>
      </c>
      <c r="M2039" s="33" t="s">
        <v>597</v>
      </c>
      <c r="N2039" s="34" t="n">
        <v>75015</v>
      </c>
      <c r="O2039" s="35" t="s">
        <v>55</v>
      </c>
      <c r="P2039" s="36" t="s">
        <v>4409</v>
      </c>
      <c r="Q2039" s="36" t="n">
        <v>90</v>
      </c>
      <c r="R2039" s="32" t="n">
        <v>400</v>
      </c>
      <c r="S2039" s="32"/>
      <c r="T2039" s="32"/>
      <c r="U2039" s="32"/>
      <c r="V2039" s="37"/>
      <c r="W2039" s="32"/>
      <c r="X2039" s="34"/>
      <c r="Y2039" s="34"/>
      <c r="Z2039" s="32"/>
      <c r="AA2039" s="32" t="s">
        <v>11053</v>
      </c>
      <c r="AB2039" s="32"/>
      <c r="AC2039" s="38" t="str">
        <f aca="false">HYPERLINK("https://biocodex6--c.vf.force.com/0014L00000KGPyFQAX", "MABIALA SITA DOMISH")</f>
        <v>MABIALA SITA DOMISH</v>
      </c>
      <c r="AD2039" s="38"/>
      <c r="AE2039" s="39"/>
      <c r="AF2039" s="40"/>
      <c r="AG2039" s="41"/>
      <c r="AH2039" s="32"/>
      <c r="AI2039" s="32"/>
      <c r="AL2039" s="32"/>
      <c r="AM2039" s="32"/>
      <c r="AN2039" s="32"/>
      <c r="AO2039" s="32"/>
      <c r="AP2039" s="32"/>
      <c r="AQ2039" s="32"/>
      <c r="AR2039" s="32"/>
      <c r="AS2039" s="32"/>
      <c r="AT2039" s="32"/>
      <c r="AU2039" s="32"/>
      <c r="XEY2039" s="27"/>
      <c r="XEZ2039" s="27"/>
      <c r="XFA2039" s="27"/>
      <c r="XFB2039" s="27"/>
      <c r="XFC2039" s="27"/>
      <c r="XFD2039" s="27"/>
    </row>
    <row r="2040" s="42" customFormat="true" ht="14.15" hidden="false" customHeight="true" outlineLevel="0" collapsed="false">
      <c r="A2040" s="28" t="s">
        <v>11054</v>
      </c>
      <c r="B2040" s="29" t="s">
        <v>11055</v>
      </c>
      <c r="C2040" s="29" t="s">
        <v>11056</v>
      </c>
      <c r="D2040" s="30" t="s">
        <v>50</v>
      </c>
      <c r="E2040" s="31"/>
      <c r="F2040" s="32" t="n">
        <v>0</v>
      </c>
      <c r="G2040" s="31" t="s">
        <v>345</v>
      </c>
      <c r="H2040" s="31" t="n">
        <v>1</v>
      </c>
      <c r="I2040" s="31" t="s">
        <v>119</v>
      </c>
      <c r="J2040" s="29"/>
      <c r="K2040" s="29" t="s">
        <v>11057</v>
      </c>
      <c r="L2040" s="32" t="n">
        <v>160</v>
      </c>
      <c r="M2040" s="33" t="s">
        <v>2143</v>
      </c>
      <c r="N2040" s="34" t="n">
        <v>75007</v>
      </c>
      <c r="O2040" s="35" t="s">
        <v>55</v>
      </c>
      <c r="P2040" s="36" t="s">
        <v>11058</v>
      </c>
      <c r="Q2040" s="36" t="n">
        <v>1</v>
      </c>
      <c r="R2040" s="32" t="n">
        <v>400</v>
      </c>
      <c r="S2040" s="32"/>
      <c r="T2040" s="32"/>
      <c r="U2040" s="32"/>
      <c r="V2040" s="37"/>
      <c r="W2040" s="32"/>
      <c r="X2040" s="34"/>
      <c r="Y2040" s="34"/>
      <c r="Z2040" s="32"/>
      <c r="AA2040" s="32" t="s">
        <v>11059</v>
      </c>
      <c r="AB2040" s="32" t="s">
        <v>11060</v>
      </c>
      <c r="AC2040" s="38" t="str">
        <f aca="false">HYPERLINK("https://biocodex6--c.vf.force.com/0014L00000KGPe7QAH", "VIGNAUD PHILIPPINE")</f>
        <v>VIGNAUD PHILIPPINE</v>
      </c>
      <c r="AD2040" s="38" t="str">
        <f aca="false">HYPERLINK("https://annuairesante.ameli.fr/professionnels-de-sante/recherche/fiche-detaillee-B7c1kjoxNju6.html", "VIGNAUD PHILIPPINE")</f>
        <v>VIGNAUD PHILIPPINE</v>
      </c>
      <c r="AE2040" s="39"/>
      <c r="AF2040" s="40"/>
      <c r="AG2040" s="41"/>
      <c r="AH2040" s="32"/>
      <c r="AI2040" s="32"/>
      <c r="AL2040" s="32"/>
      <c r="AM2040" s="32"/>
      <c r="AN2040" s="32"/>
      <c r="AO2040" s="32"/>
      <c r="AP2040" s="32"/>
      <c r="AQ2040" s="32"/>
      <c r="AR2040" s="32"/>
      <c r="AS2040" s="32"/>
      <c r="AT2040" s="32"/>
      <c r="AU2040" s="32"/>
      <c r="XEY2040" s="27"/>
      <c r="XEZ2040" s="27"/>
      <c r="XFA2040" s="27"/>
      <c r="XFB2040" s="27"/>
      <c r="XFC2040" s="27"/>
      <c r="XFD2040" s="27"/>
    </row>
    <row r="2041" s="42" customFormat="true" ht="14.15" hidden="false" customHeight="true" outlineLevel="0" collapsed="false">
      <c r="A2041" s="28" t="s">
        <v>11061</v>
      </c>
      <c r="B2041" s="29" t="s">
        <v>11062</v>
      </c>
      <c r="C2041" s="29" t="s">
        <v>11063</v>
      </c>
      <c r="D2041" s="30" t="s">
        <v>172</v>
      </c>
      <c r="E2041" s="31"/>
      <c r="F2041" s="32" t="n">
        <v>0</v>
      </c>
      <c r="G2041" s="31"/>
      <c r="H2041" s="31" t="n">
        <v>1</v>
      </c>
      <c r="I2041" s="31" t="s">
        <v>119</v>
      </c>
      <c r="J2041" s="29"/>
      <c r="K2041" s="29" t="s">
        <v>11064</v>
      </c>
      <c r="L2041" s="32" t="n">
        <v>23</v>
      </c>
      <c r="M2041" s="33" t="s">
        <v>481</v>
      </c>
      <c r="N2041" s="34" t="n">
        <v>75007</v>
      </c>
      <c r="O2041" s="35" t="s">
        <v>55</v>
      </c>
      <c r="P2041" s="36" t="s">
        <v>11065</v>
      </c>
      <c r="Q2041" s="36" t="n">
        <v>1</v>
      </c>
      <c r="R2041" s="32" t="n">
        <v>400</v>
      </c>
      <c r="S2041" s="32"/>
      <c r="T2041" s="43" t="s">
        <v>1107</v>
      </c>
      <c r="U2041" s="32"/>
      <c r="V2041" s="37"/>
      <c r="W2041" s="32"/>
      <c r="X2041" s="34"/>
      <c r="Y2041" s="34"/>
      <c r="Z2041" s="32"/>
      <c r="AA2041" s="32" t="s">
        <v>11066</v>
      </c>
      <c r="AB2041" s="32"/>
      <c r="AC2041" s="38" t="str">
        <f aca="false">HYPERLINK("https://biocodex6--c.vf.force.com/0014L00000KGPXIQA5", "SADISI JIHENNE")</f>
        <v>SADISI JIHENNE</v>
      </c>
      <c r="AD2041" s="38"/>
      <c r="AE2041" s="39"/>
      <c r="AF2041" s="40"/>
      <c r="AG2041" s="41"/>
      <c r="AH2041" s="32"/>
      <c r="AI2041" s="32"/>
      <c r="AL2041" s="32"/>
      <c r="AM2041" s="32"/>
      <c r="AN2041" s="32"/>
      <c r="AO2041" s="32"/>
      <c r="AP2041" s="32"/>
      <c r="AQ2041" s="32"/>
      <c r="AR2041" s="32"/>
      <c r="AS2041" s="32"/>
      <c r="AT2041" s="32"/>
      <c r="AU2041" s="32"/>
      <c r="XEY2041" s="27"/>
      <c r="XEZ2041" s="27"/>
      <c r="XFA2041" s="27"/>
      <c r="XFB2041" s="27"/>
      <c r="XFC2041" s="27"/>
      <c r="XFD2041" s="27"/>
    </row>
    <row r="2042" s="42" customFormat="true" ht="14.15" hidden="false" customHeight="true" outlineLevel="0" collapsed="false">
      <c r="A2042" s="28" t="s">
        <v>11067</v>
      </c>
      <c r="B2042" s="29" t="s">
        <v>11068</v>
      </c>
      <c r="C2042" s="29" t="s">
        <v>11069</v>
      </c>
      <c r="D2042" s="30" t="s">
        <v>112</v>
      </c>
      <c r="E2042" s="31"/>
      <c r="F2042" s="32" t="n">
        <v>0</v>
      </c>
      <c r="G2042" s="31"/>
      <c r="H2042" s="31" t="n">
        <v>1</v>
      </c>
      <c r="I2042" s="31" t="s">
        <v>51</v>
      </c>
      <c r="J2042" s="29" t="s">
        <v>52</v>
      </c>
      <c r="K2042" s="29" t="s">
        <v>53</v>
      </c>
      <c r="L2042" s="32" t="n">
        <v>149</v>
      </c>
      <c r="M2042" s="33" t="s">
        <v>54</v>
      </c>
      <c r="N2042" s="34" t="n">
        <v>75015</v>
      </c>
      <c r="O2042" s="35" t="s">
        <v>55</v>
      </c>
      <c r="P2042" s="36" t="s">
        <v>2723</v>
      </c>
      <c r="Q2042" s="36" t="n">
        <v>236</v>
      </c>
      <c r="R2042" s="32" t="n">
        <v>400</v>
      </c>
      <c r="S2042" s="32"/>
      <c r="T2042" s="32"/>
      <c r="U2042" s="32"/>
      <c r="V2042" s="37"/>
      <c r="W2042" s="32"/>
      <c r="X2042" s="34"/>
      <c r="Y2042" s="34"/>
      <c r="Z2042" s="32"/>
      <c r="AA2042" s="32" t="s">
        <v>11070</v>
      </c>
      <c r="AB2042" s="32"/>
      <c r="AC2042" s="38" t="str">
        <f aca="false">HYPERLINK("https://biocodex6--c.vf.force.com/0014L00000NBdbjQAD", "COULON LUDIVINE")</f>
        <v>COULON LUDIVINE</v>
      </c>
      <c r="AD2042" s="38"/>
      <c r="AE2042" s="39"/>
      <c r="AF2042" s="40"/>
      <c r="AG2042" s="41"/>
      <c r="AH2042" s="32"/>
      <c r="AI2042" s="32"/>
      <c r="AL2042" s="32"/>
      <c r="AM2042" s="32"/>
      <c r="AN2042" s="32"/>
      <c r="AO2042" s="32"/>
      <c r="AP2042" s="32"/>
      <c r="AQ2042" s="32"/>
      <c r="AR2042" s="32"/>
      <c r="AS2042" s="32"/>
      <c r="AT2042" s="32"/>
      <c r="AU2042" s="32"/>
      <c r="XEY2042" s="27"/>
      <c r="XEZ2042" s="27"/>
      <c r="XFA2042" s="27"/>
      <c r="XFB2042" s="27"/>
      <c r="XFC2042" s="27"/>
      <c r="XFD2042" s="27"/>
    </row>
    <row r="2043" s="42" customFormat="true" ht="14.15" hidden="false" customHeight="true" outlineLevel="0" collapsed="false">
      <c r="A2043" s="28" t="s">
        <v>11071</v>
      </c>
      <c r="B2043" s="29" t="s">
        <v>11072</v>
      </c>
      <c r="C2043" s="29" t="s">
        <v>11073</v>
      </c>
      <c r="D2043" s="30" t="s">
        <v>112</v>
      </c>
      <c r="E2043" s="31"/>
      <c r="F2043" s="32" t="n">
        <v>0</v>
      </c>
      <c r="G2043" s="31"/>
      <c r="H2043" s="31" t="n">
        <v>1</v>
      </c>
      <c r="I2043" s="31" t="s">
        <v>51</v>
      </c>
      <c r="J2043" s="29" t="s">
        <v>52</v>
      </c>
      <c r="K2043" s="29" t="s">
        <v>53</v>
      </c>
      <c r="L2043" s="32" t="n">
        <v>149</v>
      </c>
      <c r="M2043" s="33" t="s">
        <v>54</v>
      </c>
      <c r="N2043" s="34" t="n">
        <v>75015</v>
      </c>
      <c r="O2043" s="35" t="s">
        <v>55</v>
      </c>
      <c r="P2043" s="36" t="s">
        <v>885</v>
      </c>
      <c r="Q2043" s="36" t="n">
        <v>236</v>
      </c>
      <c r="R2043" s="32" t="n">
        <v>400</v>
      </c>
      <c r="S2043" s="32"/>
      <c r="T2043" s="32"/>
      <c r="U2043" s="32"/>
      <c r="V2043" s="37"/>
      <c r="W2043" s="32"/>
      <c r="X2043" s="34"/>
      <c r="Y2043" s="34"/>
      <c r="Z2043" s="32"/>
      <c r="AA2043" s="32" t="s">
        <v>11074</v>
      </c>
      <c r="AB2043" s="32"/>
      <c r="AC2043" s="38" t="str">
        <f aca="false">HYPERLINK("https://biocodex6--c.vf.force.com/0014L00000NBSpwQAH", "GALDERISI ALFONSO")</f>
        <v>GALDERISI ALFONSO</v>
      </c>
      <c r="AD2043" s="38"/>
      <c r="AE2043" s="39"/>
      <c r="AF2043" s="40"/>
      <c r="AG2043" s="41"/>
      <c r="AH2043" s="32"/>
      <c r="AI2043" s="32"/>
      <c r="AL2043" s="32"/>
      <c r="AM2043" s="32"/>
      <c r="AN2043" s="32"/>
      <c r="AO2043" s="32"/>
      <c r="AP2043" s="32"/>
      <c r="AQ2043" s="32"/>
      <c r="AR2043" s="32"/>
      <c r="AS2043" s="32"/>
      <c r="AT2043" s="32"/>
      <c r="AU2043" s="32"/>
      <c r="XEY2043" s="27"/>
      <c r="XEZ2043" s="27"/>
      <c r="XFA2043" s="27"/>
      <c r="XFB2043" s="27"/>
      <c r="XFC2043" s="27"/>
      <c r="XFD2043" s="27"/>
    </row>
    <row r="2044" s="42" customFormat="true" ht="14.15" hidden="false" customHeight="true" outlineLevel="0" collapsed="false">
      <c r="A2044" s="28" t="s">
        <v>11075</v>
      </c>
      <c r="B2044" s="29" t="s">
        <v>2794</v>
      </c>
      <c r="C2044" s="29" t="s">
        <v>11076</v>
      </c>
      <c r="D2044" s="30" t="s">
        <v>112</v>
      </c>
      <c r="E2044" s="30" t="s">
        <v>6595</v>
      </c>
      <c r="F2044" s="32" t="n">
        <v>0</v>
      </c>
      <c r="G2044" s="31"/>
      <c r="H2044" s="31" t="n">
        <v>1</v>
      </c>
      <c r="I2044" s="31" t="s">
        <v>51</v>
      </c>
      <c r="J2044" s="29" t="s">
        <v>52</v>
      </c>
      <c r="K2044" s="29" t="s">
        <v>53</v>
      </c>
      <c r="L2044" s="32" t="n">
        <v>149</v>
      </c>
      <c r="M2044" s="33" t="s">
        <v>54</v>
      </c>
      <c r="N2044" s="34" t="n">
        <v>75015</v>
      </c>
      <c r="O2044" s="35" t="s">
        <v>55</v>
      </c>
      <c r="P2044" s="36" t="s">
        <v>8674</v>
      </c>
      <c r="Q2044" s="36" t="n">
        <v>236</v>
      </c>
      <c r="R2044" s="32" t="n">
        <v>400</v>
      </c>
      <c r="S2044" s="32"/>
      <c r="T2044" s="32"/>
      <c r="U2044" s="32"/>
      <c r="V2044" s="37"/>
      <c r="W2044" s="32"/>
      <c r="X2044" s="34"/>
      <c r="Y2044" s="34"/>
      <c r="Z2044" s="32"/>
      <c r="AA2044" s="32" t="s">
        <v>11077</v>
      </c>
      <c r="AB2044" s="32"/>
      <c r="AC2044" s="38" t="str">
        <f aca="false">HYPERLINK("https://biocodex6--c.vf.force.com/0014L00000KGOg1QAH", "LASCOURREGES CLAIRE")</f>
        <v>LASCOURREGES CLAIRE</v>
      </c>
      <c r="AD2044" s="38"/>
      <c r="AE2044" s="39"/>
      <c r="AF2044" s="40"/>
      <c r="AG2044" s="41"/>
      <c r="AH2044" s="32"/>
      <c r="AI2044" s="32"/>
      <c r="AL2044" s="32"/>
      <c r="AM2044" s="32"/>
      <c r="AN2044" s="32"/>
      <c r="AO2044" s="32"/>
      <c r="AP2044" s="32"/>
      <c r="AQ2044" s="32"/>
      <c r="AR2044" s="32"/>
      <c r="AS2044" s="32"/>
      <c r="AT2044" s="32"/>
      <c r="AU2044" s="32"/>
      <c r="XEY2044" s="27"/>
      <c r="XEZ2044" s="27"/>
      <c r="XFA2044" s="27"/>
      <c r="XFB2044" s="27"/>
      <c r="XFC2044" s="27"/>
      <c r="XFD2044" s="27"/>
    </row>
    <row r="2045" s="42" customFormat="true" ht="14.15" hidden="false" customHeight="true" outlineLevel="0" collapsed="false">
      <c r="A2045" s="28" t="s">
        <v>11078</v>
      </c>
      <c r="B2045" s="29" t="s">
        <v>11079</v>
      </c>
      <c r="C2045" s="29" t="s">
        <v>11080</v>
      </c>
      <c r="D2045" s="30" t="s">
        <v>112</v>
      </c>
      <c r="E2045" s="31"/>
      <c r="F2045" s="32" t="n">
        <v>0</v>
      </c>
      <c r="G2045" s="31"/>
      <c r="H2045" s="31" t="n">
        <v>1</v>
      </c>
      <c r="I2045" s="31" t="s">
        <v>51</v>
      </c>
      <c r="J2045" s="29" t="s">
        <v>52</v>
      </c>
      <c r="K2045" s="29" t="s">
        <v>53</v>
      </c>
      <c r="L2045" s="32" t="n">
        <v>149</v>
      </c>
      <c r="M2045" s="33" t="s">
        <v>54</v>
      </c>
      <c r="N2045" s="34" t="n">
        <v>75015</v>
      </c>
      <c r="O2045" s="35" t="s">
        <v>55</v>
      </c>
      <c r="P2045" s="36" t="s">
        <v>1815</v>
      </c>
      <c r="Q2045" s="36" t="n">
        <v>236</v>
      </c>
      <c r="R2045" s="32" t="n">
        <v>400</v>
      </c>
      <c r="S2045" s="32"/>
      <c r="T2045" s="32"/>
      <c r="U2045" s="32"/>
      <c r="V2045" s="37"/>
      <c r="W2045" s="32"/>
      <c r="X2045" s="34"/>
      <c r="Y2045" s="34"/>
      <c r="Z2045" s="32"/>
      <c r="AA2045" s="32" t="s">
        <v>11081</v>
      </c>
      <c r="AB2045" s="32"/>
      <c r="AC2045" s="38" t="str">
        <f aca="false">HYPERLINK("https://biocodex6--c.vf.force.com/001Py0000027eHYIAY", "LEMBO CHIARA")</f>
        <v>LEMBO CHIARA</v>
      </c>
      <c r="AD2045" s="38"/>
      <c r="AE2045" s="39"/>
      <c r="AF2045" s="40"/>
      <c r="AG2045" s="41"/>
      <c r="AH2045" s="32"/>
      <c r="AI2045" s="32"/>
      <c r="AL2045" s="32"/>
      <c r="AM2045" s="32"/>
      <c r="AN2045" s="32"/>
      <c r="AO2045" s="32"/>
      <c r="AP2045" s="32"/>
      <c r="AQ2045" s="32"/>
      <c r="AR2045" s="32"/>
      <c r="AS2045" s="32"/>
      <c r="AT2045" s="32"/>
      <c r="AU2045" s="32"/>
      <c r="XEY2045" s="27"/>
      <c r="XEZ2045" s="27"/>
      <c r="XFA2045" s="27"/>
      <c r="XFB2045" s="27"/>
      <c r="XFC2045" s="27"/>
      <c r="XFD2045" s="27"/>
    </row>
    <row r="2046" s="42" customFormat="true" ht="14.15" hidden="false" customHeight="true" outlineLevel="0" collapsed="false">
      <c r="A2046" s="28" t="s">
        <v>11082</v>
      </c>
      <c r="B2046" s="29" t="s">
        <v>11083</v>
      </c>
      <c r="C2046" s="29" t="s">
        <v>11084</v>
      </c>
      <c r="D2046" s="30" t="s">
        <v>112</v>
      </c>
      <c r="E2046" s="31"/>
      <c r="F2046" s="32" t="n">
        <v>0</v>
      </c>
      <c r="G2046" s="31"/>
      <c r="H2046" s="31" t="n">
        <v>1</v>
      </c>
      <c r="I2046" s="31" t="s">
        <v>51</v>
      </c>
      <c r="J2046" s="29" t="s">
        <v>52</v>
      </c>
      <c r="K2046" s="29" t="s">
        <v>53</v>
      </c>
      <c r="L2046" s="32" t="n">
        <v>149</v>
      </c>
      <c r="M2046" s="33" t="s">
        <v>54</v>
      </c>
      <c r="N2046" s="34" t="n">
        <v>75015</v>
      </c>
      <c r="O2046" s="35" t="s">
        <v>55</v>
      </c>
      <c r="P2046" s="36" t="s">
        <v>1807</v>
      </c>
      <c r="Q2046" s="36" t="n">
        <v>236</v>
      </c>
      <c r="R2046" s="32" t="n">
        <v>400</v>
      </c>
      <c r="S2046" s="32"/>
      <c r="T2046" s="32"/>
      <c r="U2046" s="32"/>
      <c r="V2046" s="37"/>
      <c r="W2046" s="32"/>
      <c r="X2046" s="34"/>
      <c r="Y2046" s="34"/>
      <c r="Z2046" s="32"/>
      <c r="AA2046" s="32" t="s">
        <v>11085</v>
      </c>
      <c r="AB2046" s="32"/>
      <c r="AC2046" s="38" t="str">
        <f aca="false">HYPERLINK("https://biocodex6--c.vf.force.com/0014L00000kUgc5QAC", "RONCONI MONICA SILVIA")</f>
        <v>RONCONI MONICA SILVIA</v>
      </c>
      <c r="AD2046" s="38"/>
      <c r="AE2046" s="39"/>
      <c r="AF2046" s="40"/>
      <c r="AG2046" s="41"/>
      <c r="AH2046" s="32"/>
      <c r="AI2046" s="32"/>
      <c r="AL2046" s="32"/>
      <c r="AM2046" s="32"/>
      <c r="AN2046" s="32"/>
      <c r="AO2046" s="32"/>
      <c r="AP2046" s="32"/>
      <c r="AQ2046" s="32"/>
      <c r="AR2046" s="32"/>
      <c r="AS2046" s="32"/>
      <c r="AT2046" s="32"/>
      <c r="AU2046" s="32"/>
      <c r="XEY2046" s="27"/>
      <c r="XEZ2046" s="27"/>
      <c r="XFA2046" s="27"/>
      <c r="XFB2046" s="27"/>
      <c r="XFC2046" s="27"/>
      <c r="XFD2046" s="27"/>
    </row>
    <row r="2047" s="42" customFormat="true" ht="14.15" hidden="false" customHeight="true" outlineLevel="0" collapsed="false">
      <c r="A2047" s="28" t="s">
        <v>11086</v>
      </c>
      <c r="B2047" s="29" t="s">
        <v>2033</v>
      </c>
      <c r="C2047" s="29" t="s">
        <v>11087</v>
      </c>
      <c r="D2047" s="30" t="s">
        <v>50</v>
      </c>
      <c r="E2047" s="30" t="s">
        <v>344</v>
      </c>
      <c r="F2047" s="32"/>
      <c r="G2047" s="31" t="s">
        <v>98</v>
      </c>
      <c r="H2047" s="31" t="n">
        <v>1</v>
      </c>
      <c r="I2047" s="31" t="s">
        <v>62</v>
      </c>
      <c r="J2047" s="29"/>
      <c r="K2047" s="29" t="s">
        <v>11088</v>
      </c>
      <c r="L2047" s="32" t="n">
        <v>12</v>
      </c>
      <c r="M2047" s="33" t="s">
        <v>5007</v>
      </c>
      <c r="N2047" s="34" t="n">
        <v>75017</v>
      </c>
      <c r="O2047" s="35" t="s">
        <v>55</v>
      </c>
      <c r="P2047" s="36" t="s">
        <v>11089</v>
      </c>
      <c r="Q2047" s="36" t="n">
        <v>1</v>
      </c>
      <c r="R2047" s="32" t="n">
        <v>400</v>
      </c>
      <c r="S2047" s="32"/>
      <c r="T2047" s="32"/>
      <c r="U2047" s="32"/>
      <c r="V2047" s="37"/>
      <c r="W2047" s="32"/>
      <c r="X2047" s="34"/>
      <c r="Y2047" s="34"/>
      <c r="Z2047" s="32"/>
      <c r="AA2047" s="32" t="s">
        <v>11090</v>
      </c>
      <c r="AB2047" s="32" t="s">
        <v>11091</v>
      </c>
      <c r="AC2047" s="38" t="str">
        <f aca="false">HYPERLINK("https://biocodex6--c.vf.force.com/0014L00000huk3qQAA", "UZAN ALEXANDRA")</f>
        <v>UZAN ALEXANDRA</v>
      </c>
      <c r="AD2047" s="38" t="str">
        <f aca="false">HYPERLINK("https://annuairesante.ameli.fr/professionnels-de-sante/recherche/fiche-detaillee-B7c1kzYwOTSz.html", "UZAN ALEXANDRA")</f>
        <v>UZAN ALEXANDRA</v>
      </c>
      <c r="AE2047" s="39"/>
      <c r="AF2047" s="40"/>
      <c r="AG2047" s="41"/>
      <c r="AH2047" s="32"/>
      <c r="AI2047" s="32"/>
      <c r="AL2047" s="32"/>
      <c r="AM2047" s="32"/>
      <c r="AN2047" s="32"/>
      <c r="AO2047" s="32"/>
      <c r="AP2047" s="32"/>
      <c r="AQ2047" s="32"/>
      <c r="AR2047" s="32"/>
      <c r="AS2047" s="32"/>
      <c r="AT2047" s="32"/>
      <c r="AU2047" s="32"/>
      <c r="XEY2047" s="27"/>
      <c r="XEZ2047" s="27"/>
      <c r="XFA2047" s="27"/>
      <c r="XFB2047" s="27"/>
      <c r="XFC2047" s="27"/>
      <c r="XFD2047" s="27"/>
    </row>
    <row r="2048" s="42" customFormat="true" ht="14.15" hidden="false" customHeight="true" outlineLevel="0" collapsed="false">
      <c r="A2048" s="28" t="s">
        <v>11092</v>
      </c>
      <c r="B2048" s="29" t="s">
        <v>690</v>
      </c>
      <c r="C2048" s="29" t="s">
        <v>11093</v>
      </c>
      <c r="D2048" s="30" t="s">
        <v>50</v>
      </c>
      <c r="E2048" s="31"/>
      <c r="F2048" s="32" t="n">
        <v>57</v>
      </c>
      <c r="G2048" s="31"/>
      <c r="H2048" s="31" t="n">
        <v>1</v>
      </c>
      <c r="I2048" s="31" t="s">
        <v>62</v>
      </c>
      <c r="J2048" s="29"/>
      <c r="K2048" s="29" t="s">
        <v>11094</v>
      </c>
      <c r="L2048" s="32" t="n">
        <v>26</v>
      </c>
      <c r="M2048" s="33" t="s">
        <v>11095</v>
      </c>
      <c r="N2048" s="34" t="n">
        <v>75017</v>
      </c>
      <c r="O2048" s="35" t="s">
        <v>55</v>
      </c>
      <c r="P2048" s="36" t="s">
        <v>11096</v>
      </c>
      <c r="Q2048" s="36" t="n">
        <v>1</v>
      </c>
      <c r="R2048" s="32" t="n">
        <v>400</v>
      </c>
      <c r="S2048" s="32"/>
      <c r="T2048" s="32"/>
      <c r="U2048" s="32"/>
      <c r="V2048" s="37"/>
      <c r="W2048" s="32"/>
      <c r="X2048" s="34"/>
      <c r="Y2048" s="34"/>
      <c r="Z2048" s="32"/>
      <c r="AA2048" s="32" t="s">
        <v>11097</v>
      </c>
      <c r="AB2048" s="32"/>
      <c r="AC2048" s="38" t="str">
        <f aca="false">HYPERLINK("https://biocodex6--c.vf.force.com/0014L00000kSnHrQAK", "LEBLOIS ERIC")</f>
        <v>LEBLOIS ERIC</v>
      </c>
      <c r="AD2048" s="38"/>
      <c r="AE2048" s="39"/>
      <c r="AF2048" s="40"/>
      <c r="AG2048" s="41"/>
      <c r="AH2048" s="32"/>
      <c r="AI2048" s="32"/>
      <c r="AL2048" s="32"/>
      <c r="AM2048" s="32"/>
      <c r="AN2048" s="32"/>
      <c r="AO2048" s="32"/>
      <c r="AP2048" s="32"/>
      <c r="AQ2048" s="32"/>
      <c r="AR2048" s="32"/>
      <c r="AS2048" s="32"/>
      <c r="AT2048" s="32"/>
      <c r="AU2048" s="32"/>
      <c r="XEY2048" s="27"/>
      <c r="XEZ2048" s="27"/>
      <c r="XFA2048" s="27"/>
      <c r="XFB2048" s="27"/>
      <c r="XFC2048" s="27"/>
      <c r="XFD2048" s="27"/>
    </row>
    <row r="2049" s="42" customFormat="true" ht="14.15" hidden="false" customHeight="true" outlineLevel="0" collapsed="false">
      <c r="A2049" s="28" t="s">
        <v>11098</v>
      </c>
      <c r="B2049" s="29" t="s">
        <v>1837</v>
      </c>
      <c r="C2049" s="29" t="s">
        <v>11099</v>
      </c>
      <c r="D2049" s="30" t="s">
        <v>50</v>
      </c>
      <c r="E2049" s="31"/>
      <c r="F2049" s="32"/>
      <c r="G2049" s="31" t="s">
        <v>98</v>
      </c>
      <c r="H2049" s="31" t="n">
        <v>1</v>
      </c>
      <c r="I2049" s="31" t="s">
        <v>197</v>
      </c>
      <c r="J2049" s="29"/>
      <c r="K2049" s="29" t="s">
        <v>11100</v>
      </c>
      <c r="L2049" s="32" t="n">
        <v>34</v>
      </c>
      <c r="M2049" s="33" t="s">
        <v>347</v>
      </c>
      <c r="N2049" s="34" t="n">
        <v>75017</v>
      </c>
      <c r="O2049" s="35" t="s">
        <v>55</v>
      </c>
      <c r="P2049" s="36" t="s">
        <v>11101</v>
      </c>
      <c r="Q2049" s="36" t="n">
        <v>1</v>
      </c>
      <c r="R2049" s="32" t="n">
        <v>400</v>
      </c>
      <c r="S2049" s="32"/>
      <c r="T2049" s="32"/>
      <c r="U2049" s="32"/>
      <c r="V2049" s="37"/>
      <c r="W2049" s="32"/>
      <c r="X2049" s="34"/>
      <c r="Y2049" s="34"/>
      <c r="Z2049" s="32"/>
      <c r="AA2049" s="32" t="s">
        <v>11102</v>
      </c>
      <c r="AB2049" s="32" t="s">
        <v>11103</v>
      </c>
      <c r="AC2049" s="38" t="str">
        <f aca="false">HYPERLINK("https://biocodex6--c.vf.force.com/0014L00000kTkNeQAK", "OBISI MARIE")</f>
        <v>OBISI MARIE</v>
      </c>
      <c r="AD2049" s="38" t="str">
        <f aca="false">HYPERLINK("https://annuairesante.ameli.fr/professionnels-de-sante/recherche/fiche-detaillee-B7c1kzI5MDez.html", "OBISI MARIE")</f>
        <v>OBISI MARIE</v>
      </c>
      <c r="AE2049" s="39"/>
      <c r="AF2049" s="40"/>
      <c r="AG2049" s="41"/>
      <c r="AH2049" s="32"/>
      <c r="AI2049" s="32"/>
      <c r="AL2049" s="43" t="s">
        <v>657</v>
      </c>
      <c r="AM2049" s="43" t="s">
        <v>262</v>
      </c>
      <c r="AN2049" s="43" t="s">
        <v>657</v>
      </c>
      <c r="AO2049" s="43" t="s">
        <v>262</v>
      </c>
      <c r="AP2049" s="43" t="s">
        <v>657</v>
      </c>
      <c r="AQ2049" s="43" t="s">
        <v>262</v>
      </c>
      <c r="AR2049" s="43" t="s">
        <v>657</v>
      </c>
      <c r="AS2049" s="43" t="s">
        <v>262</v>
      </c>
      <c r="AT2049" s="43" t="s">
        <v>657</v>
      </c>
      <c r="AU2049" s="43" t="s">
        <v>262</v>
      </c>
      <c r="XEY2049" s="27"/>
      <c r="XEZ2049" s="27"/>
      <c r="XFA2049" s="27"/>
      <c r="XFB2049" s="27"/>
      <c r="XFC2049" s="27"/>
      <c r="XFD2049" s="27"/>
    </row>
    <row r="2050" s="42" customFormat="true" ht="14.15" hidden="false" customHeight="true" outlineLevel="0" collapsed="false">
      <c r="A2050" s="28" t="s">
        <v>11104</v>
      </c>
      <c r="B2050" s="29" t="s">
        <v>1143</v>
      </c>
      <c r="C2050" s="29" t="s">
        <v>11105</v>
      </c>
      <c r="D2050" s="30" t="s">
        <v>50</v>
      </c>
      <c r="E2050" s="31"/>
      <c r="F2050" s="32"/>
      <c r="G2050" s="31"/>
      <c r="H2050" s="31" t="n">
        <v>1</v>
      </c>
      <c r="I2050" s="31" t="s">
        <v>197</v>
      </c>
      <c r="J2050" s="29"/>
      <c r="K2050" s="29" t="s">
        <v>11106</v>
      </c>
      <c r="L2050" s="32" t="n">
        <v>26</v>
      </c>
      <c r="M2050" s="33" t="s">
        <v>11107</v>
      </c>
      <c r="N2050" s="34" t="n">
        <v>75017</v>
      </c>
      <c r="O2050" s="35" t="s">
        <v>55</v>
      </c>
      <c r="P2050" s="36" t="s">
        <v>11108</v>
      </c>
      <c r="Q2050" s="36" t="n">
        <v>1</v>
      </c>
      <c r="R2050" s="32" t="n">
        <v>400</v>
      </c>
      <c r="S2050" s="32"/>
      <c r="T2050" s="32"/>
      <c r="U2050" s="32"/>
      <c r="V2050" s="37"/>
      <c r="W2050" s="32"/>
      <c r="X2050" s="34"/>
      <c r="Y2050" s="34"/>
      <c r="Z2050" s="32"/>
      <c r="AA2050" s="32" t="s">
        <v>11109</v>
      </c>
      <c r="AB2050" s="32"/>
      <c r="AC2050" s="38" t="str">
        <f aca="false">HYPERLINK("https://biocodex6--c.vf.force.com/0014L00000NCqugQAD", "LENGRE MARC")</f>
        <v>LENGRE MARC</v>
      </c>
      <c r="AD2050" s="38"/>
      <c r="AE2050" s="39"/>
      <c r="AF2050" s="40"/>
      <c r="AG2050" s="41"/>
      <c r="AH2050" s="32"/>
      <c r="AI2050" s="32"/>
      <c r="AL2050" s="32"/>
      <c r="AM2050" s="32"/>
      <c r="AN2050" s="32"/>
      <c r="AO2050" s="32"/>
      <c r="AP2050" s="32"/>
      <c r="AQ2050" s="32"/>
      <c r="AR2050" s="32"/>
      <c r="AS2050" s="32"/>
      <c r="AT2050" s="32"/>
      <c r="AU2050" s="32"/>
      <c r="XEY2050" s="27"/>
      <c r="XEZ2050" s="27"/>
      <c r="XFA2050" s="27"/>
      <c r="XFB2050" s="27"/>
      <c r="XFC2050" s="27"/>
      <c r="XFD2050" s="27"/>
    </row>
    <row r="2051" s="42" customFormat="true" ht="14.15" hidden="false" customHeight="true" outlineLevel="0" collapsed="false">
      <c r="A2051" s="28" t="s">
        <v>11110</v>
      </c>
      <c r="B2051" s="29" t="s">
        <v>4707</v>
      </c>
      <c r="C2051" s="29" t="s">
        <v>11111</v>
      </c>
      <c r="D2051" s="30" t="s">
        <v>50</v>
      </c>
      <c r="E2051" s="31"/>
      <c r="F2051" s="32" t="n">
        <v>39</v>
      </c>
      <c r="G2051" s="31"/>
      <c r="H2051" s="31" t="n">
        <v>1</v>
      </c>
      <c r="I2051" s="31" t="s">
        <v>197</v>
      </c>
      <c r="J2051" s="29" t="s">
        <v>4801</v>
      </c>
      <c r="K2051" s="29" t="s">
        <v>4802</v>
      </c>
      <c r="L2051" s="32" t="n">
        <v>206</v>
      </c>
      <c r="M2051" s="33" t="s">
        <v>4230</v>
      </c>
      <c r="N2051" s="34" t="n">
        <v>75017</v>
      </c>
      <c r="O2051" s="35" t="s">
        <v>55</v>
      </c>
      <c r="P2051" s="36" t="s">
        <v>4803</v>
      </c>
      <c r="Q2051" s="36" t="n">
        <v>11</v>
      </c>
      <c r="R2051" s="32" t="n">
        <v>400</v>
      </c>
      <c r="S2051" s="32"/>
      <c r="T2051" s="32"/>
      <c r="U2051" s="32"/>
      <c r="V2051" s="37"/>
      <c r="W2051" s="32"/>
      <c r="X2051" s="34"/>
      <c r="Y2051" s="34"/>
      <c r="Z2051" s="32"/>
      <c r="AA2051" s="32" t="s">
        <v>11112</v>
      </c>
      <c r="AB2051" s="32"/>
      <c r="AC2051" s="38" t="str">
        <f aca="false">HYPERLINK("https://biocodex6--c.vf.force.com/0014L00000bPF5DQAW", "BELLEGARDE JOACHIM JOELLE")</f>
        <v>BELLEGARDE JOACHIM JOELLE</v>
      </c>
      <c r="AD2051" s="38"/>
      <c r="AE2051" s="39"/>
      <c r="AF2051" s="40"/>
      <c r="AG2051" s="41"/>
      <c r="AH2051" s="32"/>
      <c r="AI2051" s="32"/>
      <c r="AL2051" s="32"/>
      <c r="AM2051" s="32"/>
      <c r="AN2051" s="32"/>
      <c r="AO2051" s="32"/>
      <c r="AP2051" s="32"/>
      <c r="AQ2051" s="32"/>
      <c r="AR2051" s="32"/>
      <c r="AS2051" s="32"/>
      <c r="AT2051" s="32"/>
      <c r="AU2051" s="32"/>
      <c r="XEY2051" s="27"/>
      <c r="XEZ2051" s="27"/>
      <c r="XFA2051" s="27"/>
      <c r="XFB2051" s="27"/>
      <c r="XFC2051" s="27"/>
      <c r="XFD2051" s="27"/>
    </row>
    <row r="2052" s="42" customFormat="true" ht="14.15" hidden="false" customHeight="true" outlineLevel="0" collapsed="false">
      <c r="A2052" s="28" t="s">
        <v>11113</v>
      </c>
      <c r="B2052" s="29" t="s">
        <v>4707</v>
      </c>
      <c r="C2052" s="29" t="s">
        <v>11114</v>
      </c>
      <c r="D2052" s="30" t="s">
        <v>50</v>
      </c>
      <c r="E2052" s="31"/>
      <c r="F2052" s="32"/>
      <c r="G2052" s="31"/>
      <c r="H2052" s="31" t="n">
        <v>1</v>
      </c>
      <c r="I2052" s="31" t="s">
        <v>197</v>
      </c>
      <c r="J2052" s="29" t="s">
        <v>4801</v>
      </c>
      <c r="K2052" s="29" t="s">
        <v>4802</v>
      </c>
      <c r="L2052" s="32" t="n">
        <v>206</v>
      </c>
      <c r="M2052" s="33" t="s">
        <v>4230</v>
      </c>
      <c r="N2052" s="34" t="n">
        <v>75017</v>
      </c>
      <c r="O2052" s="35" t="s">
        <v>55</v>
      </c>
      <c r="P2052" s="36" t="s">
        <v>4803</v>
      </c>
      <c r="Q2052" s="36" t="n">
        <v>11</v>
      </c>
      <c r="R2052" s="32" t="n">
        <v>400</v>
      </c>
      <c r="S2052" s="32"/>
      <c r="T2052" s="32"/>
      <c r="U2052" s="32"/>
      <c r="V2052" s="37"/>
      <c r="W2052" s="32"/>
      <c r="X2052" s="34"/>
      <c r="Y2052" s="34"/>
      <c r="Z2052" s="32"/>
      <c r="AA2052" s="32" t="s">
        <v>11115</v>
      </c>
      <c r="AB2052" s="32"/>
      <c r="AC2052" s="38" t="str">
        <f aca="false">HYPERLINK("https://biocodex6--c.vf.force.com/0014L00000W3JX6QAN", "SANCHEZ JOELLE")</f>
        <v>SANCHEZ JOELLE</v>
      </c>
      <c r="AD2052" s="38"/>
      <c r="AE2052" s="39"/>
      <c r="AF2052" s="40"/>
      <c r="AG2052" s="41"/>
      <c r="AH2052" s="32"/>
      <c r="AI2052" s="32"/>
      <c r="AL2052" s="32"/>
      <c r="AM2052" s="32"/>
      <c r="AN2052" s="32"/>
      <c r="AO2052" s="32"/>
      <c r="AP2052" s="32"/>
      <c r="AQ2052" s="32"/>
      <c r="AR2052" s="32"/>
      <c r="AS2052" s="32"/>
      <c r="AT2052" s="32"/>
      <c r="AU2052" s="32"/>
      <c r="XEY2052" s="27"/>
      <c r="XEZ2052" s="27"/>
      <c r="XFA2052" s="27"/>
      <c r="XFB2052" s="27"/>
      <c r="XFC2052" s="27"/>
      <c r="XFD2052" s="27"/>
    </row>
    <row r="2053" s="42" customFormat="true" ht="14.15" hidden="false" customHeight="true" outlineLevel="0" collapsed="false">
      <c r="A2053" s="28" t="s">
        <v>11116</v>
      </c>
      <c r="B2053" s="29" t="s">
        <v>9426</v>
      </c>
      <c r="C2053" s="29" t="s">
        <v>11117</v>
      </c>
      <c r="D2053" s="30" t="s">
        <v>172</v>
      </c>
      <c r="E2053" s="31"/>
      <c r="F2053" s="32"/>
      <c r="G2053" s="31"/>
      <c r="H2053" s="31" t="n">
        <v>1</v>
      </c>
      <c r="I2053" s="31" t="s">
        <v>197</v>
      </c>
      <c r="J2053" s="29"/>
      <c r="K2053" s="29" t="s">
        <v>11118</v>
      </c>
      <c r="L2053" s="32" t="n">
        <v>24</v>
      </c>
      <c r="M2053" s="33" t="s">
        <v>8414</v>
      </c>
      <c r="N2053" s="34" t="n">
        <v>75017</v>
      </c>
      <c r="O2053" s="35" t="s">
        <v>55</v>
      </c>
      <c r="P2053" s="36" t="s">
        <v>11119</v>
      </c>
      <c r="Q2053" s="36" t="n">
        <v>1</v>
      </c>
      <c r="R2053" s="32" t="n">
        <v>400</v>
      </c>
      <c r="S2053" s="32"/>
      <c r="T2053" s="43" t="s">
        <v>316</v>
      </c>
      <c r="U2053" s="32"/>
      <c r="V2053" s="37"/>
      <c r="W2053" s="32"/>
      <c r="X2053" s="34"/>
      <c r="Y2053" s="34"/>
      <c r="Z2053" s="32"/>
      <c r="AA2053" s="32" t="s">
        <v>11120</v>
      </c>
      <c r="AB2053" s="32"/>
      <c r="AC2053" s="38" t="str">
        <f aca="false">HYPERLINK("https://biocodex6--c.vf.force.com/0014L00000YvQFSQA3", "DURAND AURELIE")</f>
        <v>DURAND AURELIE</v>
      </c>
      <c r="AD2053" s="38"/>
      <c r="AE2053" s="39"/>
      <c r="AF2053" s="40"/>
      <c r="AG2053" s="41"/>
      <c r="AH2053" s="32"/>
      <c r="AI2053" s="32"/>
      <c r="AL2053" s="32"/>
      <c r="AM2053" s="32"/>
      <c r="AN2053" s="32"/>
      <c r="AO2053" s="32"/>
      <c r="AP2053" s="32"/>
      <c r="AQ2053" s="32"/>
      <c r="AR2053" s="32"/>
      <c r="AS2053" s="32"/>
      <c r="AT2053" s="32"/>
      <c r="AU2053" s="32"/>
      <c r="XEY2053" s="27"/>
      <c r="XEZ2053" s="27"/>
      <c r="XFA2053" s="27"/>
      <c r="XFB2053" s="27"/>
      <c r="XFC2053" s="27"/>
      <c r="XFD2053" s="27"/>
    </row>
    <row r="2054" s="42" customFormat="true" ht="14.15" hidden="false" customHeight="true" outlineLevel="0" collapsed="false">
      <c r="A2054" s="28" t="s">
        <v>11121</v>
      </c>
      <c r="B2054" s="29" t="s">
        <v>11122</v>
      </c>
      <c r="C2054" s="29" t="s">
        <v>11123</v>
      </c>
      <c r="D2054" s="30" t="s">
        <v>50</v>
      </c>
      <c r="E2054" s="31"/>
      <c r="F2054" s="32"/>
      <c r="G2054" s="31"/>
      <c r="H2054" s="31" t="n">
        <v>1</v>
      </c>
      <c r="I2054" s="31" t="s">
        <v>197</v>
      </c>
      <c r="J2054" s="29" t="s">
        <v>2561</v>
      </c>
      <c r="K2054" s="29" t="s">
        <v>2562</v>
      </c>
      <c r="L2054" s="32" t="n">
        <v>6</v>
      </c>
      <c r="M2054" s="33" t="s">
        <v>2563</v>
      </c>
      <c r="N2054" s="34" t="n">
        <v>75017</v>
      </c>
      <c r="O2054" s="35" t="s">
        <v>55</v>
      </c>
      <c r="P2054" s="36" t="s">
        <v>2564</v>
      </c>
      <c r="Q2054" s="36" t="n">
        <v>6</v>
      </c>
      <c r="R2054" s="32" t="n">
        <v>400</v>
      </c>
      <c r="S2054" s="32"/>
      <c r="T2054" s="32"/>
      <c r="U2054" s="32"/>
      <c r="V2054" s="37"/>
      <c r="W2054" s="32"/>
      <c r="X2054" s="34"/>
      <c r="Y2054" s="34"/>
      <c r="Z2054" s="32"/>
      <c r="AA2054" s="32" t="s">
        <v>11124</v>
      </c>
      <c r="AB2054" s="32"/>
      <c r="AC2054" s="38" t="str">
        <f aca="false">HYPERLINK("https://biocodex6--c.vf.force.com/0014L00000ND11uQAD", "BENNIS KENZA")</f>
        <v>BENNIS KENZA</v>
      </c>
      <c r="AD2054" s="38"/>
      <c r="AE2054" s="39"/>
      <c r="AF2054" s="40"/>
      <c r="AG2054" s="41"/>
      <c r="AH2054" s="32"/>
      <c r="AI2054" s="32"/>
      <c r="AL2054" s="32"/>
      <c r="AM2054" s="32"/>
      <c r="AN2054" s="32"/>
      <c r="AO2054" s="32"/>
      <c r="AP2054" s="32"/>
      <c r="AQ2054" s="32"/>
      <c r="AR2054" s="32"/>
      <c r="AS2054" s="32"/>
      <c r="AT2054" s="32"/>
      <c r="AU2054" s="32"/>
      <c r="XEY2054" s="27"/>
      <c r="XEZ2054" s="27"/>
      <c r="XFA2054" s="27"/>
      <c r="XFB2054" s="27"/>
      <c r="XFC2054" s="27"/>
      <c r="XFD2054" s="27"/>
    </row>
    <row r="2055" s="42" customFormat="true" ht="14.15" hidden="false" customHeight="true" outlineLevel="0" collapsed="false">
      <c r="A2055" s="28" t="s">
        <v>11125</v>
      </c>
      <c r="B2055" s="29" t="s">
        <v>11126</v>
      </c>
      <c r="C2055" s="29" t="s">
        <v>11127</v>
      </c>
      <c r="D2055" s="30" t="s">
        <v>50</v>
      </c>
      <c r="E2055" s="30" t="s">
        <v>344</v>
      </c>
      <c r="F2055" s="32"/>
      <c r="G2055" s="31" t="s">
        <v>98</v>
      </c>
      <c r="H2055" s="31" t="n">
        <v>1</v>
      </c>
      <c r="I2055" s="31" t="s">
        <v>197</v>
      </c>
      <c r="J2055" s="29"/>
      <c r="K2055" s="29" t="s">
        <v>11128</v>
      </c>
      <c r="L2055" s="32" t="n">
        <v>5</v>
      </c>
      <c r="M2055" s="33" t="s">
        <v>11129</v>
      </c>
      <c r="N2055" s="34" t="n">
        <v>75017</v>
      </c>
      <c r="O2055" s="35" t="s">
        <v>55</v>
      </c>
      <c r="P2055" s="36" t="s">
        <v>11130</v>
      </c>
      <c r="Q2055" s="36" t="n">
        <v>1</v>
      </c>
      <c r="R2055" s="32" t="n">
        <v>400</v>
      </c>
      <c r="S2055" s="32"/>
      <c r="T2055" s="32"/>
      <c r="U2055" s="32"/>
      <c r="V2055" s="37"/>
      <c r="W2055" s="32"/>
      <c r="X2055" s="34"/>
      <c r="Y2055" s="34"/>
      <c r="Z2055" s="32"/>
      <c r="AA2055" s="32" t="s">
        <v>11131</v>
      </c>
      <c r="AB2055" s="32" t="s">
        <v>11132</v>
      </c>
      <c r="AC2055" s="38" t="str">
        <f aca="false">HYPERLINK("https://biocodex6--c.vf.force.com/001Py000001s9FjIAI", "FREISS REBECCA")</f>
        <v>FREISS REBECCA</v>
      </c>
      <c r="AD2055" s="38" t="str">
        <f aca="false">HYPERLINK("https://annuairesante.ameli.fr/professionnels-de-sante/recherche/fiche-detaillee-B7c1kzc2Nzux.html", "FREISS REBECCA")</f>
        <v>FREISS REBECCA</v>
      </c>
      <c r="AE2055" s="39"/>
      <c r="AF2055" s="40"/>
      <c r="AG2055" s="41"/>
      <c r="AH2055" s="32"/>
      <c r="AI2055" s="32"/>
      <c r="AL2055" s="32"/>
      <c r="AM2055" s="32"/>
      <c r="AN2055" s="32"/>
      <c r="AO2055" s="32"/>
      <c r="AP2055" s="32"/>
      <c r="AQ2055" s="32"/>
      <c r="AR2055" s="32"/>
      <c r="AS2055" s="32"/>
      <c r="AT2055" s="32"/>
      <c r="AU2055" s="32"/>
      <c r="XEY2055" s="27"/>
      <c r="XEZ2055" s="27"/>
      <c r="XFA2055" s="27"/>
      <c r="XFB2055" s="27"/>
      <c r="XFC2055" s="27"/>
      <c r="XFD2055" s="27"/>
    </row>
    <row r="2056" s="42" customFormat="true" ht="14.15" hidden="false" customHeight="true" outlineLevel="0" collapsed="false">
      <c r="A2056" s="28" t="s">
        <v>11133</v>
      </c>
      <c r="B2056" s="29" t="s">
        <v>1007</v>
      </c>
      <c r="C2056" s="29" t="s">
        <v>11134</v>
      </c>
      <c r="D2056" s="30" t="s">
        <v>50</v>
      </c>
      <c r="E2056" s="31"/>
      <c r="F2056" s="32"/>
      <c r="G2056" s="31"/>
      <c r="H2056" s="31" t="n">
        <v>1</v>
      </c>
      <c r="I2056" s="31" t="s">
        <v>173</v>
      </c>
      <c r="J2056" s="29"/>
      <c r="K2056" s="29" t="s">
        <v>11135</v>
      </c>
      <c r="L2056" s="32" t="n">
        <v>9</v>
      </c>
      <c r="M2056" s="33" t="s">
        <v>2412</v>
      </c>
      <c r="N2056" s="34" t="n">
        <v>75016</v>
      </c>
      <c r="O2056" s="35" t="s">
        <v>55</v>
      </c>
      <c r="P2056" s="36"/>
      <c r="Q2056" s="36" t="n">
        <v>1</v>
      </c>
      <c r="R2056" s="32" t="n">
        <v>400</v>
      </c>
      <c r="S2056" s="32"/>
      <c r="T2056" s="32"/>
      <c r="U2056" s="32"/>
      <c r="V2056" s="37"/>
      <c r="W2056" s="32"/>
      <c r="X2056" s="34"/>
      <c r="Y2056" s="34"/>
      <c r="Z2056" s="32"/>
      <c r="AA2056" s="32" t="s">
        <v>11136</v>
      </c>
      <c r="AB2056" s="32"/>
      <c r="AC2056" s="38" t="str">
        <f aca="false">HYPERLINK("https://biocodex6--c.vf.force.com/0014L00000kTnrYQAS", "KHORASSANI DAVID")</f>
        <v>KHORASSANI DAVID</v>
      </c>
      <c r="AD2056" s="38"/>
      <c r="AE2056" s="39"/>
      <c r="AF2056" s="40"/>
      <c r="AG2056" s="41"/>
      <c r="AH2056" s="32"/>
      <c r="AI2056" s="32"/>
      <c r="AL2056" s="32"/>
      <c r="AM2056" s="32"/>
      <c r="AN2056" s="32"/>
      <c r="AO2056" s="32"/>
      <c r="AP2056" s="32"/>
      <c r="AQ2056" s="32"/>
      <c r="AR2056" s="32"/>
      <c r="AS2056" s="32"/>
      <c r="AT2056" s="32"/>
      <c r="AU2056" s="32"/>
      <c r="XEY2056" s="27"/>
      <c r="XEZ2056" s="27"/>
      <c r="XFA2056" s="27"/>
      <c r="XFB2056" s="27"/>
      <c r="XFC2056" s="27"/>
      <c r="XFD2056" s="27"/>
    </row>
    <row r="2057" s="42" customFormat="true" ht="14.15" hidden="false" customHeight="true" outlineLevel="0" collapsed="false">
      <c r="A2057" s="28" t="s">
        <v>11137</v>
      </c>
      <c r="B2057" s="29" t="s">
        <v>128</v>
      </c>
      <c r="C2057" s="29" t="s">
        <v>11138</v>
      </c>
      <c r="D2057" s="30" t="s">
        <v>10203</v>
      </c>
      <c r="E2057" s="31"/>
      <c r="F2057" s="32"/>
      <c r="G2057" s="31"/>
      <c r="H2057" s="31" t="n">
        <v>1</v>
      </c>
      <c r="I2057" s="31" t="s">
        <v>233</v>
      </c>
      <c r="J2057" s="29"/>
      <c r="K2057" s="29" t="s">
        <v>2787</v>
      </c>
      <c r="L2057" s="32" t="n">
        <v>45</v>
      </c>
      <c r="M2057" s="33" t="s">
        <v>2788</v>
      </c>
      <c r="N2057" s="34" t="n">
        <v>75015</v>
      </c>
      <c r="O2057" s="35" t="s">
        <v>55</v>
      </c>
      <c r="P2057" s="36"/>
      <c r="Q2057" s="36" t="n">
        <v>2</v>
      </c>
      <c r="R2057" s="32" t="n">
        <v>400</v>
      </c>
      <c r="S2057" s="32"/>
      <c r="T2057" s="32"/>
      <c r="U2057" s="32"/>
      <c r="V2057" s="37"/>
      <c r="W2057" s="32"/>
      <c r="X2057" s="34"/>
      <c r="Y2057" s="34"/>
      <c r="Z2057" s="32"/>
      <c r="AA2057" s="32" t="s">
        <v>11139</v>
      </c>
      <c r="AB2057" s="32"/>
      <c r="AC2057" s="38" t="str">
        <f aca="false">HYPERLINK("https://biocodex6--c.vf.force.com/0014L00000NAgXUQA1", "RUZZA FRANCOISE")</f>
        <v>RUZZA FRANCOISE</v>
      </c>
      <c r="AD2057" s="38"/>
      <c r="AE2057" s="39"/>
      <c r="AF2057" s="40"/>
      <c r="AG2057" s="41"/>
      <c r="AH2057" s="32"/>
      <c r="AI2057" s="32"/>
      <c r="AL2057" s="32"/>
      <c r="AM2057" s="32"/>
      <c r="AN2057" s="32"/>
      <c r="AO2057" s="32"/>
      <c r="AP2057" s="32"/>
      <c r="AQ2057" s="32"/>
      <c r="AR2057" s="32"/>
      <c r="AS2057" s="32"/>
      <c r="AT2057" s="32"/>
      <c r="AU2057" s="32"/>
      <c r="XEY2057" s="27"/>
      <c r="XEZ2057" s="27"/>
      <c r="XFA2057" s="27"/>
      <c r="XFB2057" s="27"/>
      <c r="XFC2057" s="27"/>
      <c r="XFD2057" s="27"/>
    </row>
    <row r="2058" s="42" customFormat="true" ht="14.15" hidden="false" customHeight="true" outlineLevel="0" collapsed="false">
      <c r="A2058" s="28" t="s">
        <v>11140</v>
      </c>
      <c r="B2058" s="29" t="s">
        <v>1304</v>
      </c>
      <c r="C2058" s="29" t="s">
        <v>11141</v>
      </c>
      <c r="D2058" s="30" t="s">
        <v>10203</v>
      </c>
      <c r="E2058" s="31"/>
      <c r="F2058" s="32"/>
      <c r="G2058" s="31"/>
      <c r="H2058" s="31" t="n">
        <v>1</v>
      </c>
      <c r="I2058" s="31" t="s">
        <v>295</v>
      </c>
      <c r="J2058" s="29" t="s">
        <v>489</v>
      </c>
      <c r="K2058" s="29" t="s">
        <v>490</v>
      </c>
      <c r="L2058" s="32" t="n">
        <v>3</v>
      </c>
      <c r="M2058" s="33" t="s">
        <v>491</v>
      </c>
      <c r="N2058" s="34" t="n">
        <v>92300</v>
      </c>
      <c r="O2058" s="35" t="s">
        <v>298</v>
      </c>
      <c r="P2058" s="36" t="s">
        <v>1592</v>
      </c>
      <c r="Q2058" s="36" t="n">
        <v>26</v>
      </c>
      <c r="R2058" s="32" t="n">
        <v>400</v>
      </c>
      <c r="S2058" s="32"/>
      <c r="T2058" s="32"/>
      <c r="U2058" s="32"/>
      <c r="V2058" s="37"/>
      <c r="W2058" s="32"/>
      <c r="X2058" s="34"/>
      <c r="Y2058" s="34" t="n">
        <v>3</v>
      </c>
      <c r="Z2058" s="32"/>
      <c r="AA2058" s="32" t="s">
        <v>11142</v>
      </c>
      <c r="AB2058" s="32"/>
      <c r="AC2058" s="38" t="str">
        <f aca="false">HYPERLINK("https://biocodex6--c.vf.force.com/0014L00000KIWGvQAP", "FERRON PAULINE")</f>
        <v>FERRON PAULINE</v>
      </c>
      <c r="AD2058" s="38"/>
      <c r="AE2058" s="39"/>
      <c r="AF2058" s="40"/>
      <c r="AG2058" s="41"/>
      <c r="AH2058" s="32"/>
      <c r="AI2058" s="32"/>
      <c r="AL2058" s="32"/>
      <c r="AM2058" s="32"/>
      <c r="AN2058" s="32"/>
      <c r="AO2058" s="32"/>
      <c r="AP2058" s="32"/>
      <c r="AQ2058" s="32"/>
      <c r="AR2058" s="32"/>
      <c r="AS2058" s="32"/>
      <c r="AT2058" s="32"/>
      <c r="AU2058" s="32"/>
      <c r="XEY2058" s="27"/>
      <c r="XEZ2058" s="27"/>
      <c r="XFA2058" s="27"/>
      <c r="XFB2058" s="27"/>
      <c r="XFC2058" s="27"/>
      <c r="XFD2058" s="27"/>
    </row>
    <row r="2059" s="42" customFormat="true" ht="14.15" hidden="false" customHeight="true" outlineLevel="0" collapsed="false">
      <c r="A2059" s="28" t="s">
        <v>8257</v>
      </c>
      <c r="B2059" s="29" t="s">
        <v>612</v>
      </c>
      <c r="C2059" s="29" t="s">
        <v>11143</v>
      </c>
      <c r="D2059" s="30" t="s">
        <v>50</v>
      </c>
      <c r="E2059" s="30" t="s">
        <v>344</v>
      </c>
      <c r="F2059" s="32"/>
      <c r="G2059" s="31"/>
      <c r="H2059" s="31" t="n">
        <v>1</v>
      </c>
      <c r="I2059" s="31" t="s">
        <v>77</v>
      </c>
      <c r="J2059" s="29"/>
      <c r="K2059" s="29" t="s">
        <v>4728</v>
      </c>
      <c r="L2059" s="32" t="n">
        <v>160</v>
      </c>
      <c r="M2059" s="33" t="s">
        <v>379</v>
      </c>
      <c r="N2059" s="34" t="n">
        <v>92200</v>
      </c>
      <c r="O2059" s="35" t="s">
        <v>81</v>
      </c>
      <c r="P2059" s="36" t="s">
        <v>4729</v>
      </c>
      <c r="Q2059" s="36" t="n">
        <v>2</v>
      </c>
      <c r="R2059" s="32" t="n">
        <v>400</v>
      </c>
      <c r="S2059" s="32"/>
      <c r="T2059" s="32"/>
      <c r="U2059" s="32"/>
      <c r="V2059" s="37"/>
      <c r="W2059" s="32"/>
      <c r="X2059" s="34"/>
      <c r="Y2059" s="34"/>
      <c r="Z2059" s="32"/>
      <c r="AA2059" s="32" t="s">
        <v>11144</v>
      </c>
      <c r="AB2059" s="32"/>
      <c r="AC2059" s="38" t="str">
        <f aca="false">HYPERLINK("https://biocodex6--c.vf.force.com/0014L00000KGPleQAH", "CHICHE CORINNE")</f>
        <v>CHICHE CORINNE</v>
      </c>
      <c r="AD2059" s="38"/>
      <c r="AE2059" s="39"/>
      <c r="AF2059" s="40"/>
      <c r="AG2059" s="41"/>
      <c r="AH2059" s="32"/>
      <c r="AI2059" s="32"/>
      <c r="AL2059" s="32"/>
      <c r="AM2059" s="32"/>
      <c r="AN2059" s="32"/>
      <c r="AO2059" s="32"/>
      <c r="AP2059" s="32"/>
      <c r="AQ2059" s="32"/>
      <c r="AR2059" s="32"/>
      <c r="AS2059" s="32"/>
      <c r="AT2059" s="32"/>
      <c r="AU2059" s="32"/>
      <c r="XEY2059" s="27"/>
      <c r="XEZ2059" s="27"/>
      <c r="XFA2059" s="27"/>
      <c r="XFB2059" s="27"/>
      <c r="XFC2059" s="27"/>
      <c r="XFD2059" s="27"/>
    </row>
    <row r="2060" s="42" customFormat="true" ht="14.15" hidden="false" customHeight="true" outlineLevel="0" collapsed="false">
      <c r="A2060" s="28" t="s">
        <v>578</v>
      </c>
      <c r="B2060" s="29" t="s">
        <v>1766</v>
      </c>
      <c r="C2060" s="29" t="s">
        <v>11145</v>
      </c>
      <c r="D2060" s="30" t="s">
        <v>50</v>
      </c>
      <c r="E2060" s="31"/>
      <c r="F2060" s="32" t="n">
        <v>46</v>
      </c>
      <c r="G2060" s="31"/>
      <c r="H2060" s="31" t="n">
        <v>1</v>
      </c>
      <c r="I2060" s="31" t="s">
        <v>77</v>
      </c>
      <c r="J2060" s="29" t="s">
        <v>1528</v>
      </c>
      <c r="K2060" s="29" t="s">
        <v>1529</v>
      </c>
      <c r="L2060" s="32" t="n">
        <v>58</v>
      </c>
      <c r="M2060" s="33" t="s">
        <v>1530</v>
      </c>
      <c r="N2060" s="34" t="n">
        <v>92200</v>
      </c>
      <c r="O2060" s="35" t="s">
        <v>81</v>
      </c>
      <c r="P2060" s="36" t="s">
        <v>1531</v>
      </c>
      <c r="Q2060" s="36" t="n">
        <v>6</v>
      </c>
      <c r="R2060" s="32" t="n">
        <v>400</v>
      </c>
      <c r="S2060" s="32"/>
      <c r="T2060" s="32"/>
      <c r="U2060" s="32"/>
      <c r="V2060" s="37"/>
      <c r="W2060" s="32"/>
      <c r="X2060" s="34"/>
      <c r="Y2060" s="34"/>
      <c r="Z2060" s="32"/>
      <c r="AA2060" s="32" t="s">
        <v>11146</v>
      </c>
      <c r="AB2060" s="32"/>
      <c r="AC2060" s="38" t="str">
        <f aca="false">HYPERLINK("https://biocodex6--c.vf.force.com/0014L00000fcHBYQA2", "HERVE FRANCOIS")</f>
        <v>HERVE FRANCOIS</v>
      </c>
      <c r="AD2060" s="38"/>
      <c r="AE2060" s="39"/>
      <c r="AF2060" s="40"/>
      <c r="AG2060" s="41"/>
      <c r="AH2060" s="32"/>
      <c r="AI2060" s="32"/>
      <c r="AL2060" s="32"/>
      <c r="AM2060" s="32"/>
      <c r="AN2060" s="32"/>
      <c r="AO2060" s="32"/>
      <c r="AP2060" s="32"/>
      <c r="AQ2060" s="32"/>
      <c r="AR2060" s="32"/>
      <c r="AS2060" s="32"/>
      <c r="AT2060" s="32"/>
      <c r="AU2060" s="32"/>
      <c r="XEY2060" s="27"/>
      <c r="XEZ2060" s="27"/>
      <c r="XFA2060" s="27"/>
      <c r="XFB2060" s="27"/>
      <c r="XFC2060" s="27"/>
      <c r="XFD2060" s="27"/>
    </row>
    <row r="2061" s="42" customFormat="true" ht="14.15" hidden="false" customHeight="true" outlineLevel="0" collapsed="false">
      <c r="A2061" s="28" t="s">
        <v>11147</v>
      </c>
      <c r="B2061" s="29" t="s">
        <v>332</v>
      </c>
      <c r="C2061" s="29" t="s">
        <v>11148</v>
      </c>
      <c r="D2061" s="30" t="s">
        <v>50</v>
      </c>
      <c r="E2061" s="31"/>
      <c r="F2061" s="32"/>
      <c r="G2061" s="31"/>
      <c r="H2061" s="31" t="n">
        <v>1</v>
      </c>
      <c r="I2061" s="31" t="s">
        <v>77</v>
      </c>
      <c r="J2061" s="29"/>
      <c r="K2061" s="29" t="s">
        <v>11149</v>
      </c>
      <c r="L2061" s="32" t="n">
        <v>3</v>
      </c>
      <c r="M2061" s="33" t="s">
        <v>4254</v>
      </c>
      <c r="N2061" s="34" t="n">
        <v>92200</v>
      </c>
      <c r="O2061" s="35" t="s">
        <v>81</v>
      </c>
      <c r="P2061" s="36" t="s">
        <v>11150</v>
      </c>
      <c r="Q2061" s="36" t="n">
        <v>1</v>
      </c>
      <c r="R2061" s="32" t="n">
        <v>400</v>
      </c>
      <c r="S2061" s="32"/>
      <c r="T2061" s="32"/>
      <c r="U2061" s="32"/>
      <c r="V2061" s="37"/>
      <c r="W2061" s="32"/>
      <c r="X2061" s="34"/>
      <c r="Y2061" s="34"/>
      <c r="Z2061" s="32"/>
      <c r="AA2061" s="32" t="s">
        <v>11151</v>
      </c>
      <c r="AB2061" s="32"/>
      <c r="AC2061" s="38" t="str">
        <f aca="false">HYPERLINK("https://biocodex6--c.vf.force.com/0014L00000KGPQ5QAP", "VERDIERE CATHERINE")</f>
        <v>VERDIERE CATHERINE</v>
      </c>
      <c r="AD2061" s="38"/>
      <c r="AE2061" s="39"/>
      <c r="AF2061" s="40"/>
      <c r="AG2061" s="41"/>
      <c r="AH2061" s="32"/>
      <c r="AI2061" s="32"/>
      <c r="AL2061" s="32"/>
      <c r="AM2061" s="32"/>
      <c r="AN2061" s="32"/>
      <c r="AO2061" s="32"/>
      <c r="AP2061" s="32"/>
      <c r="AQ2061" s="32"/>
      <c r="AR2061" s="32"/>
      <c r="AS2061" s="32"/>
      <c r="AT2061" s="32"/>
      <c r="AU2061" s="32"/>
      <c r="XEY2061" s="27"/>
      <c r="XEZ2061" s="27"/>
      <c r="XFA2061" s="27"/>
      <c r="XFB2061" s="27"/>
      <c r="XFC2061" s="27"/>
      <c r="XFD2061" s="27"/>
    </row>
    <row r="2062" s="42" customFormat="true" ht="14.15" hidden="false" customHeight="true" outlineLevel="0" collapsed="false">
      <c r="A2062" s="28" t="s">
        <v>375</v>
      </c>
      <c r="B2062" s="29" t="s">
        <v>10590</v>
      </c>
      <c r="C2062" s="29" t="s">
        <v>11152</v>
      </c>
      <c r="D2062" s="30" t="s">
        <v>50</v>
      </c>
      <c r="E2062" s="31"/>
      <c r="F2062" s="32" t="n">
        <v>0</v>
      </c>
      <c r="G2062" s="31" t="s">
        <v>215</v>
      </c>
      <c r="H2062" s="31" t="n">
        <v>1</v>
      </c>
      <c r="I2062" s="31" t="s">
        <v>572</v>
      </c>
      <c r="J2062" s="29"/>
      <c r="K2062" s="29" t="s">
        <v>11153</v>
      </c>
      <c r="L2062" s="32" t="n">
        <v>27</v>
      </c>
      <c r="M2062" s="33" t="s">
        <v>7391</v>
      </c>
      <c r="N2062" s="34" t="n">
        <v>75008</v>
      </c>
      <c r="O2062" s="35" t="s">
        <v>55</v>
      </c>
      <c r="P2062" s="36" t="s">
        <v>11154</v>
      </c>
      <c r="Q2062" s="36" t="n">
        <v>1</v>
      </c>
      <c r="R2062" s="32" t="n">
        <v>326</v>
      </c>
      <c r="S2062" s="32"/>
      <c r="T2062" s="32"/>
      <c r="U2062" s="32"/>
      <c r="V2062" s="37"/>
      <c r="W2062" s="32"/>
      <c r="X2062" s="34"/>
      <c r="Y2062" s="34"/>
      <c r="Z2062" s="32"/>
      <c r="AA2062" s="32" t="s">
        <v>11155</v>
      </c>
      <c r="AB2062" s="32" t="s">
        <v>11156</v>
      </c>
      <c r="AC2062" s="38" t="str">
        <f aca="false">HYPERLINK("https://biocodex6--c.vf.force.com/0014L00000KGCjKQAX", "ICHOU MARCEL")</f>
        <v>ICHOU MARCEL</v>
      </c>
      <c r="AD2062" s="38" t="str">
        <f aca="false">HYPERLINK("https://annuairesante.ameli.fr/professionnels-de-sante/recherche/fiche-detaillee-B7c1lzszMTe3.html", "ICHOU MARCEL")</f>
        <v>ICHOU MARCEL</v>
      </c>
      <c r="AE2062" s="39"/>
      <c r="AF2062" s="40"/>
      <c r="AG2062" s="41"/>
      <c r="AH2062" s="32"/>
      <c r="AI2062" s="32"/>
      <c r="AL2062" s="43" t="s">
        <v>640</v>
      </c>
      <c r="AM2062" s="43" t="s">
        <v>137</v>
      </c>
      <c r="AN2062" s="43" t="s">
        <v>640</v>
      </c>
      <c r="AO2062" s="43" t="s">
        <v>137</v>
      </c>
      <c r="AP2062" s="43" t="s">
        <v>640</v>
      </c>
      <c r="AQ2062" s="43" t="s">
        <v>137</v>
      </c>
      <c r="AR2062" s="43" t="s">
        <v>640</v>
      </c>
      <c r="AS2062" s="43" t="s">
        <v>137</v>
      </c>
      <c r="AT2062" s="43" t="s">
        <v>640</v>
      </c>
      <c r="AU2062" s="43" t="s">
        <v>137</v>
      </c>
      <c r="XEY2062" s="27"/>
      <c r="XEZ2062" s="27"/>
      <c r="XFA2062" s="27"/>
      <c r="XFB2062" s="27"/>
      <c r="XFC2062" s="27"/>
      <c r="XFD2062" s="27"/>
    </row>
    <row r="2063" s="42" customFormat="true" ht="14.15" hidden="false" customHeight="true" outlineLevel="0" collapsed="false">
      <c r="A2063" s="28" t="s">
        <v>11157</v>
      </c>
      <c r="B2063" s="29" t="s">
        <v>399</v>
      </c>
      <c r="C2063" s="29" t="s">
        <v>11158</v>
      </c>
      <c r="D2063" s="30" t="s">
        <v>50</v>
      </c>
      <c r="E2063" s="30" t="s">
        <v>255</v>
      </c>
      <c r="F2063" s="32" t="n">
        <v>46</v>
      </c>
      <c r="G2063" s="31"/>
      <c r="H2063" s="31" t="n">
        <v>1</v>
      </c>
      <c r="I2063" s="31" t="s">
        <v>77</v>
      </c>
      <c r="J2063" s="29"/>
      <c r="K2063" s="29" t="s">
        <v>11159</v>
      </c>
      <c r="L2063" s="32" t="n">
        <v>74</v>
      </c>
      <c r="M2063" s="33" t="s">
        <v>11160</v>
      </c>
      <c r="N2063" s="34" t="n">
        <v>92200</v>
      </c>
      <c r="O2063" s="35" t="s">
        <v>81</v>
      </c>
      <c r="P2063" s="36" t="s">
        <v>11161</v>
      </c>
      <c r="Q2063" s="36" t="n">
        <v>1</v>
      </c>
      <c r="R2063" s="32" t="n">
        <v>239</v>
      </c>
      <c r="S2063" s="32"/>
      <c r="T2063" s="32"/>
      <c r="U2063" s="32"/>
      <c r="V2063" s="37"/>
      <c r="W2063" s="32"/>
      <c r="X2063" s="34"/>
      <c r="Y2063" s="34"/>
      <c r="Z2063" s="32"/>
      <c r="AA2063" s="32" t="s">
        <v>11162</v>
      </c>
      <c r="AB2063" s="32"/>
      <c r="AC2063" s="38" t="str">
        <f aca="false">HYPERLINK("https://biocodex6--c.vf.force.com/0014L00000NC1AhQAL", "KRYS OLIVIER")</f>
        <v>KRYS OLIVIER</v>
      </c>
      <c r="AD2063" s="38"/>
      <c r="AE2063" s="39"/>
      <c r="AF2063" s="40"/>
      <c r="AG2063" s="41"/>
      <c r="AH2063" s="32"/>
      <c r="AI2063" s="32"/>
      <c r="AL2063" s="32"/>
      <c r="AM2063" s="32"/>
      <c r="AN2063" s="32"/>
      <c r="AO2063" s="32"/>
      <c r="AP2063" s="32"/>
      <c r="AQ2063" s="32"/>
      <c r="AR2063" s="32"/>
      <c r="AS2063" s="32"/>
      <c r="AT2063" s="32"/>
      <c r="AU2063" s="32"/>
      <c r="XEY2063" s="27"/>
      <c r="XEZ2063" s="27"/>
      <c r="XFA2063" s="27"/>
      <c r="XFB2063" s="27"/>
      <c r="XFC2063" s="27"/>
      <c r="XFD2063" s="27"/>
    </row>
    <row r="2064" s="42" customFormat="true" ht="14.15" hidden="false" customHeight="true" outlineLevel="0" collapsed="false">
      <c r="A2064" s="28" t="s">
        <v>11163</v>
      </c>
      <c r="B2064" s="29" t="s">
        <v>11164</v>
      </c>
      <c r="C2064" s="29" t="s">
        <v>11165</v>
      </c>
      <c r="D2064" s="30" t="s">
        <v>268</v>
      </c>
      <c r="E2064" s="31"/>
      <c r="F2064" s="32" t="n">
        <v>39</v>
      </c>
      <c r="G2064" s="31"/>
      <c r="H2064" s="31" t="n">
        <v>1</v>
      </c>
      <c r="I2064" s="31" t="s">
        <v>51</v>
      </c>
      <c r="J2064" s="29" t="s">
        <v>52</v>
      </c>
      <c r="K2064" s="29" t="s">
        <v>53</v>
      </c>
      <c r="L2064" s="32" t="n">
        <v>149</v>
      </c>
      <c r="M2064" s="33" t="s">
        <v>54</v>
      </c>
      <c r="N2064" s="34" t="n">
        <v>75015</v>
      </c>
      <c r="O2064" s="35" t="s">
        <v>55</v>
      </c>
      <c r="P2064" s="36" t="s">
        <v>269</v>
      </c>
      <c r="Q2064" s="36" t="n">
        <v>236</v>
      </c>
      <c r="R2064" s="32" t="n">
        <v>221</v>
      </c>
      <c r="S2064" s="32"/>
      <c r="T2064" s="32"/>
      <c r="U2064" s="32"/>
      <c r="V2064" s="37"/>
      <c r="W2064" s="32"/>
      <c r="X2064" s="34"/>
      <c r="Y2064" s="34"/>
      <c r="Z2064" s="32" t="s">
        <v>11166</v>
      </c>
      <c r="AA2064" s="32" t="s">
        <v>11167</v>
      </c>
      <c r="AB2064" s="32"/>
      <c r="AC2064" s="38" t="str">
        <f aca="false">HYPERLINK("https://biocodex6--c.vf.force.com/0014L00000KGJMEQA5", "LOSITO EMMA")</f>
        <v>LOSITO EMMA</v>
      </c>
      <c r="AD2064" s="38"/>
      <c r="AE2064" s="39"/>
      <c r="AF2064" s="40"/>
      <c r="AG2064" s="41"/>
      <c r="AH2064" s="32"/>
      <c r="AI2064" s="32"/>
      <c r="AL2064" s="32"/>
      <c r="AM2064" s="32"/>
      <c r="AN2064" s="32"/>
      <c r="AO2064" s="32"/>
      <c r="AP2064" s="32"/>
      <c r="AQ2064" s="32"/>
      <c r="AR2064" s="32"/>
      <c r="AS2064" s="32"/>
      <c r="AT2064" s="32"/>
      <c r="AU2064" s="32"/>
      <c r="XEY2064" s="27"/>
      <c r="XEZ2064" s="27"/>
      <c r="XFA2064" s="27"/>
      <c r="XFB2064" s="27"/>
      <c r="XFC2064" s="27"/>
      <c r="XFD2064" s="27"/>
    </row>
    <row r="2065" s="42" customFormat="true" ht="14.15" hidden="false" customHeight="true" outlineLevel="0" collapsed="false">
      <c r="A2065" s="28" t="s">
        <v>11168</v>
      </c>
      <c r="B2065" s="29" t="s">
        <v>1736</v>
      </c>
      <c r="C2065" s="29" t="s">
        <v>11169</v>
      </c>
      <c r="D2065" s="30" t="s">
        <v>50</v>
      </c>
      <c r="E2065" s="30" t="s">
        <v>112</v>
      </c>
      <c r="F2065" s="32" t="n">
        <v>0</v>
      </c>
      <c r="G2065" s="31"/>
      <c r="H2065" s="31" t="n">
        <v>1</v>
      </c>
      <c r="I2065" s="31" t="s">
        <v>51</v>
      </c>
      <c r="J2065" s="29" t="s">
        <v>52</v>
      </c>
      <c r="K2065" s="29" t="s">
        <v>53</v>
      </c>
      <c r="L2065" s="32" t="n">
        <v>149</v>
      </c>
      <c r="M2065" s="33" t="s">
        <v>54</v>
      </c>
      <c r="N2065" s="34" t="n">
        <v>75015</v>
      </c>
      <c r="O2065" s="35" t="s">
        <v>55</v>
      </c>
      <c r="P2065" s="36" t="s">
        <v>7947</v>
      </c>
      <c r="Q2065" s="36" t="n">
        <v>236</v>
      </c>
      <c r="R2065" s="32" t="n">
        <v>196</v>
      </c>
      <c r="S2065" s="32"/>
      <c r="T2065" s="32"/>
      <c r="U2065" s="32"/>
      <c r="V2065" s="37"/>
      <c r="W2065" s="32"/>
      <c r="X2065" s="34"/>
      <c r="Y2065" s="34"/>
      <c r="Z2065" s="32"/>
      <c r="AA2065" s="32" t="s">
        <v>11170</v>
      </c>
      <c r="AB2065" s="32"/>
      <c r="AC2065" s="38" t="str">
        <f aca="false">HYPERLINK("https://biocodex6--c.vf.force.com/0014L00000KGDZWQA5", "BONNEFONT JEAN PAUL")</f>
        <v>BONNEFONT JEAN PAUL</v>
      </c>
      <c r="AD2065" s="38"/>
      <c r="AE2065" s="39"/>
      <c r="AF2065" s="40"/>
      <c r="AG2065" s="41"/>
      <c r="AH2065" s="32"/>
      <c r="AI2065" s="32"/>
      <c r="AL2065" s="32"/>
      <c r="AM2065" s="32"/>
      <c r="AN2065" s="32"/>
      <c r="AO2065" s="32"/>
      <c r="AP2065" s="32"/>
      <c r="AQ2065" s="32"/>
      <c r="AR2065" s="32"/>
      <c r="AS2065" s="32"/>
      <c r="AT2065" s="32"/>
      <c r="AU2065" s="32"/>
      <c r="XEY2065" s="27"/>
      <c r="XEZ2065" s="27"/>
      <c r="XFA2065" s="27"/>
      <c r="XFB2065" s="27"/>
      <c r="XFC2065" s="27"/>
      <c r="XFD2065" s="27"/>
    </row>
    <row r="2066" s="42" customFormat="true" ht="14.15" hidden="false" customHeight="true" outlineLevel="0" collapsed="false">
      <c r="A2066" s="28" t="s">
        <v>11171</v>
      </c>
      <c r="B2066" s="29" t="s">
        <v>11172</v>
      </c>
      <c r="C2066" s="29" t="s">
        <v>11173</v>
      </c>
      <c r="D2066" s="30" t="s">
        <v>50</v>
      </c>
      <c r="E2066" s="31"/>
      <c r="F2066" s="32"/>
      <c r="G2066" s="31"/>
      <c r="H2066" s="31" t="n">
        <v>1</v>
      </c>
      <c r="I2066" s="31" t="s">
        <v>197</v>
      </c>
      <c r="J2066" s="29"/>
      <c r="K2066" s="29" t="s">
        <v>10506</v>
      </c>
      <c r="L2066" s="32" t="n">
        <v>1</v>
      </c>
      <c r="M2066" s="33" t="s">
        <v>10507</v>
      </c>
      <c r="N2066" s="34" t="n">
        <v>75017</v>
      </c>
      <c r="O2066" s="35" t="s">
        <v>55</v>
      </c>
      <c r="P2066" s="36" t="s">
        <v>10508</v>
      </c>
      <c r="Q2066" s="36" t="n">
        <v>3</v>
      </c>
      <c r="R2066" s="32" t="n">
        <v>196</v>
      </c>
      <c r="S2066" s="32"/>
      <c r="T2066" s="32"/>
      <c r="U2066" s="32"/>
      <c r="V2066" s="37"/>
      <c r="W2066" s="32"/>
      <c r="X2066" s="34"/>
      <c r="Y2066" s="34"/>
      <c r="Z2066" s="32"/>
      <c r="AA2066" s="32" t="s">
        <v>11174</v>
      </c>
      <c r="AB2066" s="32"/>
      <c r="AC2066" s="38" t="str">
        <f aca="false">HYPERLINK("https://biocodex6--c.vf.force.com/0014L00000KGJWTQA5", "HAMEL LORAINE")</f>
        <v>HAMEL LORAINE</v>
      </c>
      <c r="AD2066" s="38"/>
      <c r="AE2066" s="39"/>
      <c r="AF2066" s="40"/>
      <c r="AG2066" s="41"/>
      <c r="AH2066" s="32"/>
      <c r="AI2066" s="32"/>
      <c r="AL2066" s="32"/>
      <c r="AM2066" s="32"/>
      <c r="AN2066" s="32"/>
      <c r="AO2066" s="32"/>
      <c r="AP2066" s="32"/>
      <c r="AQ2066" s="32"/>
      <c r="AR2066" s="32"/>
      <c r="AS2066" s="32"/>
      <c r="AT2066" s="32"/>
      <c r="AU2066" s="32"/>
      <c r="XEY2066" s="27"/>
      <c r="XEZ2066" s="27"/>
      <c r="XFA2066" s="27"/>
      <c r="XFB2066" s="27"/>
      <c r="XFC2066" s="27"/>
      <c r="XFD2066" s="27"/>
    </row>
    <row r="2067" s="42" customFormat="true" ht="14.15" hidden="false" customHeight="true" outlineLevel="0" collapsed="false">
      <c r="A2067" s="28" t="s">
        <v>11175</v>
      </c>
      <c r="B2067" s="29" t="s">
        <v>11176</v>
      </c>
      <c r="C2067" s="29" t="s">
        <v>11177</v>
      </c>
      <c r="D2067" s="30" t="s">
        <v>112</v>
      </c>
      <c r="E2067" s="31"/>
      <c r="F2067" s="32" t="n">
        <v>0</v>
      </c>
      <c r="G2067" s="31"/>
      <c r="H2067" s="31" t="n">
        <v>1</v>
      </c>
      <c r="I2067" s="31" t="s">
        <v>51</v>
      </c>
      <c r="J2067" s="29" t="s">
        <v>52</v>
      </c>
      <c r="K2067" s="29" t="s">
        <v>53</v>
      </c>
      <c r="L2067" s="32" t="n">
        <v>149</v>
      </c>
      <c r="M2067" s="33" t="s">
        <v>54</v>
      </c>
      <c r="N2067" s="34" t="n">
        <v>75015</v>
      </c>
      <c r="O2067" s="35" t="s">
        <v>55</v>
      </c>
      <c r="P2067" s="36" t="s">
        <v>8000</v>
      </c>
      <c r="Q2067" s="36" t="n">
        <v>236</v>
      </c>
      <c r="R2067" s="32" t="n">
        <v>164</v>
      </c>
      <c r="S2067" s="32"/>
      <c r="T2067" s="32"/>
      <c r="U2067" s="32"/>
      <c r="V2067" s="37"/>
      <c r="W2067" s="32"/>
      <c r="X2067" s="34"/>
      <c r="Y2067" s="34"/>
      <c r="Z2067" s="32"/>
      <c r="AA2067" s="32" t="s">
        <v>11178</v>
      </c>
      <c r="AB2067" s="32"/>
      <c r="AC2067" s="38" t="str">
        <f aca="false">HYPERLINK("https://biocodex6--c.vf.force.com/0014L00000KGNY2QAP", "TRUONG BA LUU")</f>
        <v>TRUONG BA LUU</v>
      </c>
      <c r="AD2067" s="38"/>
      <c r="AE2067" s="39"/>
      <c r="AF2067" s="40"/>
      <c r="AG2067" s="41"/>
      <c r="AH2067" s="32"/>
      <c r="AI2067" s="32"/>
      <c r="AL2067" s="32"/>
      <c r="AM2067" s="32"/>
      <c r="AN2067" s="32"/>
      <c r="AO2067" s="32"/>
      <c r="AP2067" s="32"/>
      <c r="AQ2067" s="32"/>
      <c r="AR2067" s="32"/>
      <c r="AS2067" s="32"/>
      <c r="AT2067" s="32"/>
      <c r="AU2067" s="32"/>
      <c r="XEY2067" s="27"/>
      <c r="XEZ2067" s="27"/>
      <c r="XFA2067" s="27"/>
      <c r="XFB2067" s="27"/>
      <c r="XFC2067" s="27"/>
      <c r="XFD2067" s="27"/>
    </row>
    <row r="2068" s="42" customFormat="true" ht="14.15" hidden="false" customHeight="true" outlineLevel="0" collapsed="false">
      <c r="A2068" s="28" t="s">
        <v>11179</v>
      </c>
      <c r="B2068" s="29" t="s">
        <v>117</v>
      </c>
      <c r="C2068" s="29" t="s">
        <v>11180</v>
      </c>
      <c r="D2068" s="30" t="s">
        <v>50</v>
      </c>
      <c r="E2068" s="30" t="s">
        <v>2281</v>
      </c>
      <c r="F2068" s="32"/>
      <c r="G2068" s="31"/>
      <c r="H2068" s="31" t="n">
        <v>1</v>
      </c>
      <c r="I2068" s="31" t="s">
        <v>295</v>
      </c>
      <c r="J2068" s="29"/>
      <c r="K2068" s="29" t="s">
        <v>10553</v>
      </c>
      <c r="L2068" s="32" t="n">
        <v>1</v>
      </c>
      <c r="M2068" s="33" t="s">
        <v>10554</v>
      </c>
      <c r="N2068" s="34" t="n">
        <v>92300</v>
      </c>
      <c r="O2068" s="35" t="s">
        <v>298</v>
      </c>
      <c r="P2068" s="36" t="s">
        <v>10555</v>
      </c>
      <c r="Q2068" s="36" t="n">
        <v>2</v>
      </c>
      <c r="R2068" s="32" t="n">
        <v>156</v>
      </c>
      <c r="S2068" s="32"/>
      <c r="T2068" s="32"/>
      <c r="U2068" s="32"/>
      <c r="V2068" s="37"/>
      <c r="W2068" s="32"/>
      <c r="X2068" s="34"/>
      <c r="Y2068" s="34"/>
      <c r="Z2068" s="32"/>
      <c r="AA2068" s="32" t="s">
        <v>11181</v>
      </c>
      <c r="AB2068" s="32"/>
      <c r="AC2068" s="38" t="str">
        <f aca="false">HYPERLINK("https://biocodex6--c.vf.force.com/0014L00000KGHKfQAP", "MEISCH DOMINIQUE")</f>
        <v>MEISCH DOMINIQUE</v>
      </c>
      <c r="AD2068" s="38"/>
      <c r="AE2068" s="39"/>
      <c r="AF2068" s="40"/>
      <c r="AG2068" s="41"/>
      <c r="AH2068" s="32"/>
      <c r="AI2068" s="32"/>
      <c r="AL2068" s="32"/>
      <c r="AM2068" s="32"/>
      <c r="AN2068" s="32"/>
      <c r="AO2068" s="32"/>
      <c r="AP2068" s="32"/>
      <c r="AQ2068" s="32"/>
      <c r="AR2068" s="32"/>
      <c r="AS2068" s="32"/>
      <c r="AT2068" s="32"/>
      <c r="AU2068" s="32"/>
      <c r="XEY2068" s="27"/>
      <c r="XEZ2068" s="27"/>
      <c r="XFA2068" s="27"/>
      <c r="XFB2068" s="27"/>
      <c r="XFC2068" s="27"/>
      <c r="XFD2068" s="27"/>
    </row>
    <row r="2069" s="42" customFormat="true" ht="14.15" hidden="false" customHeight="true" outlineLevel="0" collapsed="false">
      <c r="A2069" s="28" t="s">
        <v>9505</v>
      </c>
      <c r="B2069" s="29" t="s">
        <v>11182</v>
      </c>
      <c r="C2069" s="29" t="s">
        <v>11183</v>
      </c>
      <c r="D2069" s="30" t="s">
        <v>112</v>
      </c>
      <c r="E2069" s="31"/>
      <c r="F2069" s="32" t="n">
        <v>39</v>
      </c>
      <c r="G2069" s="31"/>
      <c r="H2069" s="31" t="n">
        <v>1</v>
      </c>
      <c r="I2069" s="31" t="s">
        <v>51</v>
      </c>
      <c r="J2069" s="29" t="s">
        <v>52</v>
      </c>
      <c r="K2069" s="29" t="s">
        <v>53</v>
      </c>
      <c r="L2069" s="32" t="n">
        <v>149</v>
      </c>
      <c r="M2069" s="33" t="s">
        <v>54</v>
      </c>
      <c r="N2069" s="34" t="n">
        <v>75015</v>
      </c>
      <c r="O2069" s="35" t="s">
        <v>55</v>
      </c>
      <c r="P2069" s="36" t="s">
        <v>7947</v>
      </c>
      <c r="Q2069" s="36" t="n">
        <v>236</v>
      </c>
      <c r="R2069" s="32" t="n">
        <v>134</v>
      </c>
      <c r="S2069" s="32"/>
      <c r="T2069" s="32"/>
      <c r="U2069" s="32"/>
      <c r="V2069" s="37"/>
      <c r="W2069" s="32"/>
      <c r="X2069" s="34"/>
      <c r="Y2069" s="34"/>
      <c r="Z2069" s="32"/>
      <c r="AA2069" s="32" t="s">
        <v>11184</v>
      </c>
      <c r="AB2069" s="32"/>
      <c r="AC2069" s="38" t="str">
        <f aca="false">HYPERLINK("https://biocodex6--c.vf.force.com/0014L00000KFliyQAD", "LEHALLE DAPHNE")</f>
        <v>LEHALLE DAPHNE</v>
      </c>
      <c r="AD2069" s="38"/>
      <c r="AE2069" s="39"/>
      <c r="AF2069" s="40"/>
      <c r="AG2069" s="41"/>
      <c r="AH2069" s="32"/>
      <c r="AI2069" s="32"/>
      <c r="AL2069" s="32"/>
      <c r="AM2069" s="32"/>
      <c r="AN2069" s="32"/>
      <c r="AO2069" s="32"/>
      <c r="AP2069" s="32"/>
      <c r="AQ2069" s="32"/>
      <c r="AR2069" s="32"/>
      <c r="AS2069" s="32"/>
      <c r="AT2069" s="32"/>
      <c r="AU2069" s="32"/>
      <c r="XEY2069" s="27"/>
      <c r="XEZ2069" s="27"/>
      <c r="XFA2069" s="27"/>
      <c r="XFB2069" s="27"/>
      <c r="XFC2069" s="27"/>
      <c r="XFD2069" s="27"/>
    </row>
    <row r="2070" s="42" customFormat="true" ht="14.15" hidden="false" customHeight="true" outlineLevel="0" collapsed="false">
      <c r="A2070" s="28" t="s">
        <v>11185</v>
      </c>
      <c r="B2070" s="29" t="s">
        <v>11186</v>
      </c>
      <c r="C2070" s="29" t="s">
        <v>11187</v>
      </c>
      <c r="D2070" s="30" t="s">
        <v>112</v>
      </c>
      <c r="E2070" s="31"/>
      <c r="F2070" s="32" t="n">
        <v>0</v>
      </c>
      <c r="G2070" s="31"/>
      <c r="H2070" s="31" t="n">
        <v>1</v>
      </c>
      <c r="I2070" s="31" t="s">
        <v>51</v>
      </c>
      <c r="J2070" s="29" t="s">
        <v>52</v>
      </c>
      <c r="K2070" s="29" t="s">
        <v>53</v>
      </c>
      <c r="L2070" s="32" t="n">
        <v>149</v>
      </c>
      <c r="M2070" s="33" t="s">
        <v>54</v>
      </c>
      <c r="N2070" s="34" t="n">
        <v>75015</v>
      </c>
      <c r="O2070" s="35" t="s">
        <v>55</v>
      </c>
      <c r="P2070" s="36" t="s">
        <v>11188</v>
      </c>
      <c r="Q2070" s="36" t="n">
        <v>236</v>
      </c>
      <c r="R2070" s="32" t="n">
        <v>133</v>
      </c>
      <c r="S2070" s="32"/>
      <c r="T2070" s="32"/>
      <c r="U2070" s="32"/>
      <c r="V2070" s="37"/>
      <c r="W2070" s="32"/>
      <c r="X2070" s="34"/>
      <c r="Y2070" s="34"/>
      <c r="Z2070" s="32"/>
      <c r="AA2070" s="32" t="s">
        <v>11189</v>
      </c>
      <c r="AB2070" s="32"/>
      <c r="AC2070" s="38" t="str">
        <f aca="false">HYPERLINK("https://biocodex6--c.vf.force.com/0014L00000KG0zWQAT", "SEMERARO MICHAELA")</f>
        <v>SEMERARO MICHAELA</v>
      </c>
      <c r="AD2070" s="38"/>
      <c r="AE2070" s="39"/>
      <c r="AF2070" s="40"/>
      <c r="AG2070" s="41"/>
      <c r="AH2070" s="32"/>
      <c r="AI2070" s="32"/>
      <c r="AL2070" s="32"/>
      <c r="AM2070" s="32"/>
      <c r="AN2070" s="32"/>
      <c r="AO2070" s="32"/>
      <c r="AP2070" s="32"/>
      <c r="AQ2070" s="32"/>
      <c r="AR2070" s="32"/>
      <c r="AS2070" s="32"/>
      <c r="AT2070" s="32"/>
      <c r="AU2070" s="32"/>
      <c r="XEY2070" s="27"/>
      <c r="XEZ2070" s="27"/>
      <c r="XFA2070" s="27"/>
      <c r="XFB2070" s="27"/>
      <c r="XFC2070" s="27"/>
      <c r="XFD2070" s="27"/>
    </row>
    <row r="2071" s="42" customFormat="true" ht="14.15" hidden="false" customHeight="true" outlineLevel="0" collapsed="false">
      <c r="A2071" s="28" t="s">
        <v>11190</v>
      </c>
      <c r="B2071" s="29" t="s">
        <v>4488</v>
      </c>
      <c r="C2071" s="29" t="s">
        <v>11191</v>
      </c>
      <c r="D2071" s="30" t="s">
        <v>112</v>
      </c>
      <c r="E2071" s="31"/>
      <c r="F2071" s="32" t="n">
        <v>43</v>
      </c>
      <c r="G2071" s="31"/>
      <c r="H2071" s="31" t="n">
        <v>1</v>
      </c>
      <c r="I2071" s="31" t="s">
        <v>77</v>
      </c>
      <c r="J2071" s="29" t="s">
        <v>246</v>
      </c>
      <c r="K2071" s="29" t="s">
        <v>247</v>
      </c>
      <c r="L2071" s="32" t="n">
        <v>36</v>
      </c>
      <c r="M2071" s="33" t="s">
        <v>248</v>
      </c>
      <c r="N2071" s="34" t="n">
        <v>92200</v>
      </c>
      <c r="O2071" s="35" t="s">
        <v>81</v>
      </c>
      <c r="P2071" s="36" t="s">
        <v>365</v>
      </c>
      <c r="Q2071" s="36" t="n">
        <v>49</v>
      </c>
      <c r="R2071" s="32" t="n">
        <v>82</v>
      </c>
      <c r="S2071" s="32"/>
      <c r="T2071" s="32"/>
      <c r="U2071" s="32"/>
      <c r="V2071" s="37"/>
      <c r="W2071" s="32"/>
      <c r="X2071" s="34"/>
      <c r="Y2071" s="34"/>
      <c r="Z2071" s="32"/>
      <c r="AA2071" s="32" t="s">
        <v>11192</v>
      </c>
      <c r="AB2071" s="32"/>
      <c r="AC2071" s="38" t="str">
        <f aca="false">HYPERLINK("https://biocodex6--c.vf.force.com/0014L00000W3VR9QAN", "BEZZINE AHLEM")</f>
        <v>BEZZINE AHLEM</v>
      </c>
      <c r="AD2071" s="38"/>
      <c r="AE2071" s="39"/>
      <c r="AF2071" s="40"/>
      <c r="AG2071" s="41"/>
      <c r="AH2071" s="32"/>
      <c r="AI2071" s="32"/>
      <c r="AL2071" s="32"/>
      <c r="AM2071" s="32"/>
      <c r="AN2071" s="32"/>
      <c r="AO2071" s="32"/>
      <c r="AP2071" s="32"/>
      <c r="AQ2071" s="32"/>
      <c r="AR2071" s="32"/>
      <c r="AS2071" s="32"/>
      <c r="AT2071" s="32"/>
      <c r="AU2071" s="32"/>
      <c r="XEY2071" s="27"/>
      <c r="XEZ2071" s="27"/>
      <c r="XFA2071" s="27"/>
      <c r="XFB2071" s="27"/>
      <c r="XFC2071" s="27"/>
      <c r="XFD2071" s="27"/>
    </row>
    <row r="2072" s="42" customFormat="true" ht="14.15" hidden="false" customHeight="true" outlineLevel="0" collapsed="false">
      <c r="A2072" s="28" t="s">
        <v>11193</v>
      </c>
      <c r="B2072" s="29" t="s">
        <v>2901</v>
      </c>
      <c r="C2072" s="29" t="s">
        <v>11194</v>
      </c>
      <c r="D2072" s="30" t="s">
        <v>112</v>
      </c>
      <c r="E2072" s="30" t="s">
        <v>113</v>
      </c>
      <c r="F2072" s="32" t="n">
        <v>92</v>
      </c>
      <c r="G2072" s="31"/>
      <c r="H2072" s="31" t="n">
        <v>1</v>
      </c>
      <c r="I2072" s="31" t="s">
        <v>51</v>
      </c>
      <c r="J2072" s="29" t="s">
        <v>52</v>
      </c>
      <c r="K2072" s="29" t="s">
        <v>53</v>
      </c>
      <c r="L2072" s="32" t="n">
        <v>149</v>
      </c>
      <c r="M2072" s="33" t="s">
        <v>54</v>
      </c>
      <c r="N2072" s="34" t="n">
        <v>75015</v>
      </c>
      <c r="O2072" s="35" t="s">
        <v>55</v>
      </c>
      <c r="P2072" s="36" t="s">
        <v>885</v>
      </c>
      <c r="Q2072" s="36" t="n">
        <v>236</v>
      </c>
      <c r="R2072" s="32" t="n">
        <v>80</v>
      </c>
      <c r="S2072" s="32"/>
      <c r="T2072" s="32"/>
      <c r="U2072" s="32"/>
      <c r="V2072" s="37"/>
      <c r="W2072" s="32"/>
      <c r="X2072" s="34"/>
      <c r="Y2072" s="34"/>
      <c r="Z2072" s="32"/>
      <c r="AA2072" s="32" t="s">
        <v>11195</v>
      </c>
      <c r="AB2072" s="32"/>
      <c r="AC2072" s="38" t="str">
        <f aca="false">HYPERLINK("https://biocodex6--c.vf.force.com/0014L00000KFxfsQAD", "RAPPAPORT RAPHAEL")</f>
        <v>RAPPAPORT RAPHAEL</v>
      </c>
      <c r="AD2072" s="38"/>
      <c r="AE2072" s="39"/>
      <c r="AF2072" s="40"/>
      <c r="AG2072" s="41"/>
      <c r="AH2072" s="32"/>
      <c r="AI2072" s="32"/>
      <c r="AL2072" s="32"/>
      <c r="AM2072" s="32"/>
      <c r="AN2072" s="32"/>
      <c r="AO2072" s="32"/>
      <c r="AP2072" s="32"/>
      <c r="AQ2072" s="32"/>
      <c r="AR2072" s="32"/>
      <c r="AS2072" s="32"/>
      <c r="AT2072" s="32"/>
      <c r="AU2072" s="32"/>
      <c r="XEY2072" s="27"/>
      <c r="XEZ2072" s="27"/>
      <c r="XFA2072" s="27"/>
      <c r="XFB2072" s="27"/>
      <c r="XFC2072" s="27"/>
      <c r="XFD2072" s="27"/>
    </row>
    <row r="2073" s="42" customFormat="true" ht="14.15" hidden="false" customHeight="true" outlineLevel="0" collapsed="false">
      <c r="A2073" s="28" t="s">
        <v>11196</v>
      </c>
      <c r="B2073" s="29" t="s">
        <v>11197</v>
      </c>
      <c r="C2073" s="29" t="s">
        <v>11198</v>
      </c>
      <c r="D2073" s="30" t="s">
        <v>172</v>
      </c>
      <c r="E2073" s="31"/>
      <c r="F2073" s="32" t="n">
        <v>51</v>
      </c>
      <c r="G2073" s="31"/>
      <c r="H2073" s="31" t="n">
        <v>2</v>
      </c>
      <c r="I2073" s="31" t="s">
        <v>119</v>
      </c>
      <c r="J2073" s="29"/>
      <c r="K2073" s="29" t="s">
        <v>7456</v>
      </c>
      <c r="L2073" s="32" t="n">
        <v>95</v>
      </c>
      <c r="M2073" s="33" t="s">
        <v>1716</v>
      </c>
      <c r="N2073" s="34" t="n">
        <v>75007</v>
      </c>
      <c r="O2073" s="35" t="s">
        <v>55</v>
      </c>
      <c r="P2073" s="36" t="s">
        <v>2108</v>
      </c>
      <c r="Q2073" s="36" t="n">
        <v>3</v>
      </c>
      <c r="R2073" s="32" t="n">
        <v>66</v>
      </c>
      <c r="S2073" s="32"/>
      <c r="T2073" s="43" t="s">
        <v>316</v>
      </c>
      <c r="U2073" s="32"/>
      <c r="V2073" s="37"/>
      <c r="W2073" s="32"/>
      <c r="X2073" s="34"/>
      <c r="Y2073" s="34"/>
      <c r="Z2073" s="32"/>
      <c r="AA2073" s="32" t="s">
        <v>11199</v>
      </c>
      <c r="AB2073" s="32"/>
      <c r="AC2073" s="38" t="str">
        <f aca="false">HYPERLINK("https://biocodex6--c.vf.force.com/0014L00000KFRcnQAH", "ALVAREZ ZALAMEA LUIS")</f>
        <v>ALVAREZ ZALAMEA LUIS</v>
      </c>
      <c r="AD2073" s="38"/>
      <c r="AE2073" s="39"/>
      <c r="AF2073" s="40"/>
      <c r="AG2073" s="41"/>
      <c r="AH2073" s="32"/>
      <c r="AI2073" s="32"/>
      <c r="AL2073" s="32"/>
      <c r="AM2073" s="32"/>
      <c r="AN2073" s="32"/>
      <c r="AO2073" s="32"/>
      <c r="AP2073" s="32"/>
      <c r="AQ2073" s="32"/>
      <c r="AR2073" s="32"/>
      <c r="AS2073" s="32"/>
      <c r="AT2073" s="32"/>
      <c r="AU2073" s="32"/>
      <c r="XEY2073" s="27"/>
      <c r="XEZ2073" s="27"/>
      <c r="XFA2073" s="27"/>
      <c r="XFB2073" s="27"/>
      <c r="XFC2073" s="27"/>
      <c r="XFD2073" s="27"/>
    </row>
    <row r="2074" s="42" customFormat="true" ht="14.15" hidden="false" customHeight="true" outlineLevel="0" collapsed="false">
      <c r="A2074" s="28" t="s">
        <v>11200</v>
      </c>
      <c r="B2074" s="29" t="s">
        <v>839</v>
      </c>
      <c r="C2074" s="29" t="s">
        <v>11201</v>
      </c>
      <c r="D2074" s="30" t="s">
        <v>172</v>
      </c>
      <c r="E2074" s="30" t="s">
        <v>452</v>
      </c>
      <c r="F2074" s="32" t="n">
        <v>74</v>
      </c>
      <c r="G2074" s="31"/>
      <c r="H2074" s="31" t="n">
        <v>1</v>
      </c>
      <c r="I2074" s="31" t="s">
        <v>119</v>
      </c>
      <c r="J2074" s="29"/>
      <c r="K2074" s="29" t="s">
        <v>10931</v>
      </c>
      <c r="L2074" s="32" t="n">
        <v>42</v>
      </c>
      <c r="M2074" s="33" t="s">
        <v>5621</v>
      </c>
      <c r="N2074" s="34" t="n">
        <v>75007</v>
      </c>
      <c r="O2074" s="35" t="s">
        <v>55</v>
      </c>
      <c r="P2074" s="36" t="s">
        <v>11202</v>
      </c>
      <c r="Q2074" s="36" t="n">
        <v>2</v>
      </c>
      <c r="R2074" s="32" t="n">
        <v>64</v>
      </c>
      <c r="S2074" s="32"/>
      <c r="T2074" s="43" t="s">
        <v>1107</v>
      </c>
      <c r="U2074" s="32"/>
      <c r="V2074" s="37"/>
      <c r="W2074" s="32"/>
      <c r="X2074" s="34"/>
      <c r="Y2074" s="34"/>
      <c r="Z2074" s="32"/>
      <c r="AA2074" s="32" t="s">
        <v>11203</v>
      </c>
      <c r="AB2074" s="32"/>
      <c r="AC2074" s="38" t="str">
        <f aca="false">HYPERLINK("https://biocodex6--c.vf.force.com/0014L00000KFdIvQAL", "FAURE DUMONT GILLES")</f>
        <v>FAURE DUMONT GILLES</v>
      </c>
      <c r="AD2074" s="38"/>
      <c r="AE2074" s="39"/>
      <c r="AF2074" s="40"/>
      <c r="AG2074" s="41"/>
      <c r="AH2074" s="32"/>
      <c r="AI2074" s="32"/>
      <c r="AL2074" s="32"/>
      <c r="AM2074" s="32"/>
      <c r="AN2074" s="32"/>
      <c r="AO2074" s="32"/>
      <c r="AP2074" s="32"/>
      <c r="AQ2074" s="32"/>
      <c r="AR2074" s="32"/>
      <c r="AS2074" s="32"/>
      <c r="AT2074" s="32"/>
      <c r="AU2074" s="32"/>
      <c r="XEY2074" s="27"/>
      <c r="XEZ2074" s="27"/>
      <c r="XFA2074" s="27"/>
      <c r="XFB2074" s="27"/>
      <c r="XFC2074" s="27"/>
      <c r="XFD2074" s="27"/>
    </row>
    <row r="2075" s="42" customFormat="true" ht="14.15" hidden="false" customHeight="true" outlineLevel="0" collapsed="false">
      <c r="A2075" s="28" t="s">
        <v>3680</v>
      </c>
      <c r="B2075" s="29" t="s">
        <v>495</v>
      </c>
      <c r="C2075" s="29" t="s">
        <v>11204</v>
      </c>
      <c r="D2075" s="30" t="s">
        <v>172</v>
      </c>
      <c r="E2075" s="31"/>
      <c r="F2075" s="32" t="n">
        <v>60</v>
      </c>
      <c r="G2075" s="31"/>
      <c r="H2075" s="31" t="n">
        <v>1</v>
      </c>
      <c r="I2075" s="31" t="s">
        <v>119</v>
      </c>
      <c r="J2075" s="29"/>
      <c r="K2075" s="29" t="s">
        <v>11205</v>
      </c>
      <c r="L2075" s="32" t="n">
        <v>25</v>
      </c>
      <c r="M2075" s="33" t="s">
        <v>3458</v>
      </c>
      <c r="N2075" s="34" t="n">
        <v>75007</v>
      </c>
      <c r="O2075" s="35" t="s">
        <v>55</v>
      </c>
      <c r="P2075" s="36" t="s">
        <v>11206</v>
      </c>
      <c r="Q2075" s="36" t="n">
        <v>1</v>
      </c>
      <c r="R2075" s="32" t="n">
        <v>62</v>
      </c>
      <c r="S2075" s="32"/>
      <c r="T2075" s="43" t="s">
        <v>316</v>
      </c>
      <c r="U2075" s="32"/>
      <c r="V2075" s="37"/>
      <c r="W2075" s="32"/>
      <c r="X2075" s="34"/>
      <c r="Y2075" s="34"/>
      <c r="Z2075" s="32"/>
      <c r="AA2075" s="32" t="s">
        <v>11207</v>
      </c>
      <c r="AB2075" s="32"/>
      <c r="AC2075" s="38" t="str">
        <f aca="false">HYPERLINK("https://biocodex6--c.vf.force.com/0014L00000KFR9kQAH", "AZAIS FRANCK")</f>
        <v>AZAIS FRANCK</v>
      </c>
      <c r="AD2075" s="38"/>
      <c r="AE2075" s="39"/>
      <c r="AF2075" s="40"/>
      <c r="AG2075" s="41"/>
      <c r="AH2075" s="32"/>
      <c r="AI2075" s="32"/>
      <c r="AL2075" s="32"/>
      <c r="AM2075" s="32"/>
      <c r="AN2075" s="32"/>
      <c r="AO2075" s="32"/>
      <c r="AP2075" s="32"/>
      <c r="AQ2075" s="32"/>
      <c r="AR2075" s="32"/>
      <c r="AS2075" s="32"/>
      <c r="AT2075" s="32"/>
      <c r="AU2075" s="32"/>
      <c r="XEY2075" s="27"/>
      <c r="XEZ2075" s="27"/>
      <c r="XFA2075" s="27"/>
      <c r="XFB2075" s="27"/>
      <c r="XFC2075" s="27"/>
      <c r="XFD2075" s="27"/>
    </row>
    <row r="2076" s="42" customFormat="true" ht="14.15" hidden="false" customHeight="true" outlineLevel="0" collapsed="false">
      <c r="A2076" s="28" t="s">
        <v>11208</v>
      </c>
      <c r="B2076" s="29" t="s">
        <v>11209</v>
      </c>
      <c r="C2076" s="29" t="s">
        <v>11210</v>
      </c>
      <c r="D2076" s="30" t="s">
        <v>112</v>
      </c>
      <c r="E2076" s="31"/>
      <c r="F2076" s="32" t="n">
        <v>50</v>
      </c>
      <c r="G2076" s="31"/>
      <c r="H2076" s="31" t="n">
        <v>1</v>
      </c>
      <c r="I2076" s="31" t="s">
        <v>295</v>
      </c>
      <c r="J2076" s="29" t="s">
        <v>489</v>
      </c>
      <c r="K2076" s="29" t="s">
        <v>490</v>
      </c>
      <c r="L2076" s="32" t="n">
        <v>3</v>
      </c>
      <c r="M2076" s="33" t="s">
        <v>491</v>
      </c>
      <c r="N2076" s="34" t="n">
        <v>92300</v>
      </c>
      <c r="O2076" s="35" t="s">
        <v>298</v>
      </c>
      <c r="P2076" s="36" t="s">
        <v>4756</v>
      </c>
      <c r="Q2076" s="36" t="n">
        <v>26</v>
      </c>
      <c r="R2076" s="32" t="n">
        <v>57</v>
      </c>
      <c r="S2076" s="32"/>
      <c r="T2076" s="32"/>
      <c r="U2076" s="32"/>
      <c r="V2076" s="37"/>
      <c r="W2076" s="32"/>
      <c r="X2076" s="34"/>
      <c r="Y2076" s="34"/>
      <c r="Z2076" s="32"/>
      <c r="AA2076" s="32" t="s">
        <v>11211</v>
      </c>
      <c r="AB2076" s="32"/>
      <c r="AC2076" s="38" t="str">
        <f aca="false">HYPERLINK("https://biocodex6--c.vf.force.com/0014L00000NCJkWQAX", "GHAITH ABIR")</f>
        <v>GHAITH ABIR</v>
      </c>
      <c r="AD2076" s="38"/>
      <c r="AE2076" s="39"/>
      <c r="AF2076" s="40"/>
      <c r="AG2076" s="41"/>
      <c r="AH2076" s="32"/>
      <c r="AI2076" s="32"/>
      <c r="AL2076" s="32"/>
      <c r="AM2076" s="32"/>
      <c r="AN2076" s="32"/>
      <c r="AO2076" s="32"/>
      <c r="AP2076" s="32"/>
      <c r="AQ2076" s="32"/>
      <c r="AR2076" s="32"/>
      <c r="AS2076" s="32"/>
      <c r="AT2076" s="32"/>
      <c r="AU2076" s="32"/>
      <c r="XEY2076" s="27"/>
      <c r="XEZ2076" s="27"/>
      <c r="XFA2076" s="27"/>
      <c r="XFB2076" s="27"/>
      <c r="XFC2076" s="27"/>
      <c r="XFD2076" s="27"/>
    </row>
    <row r="2077" s="42" customFormat="true" ht="14.15" hidden="false" customHeight="true" outlineLevel="0" collapsed="false">
      <c r="A2077" s="28" t="s">
        <v>11212</v>
      </c>
      <c r="B2077" s="29" t="s">
        <v>4112</v>
      </c>
      <c r="C2077" s="29" t="s">
        <v>11213</v>
      </c>
      <c r="D2077" s="30" t="s">
        <v>172</v>
      </c>
      <c r="E2077" s="31"/>
      <c r="F2077" s="32" t="n">
        <v>64</v>
      </c>
      <c r="G2077" s="31"/>
      <c r="H2077" s="31" t="n">
        <v>1</v>
      </c>
      <c r="I2077" s="31" t="s">
        <v>572</v>
      </c>
      <c r="J2077" s="29"/>
      <c r="K2077" s="29" t="s">
        <v>11214</v>
      </c>
      <c r="L2077" s="32" t="n">
        <v>65</v>
      </c>
      <c r="M2077" s="33" t="s">
        <v>414</v>
      </c>
      <c r="N2077" s="34" t="n">
        <v>75008</v>
      </c>
      <c r="O2077" s="35" t="s">
        <v>55</v>
      </c>
      <c r="P2077" s="36"/>
      <c r="Q2077" s="36" t="n">
        <v>1</v>
      </c>
      <c r="R2077" s="32" t="n">
        <v>53</v>
      </c>
      <c r="S2077" s="32"/>
      <c r="T2077" s="43" t="s">
        <v>316</v>
      </c>
      <c r="U2077" s="32"/>
      <c r="V2077" s="37"/>
      <c r="W2077" s="32"/>
      <c r="X2077" s="34"/>
      <c r="Y2077" s="34"/>
      <c r="Z2077" s="32"/>
      <c r="AA2077" s="32" t="s">
        <v>11215</v>
      </c>
      <c r="AB2077" s="32"/>
      <c r="AC2077" s="38" t="str">
        <f aca="false">HYPERLINK("https://biocodex6--c.vf.force.com/0014L00000KG3QjQAL", "TORRENTE JOSEPH")</f>
        <v>TORRENTE JOSEPH</v>
      </c>
      <c r="AD2077" s="38"/>
      <c r="AE2077" s="39"/>
      <c r="AF2077" s="40"/>
      <c r="AG2077" s="41"/>
      <c r="AH2077" s="32"/>
      <c r="AI2077" s="32"/>
      <c r="AL2077" s="32"/>
      <c r="AM2077" s="32"/>
      <c r="AN2077" s="32"/>
      <c r="AO2077" s="32"/>
      <c r="AP2077" s="32"/>
      <c r="AQ2077" s="32"/>
      <c r="AR2077" s="32"/>
      <c r="AS2077" s="32"/>
      <c r="AT2077" s="32"/>
      <c r="AU2077" s="32"/>
      <c r="XEY2077" s="27"/>
      <c r="XEZ2077" s="27"/>
      <c r="XFA2077" s="27"/>
      <c r="XFB2077" s="27"/>
      <c r="XFC2077" s="27"/>
      <c r="XFD2077" s="27"/>
    </row>
    <row r="2078" s="42" customFormat="true" ht="14.15" hidden="false" customHeight="true" outlineLevel="0" collapsed="false">
      <c r="A2078" s="28" t="s">
        <v>11216</v>
      </c>
      <c r="B2078" s="29" t="s">
        <v>11217</v>
      </c>
      <c r="C2078" s="29" t="s">
        <v>11218</v>
      </c>
      <c r="D2078" s="30" t="s">
        <v>1103</v>
      </c>
      <c r="E2078" s="31"/>
      <c r="F2078" s="32" t="n">
        <v>52</v>
      </c>
      <c r="G2078" s="31"/>
      <c r="H2078" s="31" t="n">
        <v>1</v>
      </c>
      <c r="I2078" s="31" t="s">
        <v>119</v>
      </c>
      <c r="J2078" s="29"/>
      <c r="K2078" s="29" t="s">
        <v>11219</v>
      </c>
      <c r="L2078" s="32" t="n">
        <v>29</v>
      </c>
      <c r="M2078" s="33" t="s">
        <v>3677</v>
      </c>
      <c r="N2078" s="34" t="n">
        <v>75007</v>
      </c>
      <c r="O2078" s="35" t="s">
        <v>55</v>
      </c>
      <c r="P2078" s="36" t="s">
        <v>11220</v>
      </c>
      <c r="Q2078" s="36" t="n">
        <v>1</v>
      </c>
      <c r="R2078" s="32" t="n">
        <v>51</v>
      </c>
      <c r="S2078" s="32"/>
      <c r="T2078" s="43" t="s">
        <v>316</v>
      </c>
      <c r="U2078" s="32"/>
      <c r="V2078" s="37"/>
      <c r="W2078" s="32"/>
      <c r="X2078" s="34"/>
      <c r="Y2078" s="34"/>
      <c r="Z2078" s="32"/>
      <c r="AA2078" s="32" t="s">
        <v>11221</v>
      </c>
      <c r="AB2078" s="32"/>
      <c r="AC2078" s="38" t="str">
        <f aca="false">HYPERLINK("https://biocodex6--c.vf.force.com/0014L00000KFgq9QAD", "HJALMARSSON LINNEA")</f>
        <v>HJALMARSSON LINNEA</v>
      </c>
      <c r="AD2078" s="38"/>
      <c r="AE2078" s="39"/>
      <c r="AF2078" s="40"/>
      <c r="AG2078" s="41"/>
      <c r="AH2078" s="32"/>
      <c r="AI2078" s="32"/>
      <c r="AL2078" s="32"/>
      <c r="AM2078" s="32"/>
      <c r="AN2078" s="32"/>
      <c r="AO2078" s="32"/>
      <c r="AP2078" s="32"/>
      <c r="AQ2078" s="32"/>
      <c r="AR2078" s="32"/>
      <c r="AS2078" s="32"/>
      <c r="AT2078" s="32"/>
      <c r="AU2078" s="32"/>
      <c r="XEY2078" s="27"/>
      <c r="XEZ2078" s="27"/>
      <c r="XFA2078" s="27"/>
      <c r="XFB2078" s="27"/>
      <c r="XFC2078" s="27"/>
      <c r="XFD2078" s="27"/>
    </row>
    <row r="2079" s="42" customFormat="true" ht="14.15" hidden="false" customHeight="true" outlineLevel="0" collapsed="false">
      <c r="A2079" s="28" t="s">
        <v>10579</v>
      </c>
      <c r="B2079" s="29" t="s">
        <v>2817</v>
      </c>
      <c r="C2079" s="29" t="s">
        <v>11222</v>
      </c>
      <c r="D2079" s="30" t="s">
        <v>172</v>
      </c>
      <c r="E2079" s="30" t="s">
        <v>1103</v>
      </c>
      <c r="F2079" s="32" t="n">
        <v>70</v>
      </c>
      <c r="G2079" s="31"/>
      <c r="H2079" s="31" t="n">
        <v>1</v>
      </c>
      <c r="I2079" s="31" t="s">
        <v>62</v>
      </c>
      <c r="J2079" s="29"/>
      <c r="K2079" s="29" t="s">
        <v>11223</v>
      </c>
      <c r="L2079" s="32" t="n">
        <v>62</v>
      </c>
      <c r="M2079" s="33" t="s">
        <v>11224</v>
      </c>
      <c r="N2079" s="34" t="n">
        <v>75017</v>
      </c>
      <c r="O2079" s="35" t="s">
        <v>55</v>
      </c>
      <c r="P2079" s="36" t="s">
        <v>11225</v>
      </c>
      <c r="Q2079" s="36" t="n">
        <v>1</v>
      </c>
      <c r="R2079" s="32" t="n">
        <v>51</v>
      </c>
      <c r="S2079" s="32"/>
      <c r="T2079" s="43" t="s">
        <v>316</v>
      </c>
      <c r="U2079" s="32"/>
      <c r="V2079" s="37"/>
      <c r="W2079" s="32"/>
      <c r="X2079" s="34"/>
      <c r="Y2079" s="34"/>
      <c r="Z2079" s="32"/>
      <c r="AA2079" s="32" t="s">
        <v>11226</v>
      </c>
      <c r="AB2079" s="32"/>
      <c r="AC2079" s="38" t="str">
        <f aca="false">HYPERLINK("https://biocodex6--c.vf.force.com/0014L00000KFQL9QAP", "AMIEL ESTHER")</f>
        <v>AMIEL ESTHER</v>
      </c>
      <c r="AD2079" s="38"/>
      <c r="AE2079" s="39"/>
      <c r="AF2079" s="40"/>
      <c r="AG2079" s="41"/>
      <c r="AH2079" s="32"/>
      <c r="AI2079" s="32"/>
      <c r="AL2079" s="32"/>
      <c r="AM2079" s="32"/>
      <c r="AN2079" s="32"/>
      <c r="AO2079" s="32"/>
      <c r="AP2079" s="32"/>
      <c r="AQ2079" s="32"/>
      <c r="AR2079" s="32"/>
      <c r="AS2079" s="32"/>
      <c r="AT2079" s="32"/>
      <c r="AU2079" s="32"/>
      <c r="XEY2079" s="27"/>
      <c r="XEZ2079" s="27"/>
      <c r="XFA2079" s="27"/>
      <c r="XFB2079" s="27"/>
      <c r="XFC2079" s="27"/>
      <c r="XFD2079" s="27"/>
    </row>
    <row r="2080" s="42" customFormat="true" ht="14.15" hidden="false" customHeight="true" outlineLevel="0" collapsed="false">
      <c r="A2080" s="28" t="s">
        <v>11227</v>
      </c>
      <c r="B2080" s="29" t="s">
        <v>11228</v>
      </c>
      <c r="C2080" s="29" t="s">
        <v>11229</v>
      </c>
      <c r="D2080" s="30" t="s">
        <v>1103</v>
      </c>
      <c r="E2080" s="31"/>
      <c r="F2080" s="32" t="n">
        <v>0</v>
      </c>
      <c r="G2080" s="31"/>
      <c r="H2080" s="31" t="n">
        <v>1</v>
      </c>
      <c r="I2080" s="31" t="s">
        <v>387</v>
      </c>
      <c r="J2080" s="29" t="s">
        <v>9227</v>
      </c>
      <c r="K2080" s="29" t="s">
        <v>9458</v>
      </c>
      <c r="L2080" s="32" t="n">
        <v>21</v>
      </c>
      <c r="M2080" s="33" t="s">
        <v>9229</v>
      </c>
      <c r="N2080" s="34" t="n">
        <v>75016</v>
      </c>
      <c r="O2080" s="35" t="s">
        <v>55</v>
      </c>
      <c r="P2080" s="36" t="s">
        <v>9459</v>
      </c>
      <c r="Q2080" s="36" t="n">
        <v>4</v>
      </c>
      <c r="R2080" s="32" t="n">
        <v>8</v>
      </c>
      <c r="S2080" s="32"/>
      <c r="T2080" s="43" t="s">
        <v>1107</v>
      </c>
      <c r="U2080" s="32" t="n">
        <v>3</v>
      </c>
      <c r="V2080" s="37"/>
      <c r="W2080" s="32"/>
      <c r="X2080" s="34"/>
      <c r="Y2080" s="34"/>
      <c r="Z2080" s="32" t="s">
        <v>11230</v>
      </c>
      <c r="AA2080" s="32" t="s">
        <v>11231</v>
      </c>
      <c r="AB2080" s="32"/>
      <c r="AC2080" s="38" t="str">
        <f aca="false">HYPERLINK("https://biocodex6--c.vf.force.com/0014L00000KFMPUQA5", "RAPTI KONSTANTINA")</f>
        <v>RAPTI KONSTANTINA</v>
      </c>
      <c r="AD2080" s="38"/>
      <c r="AE2080" s="39" t="n">
        <v>45369.75</v>
      </c>
      <c r="AF2080" s="40"/>
      <c r="AG2080" s="41"/>
      <c r="AH2080" s="32"/>
      <c r="AI2080" s="32"/>
      <c r="AL2080" s="32"/>
      <c r="AM2080" s="32"/>
      <c r="AN2080" s="32"/>
      <c r="AO2080" s="32"/>
      <c r="AP2080" s="32"/>
      <c r="AQ2080" s="32"/>
      <c r="AR2080" s="32"/>
      <c r="AS2080" s="32"/>
      <c r="AT2080" s="32"/>
      <c r="AU2080" s="32"/>
      <c r="XEY2080" s="27"/>
      <c r="XEZ2080" s="27"/>
      <c r="XFA2080" s="27"/>
      <c r="XFB2080" s="27"/>
      <c r="XFC2080" s="27"/>
      <c r="XFD2080" s="27"/>
    </row>
    <row r="2081" s="42" customFormat="true" ht="14.15" hidden="false" customHeight="true" outlineLevel="0" collapsed="false">
      <c r="A2081" s="28" t="s">
        <v>11232</v>
      </c>
      <c r="B2081" s="29" t="s">
        <v>2505</v>
      </c>
      <c r="C2081" s="29" t="s">
        <v>11233</v>
      </c>
      <c r="D2081" s="30" t="s">
        <v>50</v>
      </c>
      <c r="E2081" s="31"/>
      <c r="F2081" s="32" t="n">
        <v>0</v>
      </c>
      <c r="G2081" s="31"/>
      <c r="H2081" s="31" t="n">
        <v>1</v>
      </c>
      <c r="I2081" s="31" t="s">
        <v>51</v>
      </c>
      <c r="J2081" s="29" t="s">
        <v>286</v>
      </c>
      <c r="K2081" s="29" t="s">
        <v>287</v>
      </c>
      <c r="L2081" s="32" t="n">
        <v>12</v>
      </c>
      <c r="M2081" s="33" t="s">
        <v>288</v>
      </c>
      <c r="N2081" s="34" t="n">
        <v>75015</v>
      </c>
      <c r="O2081" s="35" t="s">
        <v>55</v>
      </c>
      <c r="P2081" s="36" t="s">
        <v>289</v>
      </c>
      <c r="Q2081" s="36" t="n">
        <v>14</v>
      </c>
      <c r="R2081" s="32"/>
      <c r="S2081" s="32"/>
      <c r="T2081" s="32"/>
      <c r="U2081" s="32"/>
      <c r="V2081" s="37"/>
      <c r="W2081" s="32"/>
      <c r="X2081" s="34"/>
      <c r="Y2081" s="34"/>
      <c r="Z2081" s="32"/>
      <c r="AA2081" s="32"/>
      <c r="AB2081" s="32"/>
      <c r="AC2081" s="38"/>
      <c r="AD2081" s="38"/>
      <c r="AE2081" s="39" t="n">
        <v>45341.6666666667</v>
      </c>
      <c r="AF2081" s="40"/>
      <c r="AG2081" s="41"/>
      <c r="AH2081" s="32"/>
      <c r="AI2081" s="32"/>
      <c r="AL2081" s="32"/>
      <c r="AM2081" s="32"/>
      <c r="AN2081" s="32"/>
      <c r="AO2081" s="32"/>
      <c r="AP2081" s="32"/>
      <c r="AQ2081" s="32"/>
      <c r="AR2081" s="32"/>
      <c r="AS2081" s="32"/>
      <c r="AT2081" s="32"/>
      <c r="AU2081" s="32"/>
      <c r="XEY2081" s="27"/>
      <c r="XEZ2081" s="27"/>
      <c r="XFA2081" s="27"/>
      <c r="XFB2081" s="27"/>
      <c r="XFC2081" s="27"/>
      <c r="XFD2081" s="27"/>
    </row>
    <row r="2082" s="42" customFormat="true" ht="14.15" hidden="false" customHeight="true" outlineLevel="0" collapsed="false">
      <c r="A2082" s="28" t="s">
        <v>11234</v>
      </c>
      <c r="B2082" s="29" t="s">
        <v>560</v>
      </c>
      <c r="C2082" s="29" t="s">
        <v>11235</v>
      </c>
      <c r="D2082" s="30" t="s">
        <v>10203</v>
      </c>
      <c r="E2082" s="31"/>
      <c r="F2082" s="32" t="n">
        <v>0</v>
      </c>
      <c r="G2082" s="31"/>
      <c r="H2082" s="31" t="n">
        <v>1</v>
      </c>
      <c r="I2082" s="31" t="s">
        <v>387</v>
      </c>
      <c r="J2082" s="29" t="s">
        <v>1306</v>
      </c>
      <c r="K2082" s="29" t="s">
        <v>1307</v>
      </c>
      <c r="L2082" s="32" t="n">
        <v>11</v>
      </c>
      <c r="M2082" s="33" t="s">
        <v>1308</v>
      </c>
      <c r="N2082" s="34" t="n">
        <v>75016</v>
      </c>
      <c r="O2082" s="35" t="s">
        <v>55</v>
      </c>
      <c r="P2082" s="36" t="s">
        <v>1309</v>
      </c>
      <c r="Q2082" s="36" t="n">
        <v>9</v>
      </c>
      <c r="R2082" s="32"/>
      <c r="S2082" s="32"/>
      <c r="T2082" s="32"/>
      <c r="U2082" s="32"/>
      <c r="V2082" s="37"/>
      <c r="W2082" s="32"/>
      <c r="X2082" s="34" t="n">
        <v>1</v>
      </c>
      <c r="Y2082" s="34" t="n">
        <v>2</v>
      </c>
      <c r="Z2082" s="32"/>
      <c r="AA2082" s="32" t="s">
        <v>11236</v>
      </c>
      <c r="AB2082" s="32"/>
      <c r="AC2082" s="38" t="str">
        <f aca="false">HYPERLINK("https://biocodex6--c.vf.force.com/0014L00000KI6xdQAD", "LATOUR DE MAREUIL ELISABETH")</f>
        <v>LATOUR DE MAREUIL ELISABETH</v>
      </c>
      <c r="AD2082" s="38"/>
      <c r="AE2082" s="39" t="n">
        <v>45105.625</v>
      </c>
      <c r="AF2082" s="40"/>
      <c r="AG2082" s="41"/>
      <c r="AH2082" s="32"/>
      <c r="AI2082" s="32"/>
      <c r="AL2082" s="32"/>
      <c r="AM2082" s="32"/>
      <c r="AN2082" s="32"/>
      <c r="AO2082" s="32"/>
      <c r="AP2082" s="32"/>
      <c r="AQ2082" s="32"/>
      <c r="AR2082" s="32"/>
      <c r="AS2082" s="32"/>
      <c r="AT2082" s="32"/>
      <c r="AU2082" s="32"/>
      <c r="XEY2082" s="27"/>
      <c r="XEZ2082" s="27"/>
      <c r="XFA2082" s="27"/>
      <c r="XFB2082" s="27"/>
      <c r="XFC2082" s="27"/>
      <c r="XFD2082" s="27"/>
    </row>
    <row r="2083" s="42" customFormat="true" ht="14.15" hidden="false" customHeight="true" outlineLevel="0" collapsed="false">
      <c r="A2083" s="28" t="s">
        <v>11237</v>
      </c>
      <c r="B2083" s="29" t="s">
        <v>3741</v>
      </c>
      <c r="C2083" s="29" t="s">
        <v>11238</v>
      </c>
      <c r="D2083" s="30" t="s">
        <v>10203</v>
      </c>
      <c r="E2083" s="31"/>
      <c r="F2083" s="32" t="n">
        <v>0</v>
      </c>
      <c r="G2083" s="31"/>
      <c r="H2083" s="31" t="n">
        <v>1</v>
      </c>
      <c r="I2083" s="31" t="s">
        <v>387</v>
      </c>
      <c r="J2083" s="29" t="s">
        <v>1306</v>
      </c>
      <c r="K2083" s="29" t="s">
        <v>1307</v>
      </c>
      <c r="L2083" s="32" t="n">
        <v>11</v>
      </c>
      <c r="M2083" s="33" t="s">
        <v>1308</v>
      </c>
      <c r="N2083" s="34" t="n">
        <v>75016</v>
      </c>
      <c r="O2083" s="35" t="s">
        <v>55</v>
      </c>
      <c r="P2083" s="36" t="s">
        <v>1309</v>
      </c>
      <c r="Q2083" s="36" t="n">
        <v>9</v>
      </c>
      <c r="R2083" s="32"/>
      <c r="S2083" s="32"/>
      <c r="T2083" s="32"/>
      <c r="U2083" s="32"/>
      <c r="V2083" s="37"/>
      <c r="W2083" s="32"/>
      <c r="X2083" s="34"/>
      <c r="Y2083" s="34" t="n">
        <v>1</v>
      </c>
      <c r="Z2083" s="32"/>
      <c r="AA2083" s="32" t="s">
        <v>11239</v>
      </c>
      <c r="AB2083" s="32"/>
      <c r="AC2083" s="38" t="str">
        <f aca="false">HYPERLINK("https://biocodex6--c.vf.force.com/0014L00000ND2OgQAL", "ENEAU MAUD")</f>
        <v>ENEAU MAUD</v>
      </c>
      <c r="AD2083" s="38"/>
      <c r="AE2083" s="39"/>
      <c r="AF2083" s="40"/>
      <c r="AG2083" s="41"/>
      <c r="AH2083" s="32" t="s">
        <v>156</v>
      </c>
      <c r="AI2083" s="32" t="s">
        <v>1032</v>
      </c>
      <c r="AK2083" s="42" t="s">
        <v>11240</v>
      </c>
      <c r="AL2083" s="32"/>
      <c r="AM2083" s="43" t="s">
        <v>866</v>
      </c>
      <c r="AN2083" s="32"/>
      <c r="AO2083" s="32"/>
      <c r="AP2083" s="32"/>
      <c r="AQ2083" s="32"/>
      <c r="AR2083" s="32"/>
      <c r="AS2083" s="32"/>
      <c r="AT2083" s="32"/>
      <c r="AU2083" s="32"/>
      <c r="XEY2083" s="27"/>
      <c r="XEZ2083" s="27"/>
      <c r="XFA2083" s="27"/>
      <c r="XFB2083" s="27"/>
      <c r="XFC2083" s="27"/>
      <c r="XFD2083" s="27"/>
    </row>
    <row r="2084" s="42" customFormat="true" ht="14.15" hidden="false" customHeight="true" outlineLevel="0" collapsed="false">
      <c r="A2084" s="28" t="s">
        <v>11241</v>
      </c>
      <c r="B2084" s="29" t="s">
        <v>11242</v>
      </c>
      <c r="C2084" s="29" t="s">
        <v>11243</v>
      </c>
      <c r="D2084" s="30" t="s">
        <v>172</v>
      </c>
      <c r="E2084" s="31"/>
      <c r="F2084" s="32" t="n">
        <v>43</v>
      </c>
      <c r="G2084" s="31"/>
      <c r="H2084" s="31" t="n">
        <v>1</v>
      </c>
      <c r="I2084" s="31" t="s">
        <v>572</v>
      </c>
      <c r="J2084" s="29"/>
      <c r="K2084" s="29" t="s">
        <v>11244</v>
      </c>
      <c r="L2084" s="32" t="n">
        <v>12</v>
      </c>
      <c r="M2084" s="33" t="s">
        <v>5665</v>
      </c>
      <c r="N2084" s="34" t="n">
        <v>75008</v>
      </c>
      <c r="O2084" s="35" t="s">
        <v>55</v>
      </c>
      <c r="P2084" s="36" t="s">
        <v>11245</v>
      </c>
      <c r="Q2084" s="36" t="n">
        <v>1</v>
      </c>
      <c r="R2084" s="32"/>
      <c r="S2084" s="32"/>
      <c r="T2084" s="32"/>
      <c r="U2084" s="32"/>
      <c r="V2084" s="37"/>
      <c r="W2084" s="32"/>
      <c r="X2084" s="34"/>
      <c r="Y2084" s="34"/>
      <c r="Z2084" s="32"/>
      <c r="AA2084" s="32" t="s">
        <v>11246</v>
      </c>
      <c r="AB2084" s="44"/>
      <c r="AC2084" s="38" t="str">
        <f aca="false">HYPERLINK("https://biocodex6--c.vf.force.com/0014L00000KFzKJQA1", "RICHARD AUGY FLORIANE")</f>
        <v>RICHARD AUGY FLORIANE</v>
      </c>
      <c r="AD2084" s="38"/>
      <c r="AE2084" s="39"/>
      <c r="AF2084" s="40"/>
      <c r="AG2084" s="41"/>
      <c r="AH2084" s="32"/>
      <c r="AI2084" s="32"/>
      <c r="AJ2084" s="42" t="s">
        <v>1890</v>
      </c>
      <c r="AL2084" s="32"/>
      <c r="AM2084" s="32"/>
      <c r="AN2084" s="32"/>
      <c r="AO2084" s="32"/>
      <c r="AP2084" s="32"/>
      <c r="AQ2084" s="32"/>
      <c r="AR2084" s="32"/>
      <c r="AS2084" s="32"/>
      <c r="AT2084" s="32"/>
      <c r="AU2084" s="32"/>
      <c r="XEY2084" s="27"/>
      <c r="XEZ2084" s="27"/>
      <c r="XFA2084" s="27"/>
      <c r="XFB2084" s="27"/>
      <c r="XFC2084" s="27"/>
      <c r="XFD2084" s="27"/>
    </row>
    <row r="2085" s="42" customFormat="true" ht="14.15" hidden="false" customHeight="true" outlineLevel="0" collapsed="false">
      <c r="A2085" s="28" t="s">
        <v>11247</v>
      </c>
      <c r="B2085" s="29" t="s">
        <v>4318</v>
      </c>
      <c r="C2085" s="29" t="s">
        <v>11248</v>
      </c>
      <c r="D2085" s="30" t="s">
        <v>10203</v>
      </c>
      <c r="E2085" s="30" t="s">
        <v>890</v>
      </c>
      <c r="F2085" s="32" t="n">
        <v>0</v>
      </c>
      <c r="G2085" s="31"/>
      <c r="H2085" s="31" t="n">
        <v>1</v>
      </c>
      <c r="I2085" s="31" t="s">
        <v>119</v>
      </c>
      <c r="J2085" s="29"/>
      <c r="K2085" s="29" t="s">
        <v>7456</v>
      </c>
      <c r="L2085" s="32" t="n">
        <v>95</v>
      </c>
      <c r="M2085" s="33" t="s">
        <v>1716</v>
      </c>
      <c r="N2085" s="34" t="n">
        <v>75007</v>
      </c>
      <c r="O2085" s="35" t="s">
        <v>55</v>
      </c>
      <c r="P2085" s="36" t="s">
        <v>2108</v>
      </c>
      <c r="Q2085" s="36" t="n">
        <v>3</v>
      </c>
      <c r="R2085" s="32"/>
      <c r="S2085" s="32"/>
      <c r="T2085" s="32"/>
      <c r="U2085" s="32"/>
      <c r="V2085" s="37"/>
      <c r="W2085" s="32"/>
      <c r="X2085" s="34"/>
      <c r="Y2085" s="34" t="n">
        <v>2</v>
      </c>
      <c r="Z2085" s="32"/>
      <c r="AA2085" s="32" t="s">
        <v>11249</v>
      </c>
      <c r="AB2085" s="32"/>
      <c r="AC2085" s="38" t="str">
        <f aca="false">HYPERLINK("https://biocodex6--c.vf.force.com/0014L00000KJ737QAD", "REISER LAETITIA")</f>
        <v>REISER LAETITIA</v>
      </c>
      <c r="AD2085" s="38"/>
      <c r="AE2085" s="39"/>
      <c r="AF2085" s="40"/>
      <c r="AG2085" s="41"/>
      <c r="AH2085" s="32"/>
      <c r="AI2085" s="32"/>
      <c r="AL2085" s="32"/>
      <c r="AM2085" s="32"/>
      <c r="AN2085" s="32"/>
      <c r="AO2085" s="32"/>
      <c r="AP2085" s="32"/>
      <c r="AQ2085" s="32"/>
      <c r="AR2085" s="32"/>
      <c r="AS2085" s="32"/>
      <c r="AT2085" s="32"/>
      <c r="AU2085" s="32"/>
      <c r="XEY2085" s="27"/>
      <c r="XEZ2085" s="27"/>
      <c r="XFA2085" s="27"/>
      <c r="XFB2085" s="27"/>
      <c r="XFC2085" s="27"/>
      <c r="XFD2085" s="27"/>
    </row>
    <row r="2086" s="42" customFormat="true" ht="14.15" hidden="false" customHeight="true" outlineLevel="0" collapsed="false">
      <c r="A2086" s="28" t="s">
        <v>11250</v>
      </c>
      <c r="B2086" s="29" t="s">
        <v>11251</v>
      </c>
      <c r="C2086" s="29" t="s">
        <v>11252</v>
      </c>
      <c r="D2086" s="30" t="s">
        <v>172</v>
      </c>
      <c r="E2086" s="30" t="s">
        <v>818</v>
      </c>
      <c r="F2086" s="32" t="n">
        <v>65</v>
      </c>
      <c r="G2086" s="31"/>
      <c r="H2086" s="31" t="n">
        <v>1</v>
      </c>
      <c r="I2086" s="31" t="s">
        <v>119</v>
      </c>
      <c r="J2086" s="29"/>
      <c r="K2086" s="29" t="s">
        <v>11253</v>
      </c>
      <c r="L2086" s="32" t="n">
        <v>112</v>
      </c>
      <c r="M2086" s="33" t="s">
        <v>852</v>
      </c>
      <c r="N2086" s="34" t="n">
        <v>75007</v>
      </c>
      <c r="O2086" s="35" t="s">
        <v>55</v>
      </c>
      <c r="P2086" s="36"/>
      <c r="Q2086" s="36" t="n">
        <v>1</v>
      </c>
      <c r="R2086" s="32"/>
      <c r="S2086" s="32"/>
      <c r="T2086" s="43" t="s">
        <v>316</v>
      </c>
      <c r="U2086" s="32"/>
      <c r="V2086" s="37"/>
      <c r="W2086" s="32"/>
      <c r="X2086" s="34"/>
      <c r="Y2086" s="34"/>
      <c r="Z2086" s="32"/>
      <c r="AA2086" s="32" t="s">
        <v>11254</v>
      </c>
      <c r="AB2086" s="32"/>
      <c r="AC2086" s="38" t="str">
        <f aca="false">HYPERLINK("https://biocodex6--c.vf.force.com/0014L00000fa0mNQAQ", "SPANO AMANTEA MARIA GRAZIA")</f>
        <v>SPANO AMANTEA MARIA GRAZIA</v>
      </c>
      <c r="AD2086" s="38"/>
      <c r="AE2086" s="39"/>
      <c r="AF2086" s="40"/>
      <c r="AG2086" s="41"/>
      <c r="AH2086" s="32"/>
      <c r="AI2086" s="32"/>
      <c r="AL2086" s="32"/>
      <c r="AM2086" s="32"/>
      <c r="AN2086" s="32"/>
      <c r="AO2086" s="32"/>
      <c r="AP2086" s="32"/>
      <c r="AQ2086" s="32"/>
      <c r="AR2086" s="32"/>
      <c r="AS2086" s="32"/>
      <c r="AT2086" s="32"/>
      <c r="AU2086" s="32"/>
      <c r="XEY2086" s="27"/>
      <c r="XEZ2086" s="27"/>
      <c r="XFA2086" s="27"/>
      <c r="XFB2086" s="27"/>
      <c r="XFC2086" s="27"/>
      <c r="XFD2086" s="27"/>
    </row>
    <row r="2087" s="42" customFormat="true" ht="14.15" hidden="false" customHeight="true" outlineLevel="0" collapsed="false">
      <c r="A2087" s="28" t="s">
        <v>11255</v>
      </c>
      <c r="B2087" s="29" t="s">
        <v>1600</v>
      </c>
      <c r="C2087" s="29" t="s">
        <v>11256</v>
      </c>
      <c r="D2087" s="30" t="s">
        <v>50</v>
      </c>
      <c r="E2087" s="31"/>
      <c r="F2087" s="32" t="n">
        <v>0</v>
      </c>
      <c r="G2087" s="31"/>
      <c r="H2087" s="31" t="n">
        <v>1</v>
      </c>
      <c r="I2087" s="31" t="s">
        <v>119</v>
      </c>
      <c r="J2087" s="29"/>
      <c r="K2087" s="29" t="s">
        <v>3805</v>
      </c>
      <c r="L2087" s="32" t="n">
        <v>14</v>
      </c>
      <c r="M2087" s="33" t="s">
        <v>3806</v>
      </c>
      <c r="N2087" s="34" t="n">
        <v>75007</v>
      </c>
      <c r="O2087" s="35" t="s">
        <v>55</v>
      </c>
      <c r="P2087" s="36" t="s">
        <v>3807</v>
      </c>
      <c r="Q2087" s="36" t="n">
        <v>7</v>
      </c>
      <c r="R2087" s="32"/>
      <c r="S2087" s="32"/>
      <c r="T2087" s="32"/>
      <c r="U2087" s="32"/>
      <c r="V2087" s="37"/>
      <c r="W2087" s="32"/>
      <c r="X2087" s="34"/>
      <c r="Y2087" s="34"/>
      <c r="Z2087" s="32"/>
      <c r="AA2087" s="32" t="s">
        <v>11257</v>
      </c>
      <c r="AB2087" s="32"/>
      <c r="AC2087" s="38" t="str">
        <f aca="false">HYPERLINK("https://biocodex6--c.vf.force.com/0014L00000fa0mjQAA", "MEUSY CAROLINE")</f>
        <v>MEUSY CAROLINE</v>
      </c>
      <c r="AD2087" s="38"/>
      <c r="AE2087" s="39"/>
      <c r="AF2087" s="40"/>
      <c r="AG2087" s="41"/>
      <c r="AH2087" s="32"/>
      <c r="AI2087" s="32"/>
      <c r="AL2087" s="32"/>
      <c r="AM2087" s="32"/>
      <c r="AN2087" s="32"/>
      <c r="AO2087" s="32"/>
      <c r="AP2087" s="32"/>
      <c r="AQ2087" s="32"/>
      <c r="AR2087" s="32"/>
      <c r="AS2087" s="32"/>
      <c r="AT2087" s="32"/>
      <c r="AU2087" s="32"/>
      <c r="XEY2087" s="27"/>
      <c r="XEZ2087" s="27"/>
      <c r="XFA2087" s="27"/>
      <c r="XFB2087" s="27"/>
      <c r="XFC2087" s="27"/>
      <c r="XFD2087" s="27"/>
    </row>
    <row r="2088" s="42" customFormat="true" ht="14.15" hidden="false" customHeight="true" outlineLevel="0" collapsed="false">
      <c r="A2088" s="28" t="s">
        <v>11258</v>
      </c>
      <c r="B2088" s="29" t="s">
        <v>5952</v>
      </c>
      <c r="C2088" s="29" t="s">
        <v>11259</v>
      </c>
      <c r="D2088" s="30" t="s">
        <v>50</v>
      </c>
      <c r="E2088" s="31"/>
      <c r="F2088" s="32" t="n">
        <v>0</v>
      </c>
      <c r="G2088" s="31"/>
      <c r="H2088" s="31" t="n">
        <v>1</v>
      </c>
      <c r="I2088" s="31" t="s">
        <v>119</v>
      </c>
      <c r="J2088" s="29"/>
      <c r="K2088" s="29" t="s">
        <v>3805</v>
      </c>
      <c r="L2088" s="32" t="n">
        <v>14</v>
      </c>
      <c r="M2088" s="33" t="s">
        <v>3806</v>
      </c>
      <c r="N2088" s="34" t="n">
        <v>75007</v>
      </c>
      <c r="O2088" s="35" t="s">
        <v>55</v>
      </c>
      <c r="P2088" s="36" t="s">
        <v>3807</v>
      </c>
      <c r="Q2088" s="36" t="n">
        <v>7</v>
      </c>
      <c r="R2088" s="32"/>
      <c r="S2088" s="32"/>
      <c r="T2088" s="32"/>
      <c r="U2088" s="32"/>
      <c r="V2088" s="37"/>
      <c r="W2088" s="32"/>
      <c r="X2088" s="34"/>
      <c r="Y2088" s="34"/>
      <c r="Z2088" s="32"/>
      <c r="AA2088" s="32" t="s">
        <v>11260</v>
      </c>
      <c r="AB2088" s="32"/>
      <c r="AC2088" s="38" t="str">
        <f aca="false">HYPERLINK("https://biocodex6--c.vf.force.com/0014L00000faKq1QAE", "ROUVEURE JEAN CLAUDE")</f>
        <v>ROUVEURE JEAN CLAUDE</v>
      </c>
      <c r="AD2088" s="38"/>
      <c r="AE2088" s="39"/>
      <c r="AF2088" s="40"/>
      <c r="AG2088" s="41"/>
      <c r="AH2088" s="32"/>
      <c r="AI2088" s="32"/>
      <c r="AL2088" s="32"/>
      <c r="AM2088" s="32"/>
      <c r="AN2088" s="32"/>
      <c r="AO2088" s="32"/>
      <c r="AP2088" s="32"/>
      <c r="AQ2088" s="32"/>
      <c r="AR2088" s="32"/>
      <c r="AS2088" s="32"/>
      <c r="AT2088" s="32"/>
      <c r="AU2088" s="32"/>
      <c r="XEY2088" s="27"/>
      <c r="XEZ2088" s="27"/>
      <c r="XFA2088" s="27"/>
      <c r="XFB2088" s="27"/>
      <c r="XFC2088" s="27"/>
      <c r="XFD2088" s="27"/>
    </row>
    <row r="2089" s="42" customFormat="true" ht="14.15" hidden="false" customHeight="true" outlineLevel="0" collapsed="false">
      <c r="A2089" s="28" t="s">
        <v>11261</v>
      </c>
      <c r="B2089" s="29" t="s">
        <v>2901</v>
      </c>
      <c r="C2089" s="29" t="s">
        <v>11262</v>
      </c>
      <c r="D2089" s="30" t="s">
        <v>244</v>
      </c>
      <c r="E2089" s="30" t="s">
        <v>245</v>
      </c>
      <c r="F2089" s="32" t="n">
        <v>32</v>
      </c>
      <c r="G2089" s="31"/>
      <c r="H2089" s="31" t="n">
        <v>1</v>
      </c>
      <c r="I2089" s="31" t="s">
        <v>51</v>
      </c>
      <c r="J2089" s="29" t="s">
        <v>52</v>
      </c>
      <c r="K2089" s="29" t="s">
        <v>53</v>
      </c>
      <c r="L2089" s="32" t="n">
        <v>149</v>
      </c>
      <c r="M2089" s="33" t="s">
        <v>54</v>
      </c>
      <c r="N2089" s="34" t="n">
        <v>75015</v>
      </c>
      <c r="O2089" s="35" t="s">
        <v>55</v>
      </c>
      <c r="P2089" s="36" t="s">
        <v>4554</v>
      </c>
      <c r="Q2089" s="36" t="n">
        <v>236</v>
      </c>
      <c r="R2089" s="32"/>
      <c r="S2089" s="32"/>
      <c r="T2089" s="32"/>
      <c r="U2089" s="32"/>
      <c r="V2089" s="37"/>
      <c r="W2089" s="32"/>
      <c r="X2089" s="34"/>
      <c r="Y2089" s="34"/>
      <c r="Z2089" s="32"/>
      <c r="AA2089" s="32" t="s">
        <v>11263</v>
      </c>
      <c r="AB2089" s="32"/>
      <c r="AC2089" s="38" t="str">
        <f aca="false">HYPERLINK("https://biocodex6--c.vf.force.com/0014L00000fZUuOQAW", "BARTIN RAPHAEL")</f>
        <v>BARTIN RAPHAEL</v>
      </c>
      <c r="AD2089" s="38"/>
      <c r="AE2089" s="39"/>
      <c r="AF2089" s="40"/>
      <c r="AG2089" s="41"/>
      <c r="AH2089" s="32"/>
      <c r="AI2089" s="32"/>
      <c r="AL2089" s="32"/>
      <c r="AM2089" s="32"/>
      <c r="AN2089" s="32"/>
      <c r="AO2089" s="32"/>
      <c r="AP2089" s="32"/>
      <c r="AQ2089" s="32"/>
      <c r="AR2089" s="32"/>
      <c r="AS2089" s="32"/>
      <c r="AT2089" s="32"/>
      <c r="AU2089" s="32"/>
      <c r="XEY2089" s="27"/>
      <c r="XEZ2089" s="27"/>
      <c r="XFA2089" s="27"/>
      <c r="XFB2089" s="27"/>
      <c r="XFC2089" s="27"/>
      <c r="XFD2089" s="27"/>
    </row>
    <row r="2090" s="42" customFormat="true" ht="14.15" hidden="false" customHeight="true" outlineLevel="0" collapsed="false">
      <c r="A2090" s="28" t="s">
        <v>11264</v>
      </c>
      <c r="B2090" s="29" t="s">
        <v>1928</v>
      </c>
      <c r="C2090" s="29" t="s">
        <v>11265</v>
      </c>
      <c r="D2090" s="30" t="s">
        <v>112</v>
      </c>
      <c r="E2090" s="31"/>
      <c r="F2090" s="32" t="n">
        <v>32</v>
      </c>
      <c r="G2090" s="31"/>
      <c r="H2090" s="31" t="n">
        <v>1</v>
      </c>
      <c r="I2090" s="31" t="s">
        <v>51</v>
      </c>
      <c r="J2090" s="29" t="s">
        <v>52</v>
      </c>
      <c r="K2090" s="29" t="s">
        <v>53</v>
      </c>
      <c r="L2090" s="32" t="n">
        <v>149</v>
      </c>
      <c r="M2090" s="33" t="s">
        <v>54</v>
      </c>
      <c r="N2090" s="34" t="n">
        <v>75015</v>
      </c>
      <c r="O2090" s="35" t="s">
        <v>55</v>
      </c>
      <c r="P2090" s="36" t="s">
        <v>933</v>
      </c>
      <c r="Q2090" s="36" t="n">
        <v>236</v>
      </c>
      <c r="R2090" s="32"/>
      <c r="S2090" s="32"/>
      <c r="T2090" s="32"/>
      <c r="U2090" s="32"/>
      <c r="V2090" s="37"/>
      <c r="W2090" s="32"/>
      <c r="X2090" s="34"/>
      <c r="Y2090" s="34"/>
      <c r="Z2090" s="32"/>
      <c r="AA2090" s="32" t="s">
        <v>11266</v>
      </c>
      <c r="AB2090" s="32"/>
      <c r="AC2090" s="38" t="str">
        <f aca="false">HYPERLINK("https://biocodex6--c.vf.force.com/0014L00000NADdtQAH", "GRAPIN MATHILDE")</f>
        <v>GRAPIN MATHILDE</v>
      </c>
      <c r="AD2090" s="38"/>
      <c r="AE2090" s="39"/>
      <c r="AF2090" s="40"/>
      <c r="AG2090" s="41"/>
      <c r="AH2090" s="32"/>
      <c r="AI2090" s="32"/>
      <c r="AL2090" s="32"/>
      <c r="AM2090" s="32"/>
      <c r="AN2090" s="32"/>
      <c r="AO2090" s="32"/>
      <c r="AP2090" s="32"/>
      <c r="AQ2090" s="32"/>
      <c r="AR2090" s="32"/>
      <c r="AS2090" s="32"/>
      <c r="AT2090" s="32"/>
      <c r="AU2090" s="32"/>
      <c r="XEY2090" s="27"/>
      <c r="XEZ2090" s="27"/>
      <c r="XFA2090" s="27"/>
      <c r="XFB2090" s="27"/>
      <c r="XFC2090" s="27"/>
      <c r="XFD2090" s="27"/>
    </row>
    <row r="2091" s="42" customFormat="true" ht="14.15" hidden="false" customHeight="true" outlineLevel="0" collapsed="false">
      <c r="A2091" s="28" t="s">
        <v>1471</v>
      </c>
      <c r="B2091" s="29" t="s">
        <v>2794</v>
      </c>
      <c r="C2091" s="29" t="s">
        <v>11267</v>
      </c>
      <c r="D2091" s="30" t="s">
        <v>112</v>
      </c>
      <c r="E2091" s="31"/>
      <c r="F2091" s="32" t="n">
        <v>32</v>
      </c>
      <c r="G2091" s="31"/>
      <c r="H2091" s="31" t="n">
        <v>1</v>
      </c>
      <c r="I2091" s="31" t="s">
        <v>51</v>
      </c>
      <c r="J2091" s="29" t="s">
        <v>52</v>
      </c>
      <c r="K2091" s="29" t="s">
        <v>53</v>
      </c>
      <c r="L2091" s="32" t="n">
        <v>149</v>
      </c>
      <c r="M2091" s="33" t="s">
        <v>54</v>
      </c>
      <c r="N2091" s="34" t="n">
        <v>75015</v>
      </c>
      <c r="O2091" s="35" t="s">
        <v>55</v>
      </c>
      <c r="P2091" s="36" t="s">
        <v>1807</v>
      </c>
      <c r="Q2091" s="36" t="n">
        <v>236</v>
      </c>
      <c r="R2091" s="32"/>
      <c r="S2091" s="32"/>
      <c r="T2091" s="32"/>
      <c r="U2091" s="32"/>
      <c r="V2091" s="37"/>
      <c r="W2091" s="32"/>
      <c r="X2091" s="34"/>
      <c r="Y2091" s="34"/>
      <c r="Z2091" s="32"/>
      <c r="AA2091" s="32" t="s">
        <v>11268</v>
      </c>
      <c r="AB2091" s="32"/>
      <c r="AC2091" s="38" t="str">
        <f aca="false">HYPERLINK("https://biocodex6--c.vf.force.com/0014L00000faHfvQAE", "MAYER CLAIRE")</f>
        <v>MAYER CLAIRE</v>
      </c>
      <c r="AD2091" s="38"/>
      <c r="AE2091" s="39"/>
      <c r="AF2091" s="40"/>
      <c r="AG2091" s="41"/>
      <c r="AH2091" s="32"/>
      <c r="AI2091" s="32"/>
      <c r="AJ2091" s="42" t="s">
        <v>1809</v>
      </c>
      <c r="AL2091" s="32"/>
      <c r="AM2091" s="32"/>
      <c r="AN2091" s="32"/>
      <c r="AO2091" s="32"/>
      <c r="AP2091" s="32"/>
      <c r="AQ2091" s="32"/>
      <c r="AR2091" s="32"/>
      <c r="AS2091" s="32"/>
      <c r="AT2091" s="32"/>
      <c r="AU2091" s="32"/>
      <c r="XEY2091" s="27"/>
      <c r="XEZ2091" s="27"/>
      <c r="XFA2091" s="27"/>
      <c r="XFB2091" s="27"/>
      <c r="XFC2091" s="27"/>
      <c r="XFD2091" s="27"/>
    </row>
    <row r="2092" s="42" customFormat="true" ht="14.15" hidden="false" customHeight="true" outlineLevel="0" collapsed="false">
      <c r="A2092" s="28" t="s">
        <v>11269</v>
      </c>
      <c r="B2092" s="29" t="s">
        <v>5952</v>
      </c>
      <c r="C2092" s="29" t="s">
        <v>11270</v>
      </c>
      <c r="D2092" s="30" t="s">
        <v>50</v>
      </c>
      <c r="E2092" s="30" t="s">
        <v>11271</v>
      </c>
      <c r="F2092" s="32" t="n">
        <v>81</v>
      </c>
      <c r="G2092" s="31" t="s">
        <v>345</v>
      </c>
      <c r="H2092" s="31" t="n">
        <v>1</v>
      </c>
      <c r="I2092" s="31" t="s">
        <v>435</v>
      </c>
      <c r="J2092" s="29"/>
      <c r="K2092" s="29" t="s">
        <v>2882</v>
      </c>
      <c r="L2092" s="32" t="n">
        <v>133</v>
      </c>
      <c r="M2092" s="33" t="s">
        <v>2883</v>
      </c>
      <c r="N2092" s="34" t="n">
        <v>75016</v>
      </c>
      <c r="O2092" s="35" t="s">
        <v>55</v>
      </c>
      <c r="P2092" s="36"/>
      <c r="Q2092" s="36" t="n">
        <v>2</v>
      </c>
      <c r="R2092" s="32"/>
      <c r="S2092" s="32"/>
      <c r="T2092" s="32"/>
      <c r="U2092" s="32"/>
      <c r="V2092" s="37"/>
      <c r="W2092" s="32"/>
      <c r="X2092" s="34"/>
      <c r="Y2092" s="34"/>
      <c r="Z2092" s="32"/>
      <c r="AA2092" s="32" t="s">
        <v>11272</v>
      </c>
      <c r="AB2092" s="32" t="s">
        <v>11273</v>
      </c>
      <c r="AC2092" s="38" t="str">
        <f aca="false">HYPERLINK("https://biocodex6--c.vf.force.com/0014L00000YtzuTQAR", "LAPRAZ JEAN CLAUDE")</f>
        <v>LAPRAZ JEAN CLAUDE</v>
      </c>
      <c r="AD2092" s="38" t="str">
        <f aca="false">HYPERLINK("https://annuairesante.ameli.fr/professionnels-de-sante/recherche/fiche-detaillee-B7c1kDU3NDG1.html", "LAPRAZ JEAN CLAUDE")</f>
        <v>LAPRAZ JEAN CLAUDE</v>
      </c>
      <c r="AE2092" s="39"/>
      <c r="AF2092" s="40"/>
      <c r="AG2092" s="41"/>
      <c r="AH2092" s="32"/>
      <c r="AI2092" s="32"/>
      <c r="AL2092" s="32"/>
      <c r="AM2092" s="32"/>
      <c r="AN2092" s="32"/>
      <c r="AO2092" s="32"/>
      <c r="AP2092" s="32"/>
      <c r="AQ2092" s="32"/>
      <c r="AR2092" s="32"/>
      <c r="AS2092" s="32"/>
      <c r="AT2092" s="32"/>
      <c r="AU2092" s="32"/>
      <c r="XEY2092" s="27"/>
      <c r="XEZ2092" s="27"/>
      <c r="XFA2092" s="27"/>
      <c r="XFB2092" s="27"/>
      <c r="XFC2092" s="27"/>
      <c r="XFD2092" s="27"/>
    </row>
    <row r="2093" s="42" customFormat="true" ht="14.15" hidden="false" customHeight="true" outlineLevel="0" collapsed="false">
      <c r="A2093" s="28" t="s">
        <v>11274</v>
      </c>
      <c r="B2093" s="29" t="s">
        <v>7894</v>
      </c>
      <c r="C2093" s="29" t="s">
        <v>11275</v>
      </c>
      <c r="D2093" s="30" t="s">
        <v>10203</v>
      </c>
      <c r="E2093" s="31"/>
      <c r="F2093" s="32" t="n">
        <v>64</v>
      </c>
      <c r="G2093" s="31"/>
      <c r="H2093" s="31" t="n">
        <v>1</v>
      </c>
      <c r="I2093" s="31" t="s">
        <v>435</v>
      </c>
      <c r="J2093" s="29" t="s">
        <v>3117</v>
      </c>
      <c r="K2093" s="29" t="s">
        <v>3118</v>
      </c>
      <c r="L2093" s="32" t="n">
        <v>46</v>
      </c>
      <c r="M2093" s="33" t="s">
        <v>1450</v>
      </c>
      <c r="N2093" s="34" t="n">
        <v>75016</v>
      </c>
      <c r="O2093" s="35" t="s">
        <v>55</v>
      </c>
      <c r="P2093" s="36" t="s">
        <v>3119</v>
      </c>
      <c r="Q2093" s="36" t="n">
        <v>14</v>
      </c>
      <c r="R2093" s="32"/>
      <c r="S2093" s="32"/>
      <c r="T2093" s="32"/>
      <c r="U2093" s="32"/>
      <c r="V2093" s="37"/>
      <c r="W2093" s="32"/>
      <c r="X2093" s="34"/>
      <c r="Y2093" s="34" t="n">
        <v>1</v>
      </c>
      <c r="Z2093" s="32"/>
      <c r="AA2093" s="32" t="s">
        <v>11276</v>
      </c>
      <c r="AB2093" s="32"/>
      <c r="AC2093" s="38" t="str">
        <f aca="false">HYPERLINK("https://biocodex6--c.vf.force.com/0014L00000NAgQzQAL", "KARTI HAFSI SORAYA")</f>
        <v>KARTI HAFSI SORAYA</v>
      </c>
      <c r="AD2093" s="38"/>
      <c r="AE2093" s="39"/>
      <c r="AF2093" s="40"/>
      <c r="AG2093" s="41"/>
      <c r="AH2093" s="32"/>
      <c r="AI2093" s="32"/>
      <c r="AL2093" s="32"/>
      <c r="AM2093" s="32"/>
      <c r="AN2093" s="32"/>
      <c r="AO2093" s="32"/>
      <c r="AP2093" s="32"/>
      <c r="AQ2093" s="32"/>
      <c r="AR2093" s="32"/>
      <c r="AS2093" s="32"/>
      <c r="AT2093" s="32"/>
      <c r="AU2093" s="32"/>
      <c r="XEY2093" s="27"/>
      <c r="XEZ2093" s="27"/>
      <c r="XFA2093" s="27"/>
      <c r="XFB2093" s="27"/>
      <c r="XFC2093" s="27"/>
      <c r="XFD2093" s="27"/>
    </row>
    <row r="2094" s="42" customFormat="true" ht="14.15" hidden="false" customHeight="true" outlineLevel="0" collapsed="false">
      <c r="A2094" s="28" t="s">
        <v>11277</v>
      </c>
      <c r="B2094" s="51" t="s">
        <v>11278</v>
      </c>
      <c r="C2094" s="51" t="s">
        <v>11279</v>
      </c>
      <c r="D2094" s="30" t="s">
        <v>172</v>
      </c>
      <c r="E2094" s="30" t="s">
        <v>545</v>
      </c>
      <c r="F2094" s="32" t="n">
        <v>45</v>
      </c>
      <c r="G2094" s="31"/>
      <c r="H2094" s="31" t="n">
        <v>1</v>
      </c>
      <c r="I2094" s="31" t="s">
        <v>435</v>
      </c>
      <c r="J2094" s="29"/>
      <c r="K2094" s="29" t="s">
        <v>8053</v>
      </c>
      <c r="L2094" s="32" t="n">
        <v>14</v>
      </c>
      <c r="M2094" s="33" t="s">
        <v>2312</v>
      </c>
      <c r="N2094" s="34" t="n">
        <v>75016</v>
      </c>
      <c r="O2094" s="35" t="s">
        <v>55</v>
      </c>
      <c r="P2094" s="36" t="s">
        <v>11280</v>
      </c>
      <c r="Q2094" s="36" t="n">
        <v>3</v>
      </c>
      <c r="R2094" s="32"/>
      <c r="S2094" s="32"/>
      <c r="T2094" s="32"/>
      <c r="U2094" s="32"/>
      <c r="V2094" s="37"/>
      <c r="W2094" s="32"/>
      <c r="X2094" s="34"/>
      <c r="Y2094" s="34"/>
      <c r="Z2094" s="32"/>
      <c r="AA2094" s="32" t="s">
        <v>11281</v>
      </c>
      <c r="AB2094" s="44"/>
      <c r="AC2094" s="38" t="str">
        <f aca="false">HYPERLINK("https://biocodex6--c.vf.force.com/0014L00000KFNPwQAP", "KEBIR OUSSAMA")</f>
        <v>KEBIR OUSSAMA</v>
      </c>
      <c r="AD2094" s="38"/>
      <c r="AE2094" s="39"/>
      <c r="AF2094" s="40"/>
      <c r="AG2094" s="41"/>
      <c r="AH2094" s="32" t="s">
        <v>2191</v>
      </c>
      <c r="AI2094" s="32" t="s">
        <v>2191</v>
      </c>
      <c r="AJ2094" s="42" t="s">
        <v>8641</v>
      </c>
      <c r="AL2094" s="32"/>
      <c r="AM2094" s="32"/>
      <c r="AN2094" s="32"/>
      <c r="AO2094" s="32"/>
      <c r="AP2094" s="32"/>
      <c r="AQ2094" s="32"/>
      <c r="AR2094" s="32"/>
      <c r="AS2094" s="32"/>
      <c r="AT2094" s="32"/>
      <c r="AU2094" s="32"/>
      <c r="XEY2094" s="27"/>
      <c r="XEZ2094" s="27"/>
      <c r="XFA2094" s="27"/>
      <c r="XFB2094" s="27"/>
      <c r="XFC2094" s="27"/>
      <c r="XFD2094" s="27"/>
    </row>
    <row r="2095" s="42" customFormat="true" ht="14.15" hidden="false" customHeight="true" outlineLevel="0" collapsed="false">
      <c r="A2095" s="28" t="s">
        <v>11282</v>
      </c>
      <c r="B2095" s="29" t="s">
        <v>11283</v>
      </c>
      <c r="C2095" s="29" t="s">
        <v>11284</v>
      </c>
      <c r="D2095" s="30" t="s">
        <v>172</v>
      </c>
      <c r="E2095" s="30" t="s">
        <v>545</v>
      </c>
      <c r="F2095" s="32" t="n">
        <v>32</v>
      </c>
      <c r="G2095" s="31"/>
      <c r="H2095" s="31" t="n">
        <v>1</v>
      </c>
      <c r="I2095" s="31" t="s">
        <v>62</v>
      </c>
      <c r="J2095" s="29"/>
      <c r="K2095" s="29" t="s">
        <v>11285</v>
      </c>
      <c r="L2095" s="32" t="n">
        <v>32</v>
      </c>
      <c r="M2095" s="33" t="s">
        <v>11095</v>
      </c>
      <c r="N2095" s="58" t="n">
        <v>75017</v>
      </c>
      <c r="O2095" s="35" t="s">
        <v>55</v>
      </c>
      <c r="P2095" s="36" t="s">
        <v>11286</v>
      </c>
      <c r="Q2095" s="36" t="n">
        <v>1</v>
      </c>
      <c r="R2095" s="32"/>
      <c r="S2095" s="32"/>
      <c r="T2095" s="32"/>
      <c r="U2095" s="32"/>
      <c r="V2095" s="37"/>
      <c r="W2095" s="32"/>
      <c r="X2095" s="34"/>
      <c r="Y2095" s="34"/>
      <c r="Z2095" s="32"/>
      <c r="AA2095" s="32" t="s">
        <v>11287</v>
      </c>
      <c r="AB2095" s="44"/>
      <c r="AC2095" s="38" t="str">
        <f aca="false">HYPERLINK("https://biocodex6--c.vf.force.com/0014L00000KGGZFQA5", "MARADJI BOB")</f>
        <v>MARADJI BOB</v>
      </c>
      <c r="AD2095" s="38"/>
      <c r="AE2095" s="39"/>
      <c r="AF2095" s="40"/>
      <c r="AG2095" s="41"/>
      <c r="AH2095" s="32" t="s">
        <v>2191</v>
      </c>
      <c r="AI2095" s="32" t="s">
        <v>2191</v>
      </c>
      <c r="AL2095" s="32"/>
      <c r="AM2095" s="32"/>
      <c r="AN2095" s="32"/>
      <c r="AO2095" s="32"/>
      <c r="AP2095" s="32"/>
      <c r="AQ2095" s="32"/>
      <c r="AR2095" s="32"/>
      <c r="AS2095" s="32"/>
      <c r="AT2095" s="32"/>
      <c r="AU2095" s="32"/>
      <c r="XEY2095" s="27"/>
      <c r="XEZ2095" s="27"/>
      <c r="XFA2095" s="27"/>
      <c r="XFB2095" s="27"/>
      <c r="XFC2095" s="27"/>
      <c r="XFD2095" s="27"/>
    </row>
    <row r="2096" s="42" customFormat="true" ht="14.15" hidden="false" customHeight="true" outlineLevel="0" collapsed="false">
      <c r="A2096" s="28" t="s">
        <v>11288</v>
      </c>
      <c r="B2096" s="29" t="s">
        <v>643</v>
      </c>
      <c r="C2096" s="29" t="s">
        <v>11289</v>
      </c>
      <c r="D2096" s="30" t="s">
        <v>50</v>
      </c>
      <c r="E2096" s="31"/>
      <c r="F2096" s="32"/>
      <c r="G2096" s="31"/>
      <c r="H2096" s="31" t="n">
        <v>2</v>
      </c>
      <c r="I2096" s="31" t="s">
        <v>197</v>
      </c>
      <c r="J2096" s="29" t="s">
        <v>4801</v>
      </c>
      <c r="K2096" s="29" t="s">
        <v>4802</v>
      </c>
      <c r="L2096" s="32" t="n">
        <v>206</v>
      </c>
      <c r="M2096" s="33" t="s">
        <v>4230</v>
      </c>
      <c r="N2096" s="34" t="n">
        <v>75017</v>
      </c>
      <c r="O2096" s="35" t="s">
        <v>55</v>
      </c>
      <c r="P2096" s="36" t="s">
        <v>4803</v>
      </c>
      <c r="Q2096" s="36" t="n">
        <v>11</v>
      </c>
      <c r="R2096" s="32"/>
      <c r="S2096" s="32"/>
      <c r="T2096" s="32"/>
      <c r="U2096" s="32"/>
      <c r="V2096" s="37"/>
      <c r="W2096" s="32"/>
      <c r="X2096" s="34"/>
      <c r="Y2096" s="34"/>
      <c r="Z2096" s="32"/>
      <c r="AA2096" s="32" t="s">
        <v>11290</v>
      </c>
      <c r="AB2096" s="32"/>
      <c r="AC2096" s="38" t="str">
        <f aca="false">HYPERLINK("https://biocodex6--c.vf.force.com/0014L00000bNeJMQA0", "GEBHARD PIERRE")</f>
        <v>GEBHARD PIERRE</v>
      </c>
      <c r="AD2096" s="38"/>
      <c r="AE2096" s="39"/>
      <c r="AF2096" s="40"/>
      <c r="AG2096" s="41"/>
      <c r="AH2096" s="32"/>
      <c r="AI2096" s="32"/>
      <c r="AL2096" s="32"/>
      <c r="AM2096" s="32"/>
      <c r="AN2096" s="32"/>
      <c r="AO2096" s="32"/>
      <c r="AP2096" s="32"/>
      <c r="AQ2096" s="32"/>
      <c r="AR2096" s="32"/>
      <c r="AS2096" s="32"/>
      <c r="AT2096" s="32"/>
      <c r="AU2096" s="32"/>
      <c r="XEY2096" s="27"/>
      <c r="XEZ2096" s="27"/>
      <c r="XFA2096" s="27"/>
      <c r="XFB2096" s="27"/>
      <c r="XFC2096" s="27"/>
      <c r="XFD2096" s="27"/>
    </row>
    <row r="2097" s="42" customFormat="true" ht="14.15" hidden="false" customHeight="true" outlineLevel="0" collapsed="false">
      <c r="A2097" s="28" t="s">
        <v>11291</v>
      </c>
      <c r="B2097" s="29" t="s">
        <v>11292</v>
      </c>
      <c r="C2097" s="29" t="s">
        <v>11293</v>
      </c>
      <c r="D2097" s="30" t="s">
        <v>172</v>
      </c>
      <c r="E2097" s="30" t="s">
        <v>545</v>
      </c>
      <c r="F2097" s="32"/>
      <c r="G2097" s="31"/>
      <c r="H2097" s="31" t="n">
        <v>1</v>
      </c>
      <c r="I2097" s="31" t="s">
        <v>197</v>
      </c>
      <c r="J2097" s="29"/>
      <c r="K2097" s="29" t="s">
        <v>11294</v>
      </c>
      <c r="L2097" s="32" t="n">
        <v>3</v>
      </c>
      <c r="M2097" s="33" t="s">
        <v>6906</v>
      </c>
      <c r="N2097" s="34" t="n">
        <v>75017</v>
      </c>
      <c r="O2097" s="35" t="s">
        <v>55</v>
      </c>
      <c r="P2097" s="36" t="s">
        <v>11295</v>
      </c>
      <c r="Q2097" s="36" t="n">
        <v>1</v>
      </c>
      <c r="R2097" s="32"/>
      <c r="S2097" s="32"/>
      <c r="T2097" s="32"/>
      <c r="U2097" s="32"/>
      <c r="V2097" s="37"/>
      <c r="W2097" s="32"/>
      <c r="X2097" s="34"/>
      <c r="Y2097" s="34"/>
      <c r="Z2097" s="32"/>
      <c r="AA2097" s="32"/>
      <c r="AB2097" s="44"/>
      <c r="AC2097" s="38"/>
      <c r="AD2097" s="38"/>
      <c r="AE2097" s="39"/>
      <c r="AF2097" s="40"/>
      <c r="AG2097" s="45"/>
      <c r="AH2097" s="32" t="s">
        <v>2191</v>
      </c>
      <c r="AI2097" s="32" t="s">
        <v>2191</v>
      </c>
      <c r="AL2097" s="32"/>
      <c r="AM2097" s="32"/>
      <c r="AN2097" s="32"/>
      <c r="AO2097" s="32"/>
      <c r="AP2097" s="32"/>
      <c r="AQ2097" s="32"/>
      <c r="AR2097" s="32"/>
      <c r="AS2097" s="32"/>
      <c r="AT2097" s="32"/>
      <c r="AU2097" s="32"/>
      <c r="XEY2097" s="27"/>
      <c r="XEZ2097" s="27"/>
      <c r="XFA2097" s="27"/>
      <c r="XFB2097" s="27"/>
      <c r="XFC2097" s="27"/>
      <c r="XFD2097" s="27"/>
    </row>
    <row r="2098" s="42" customFormat="true" ht="14.15" hidden="false" customHeight="true" outlineLevel="0" collapsed="false">
      <c r="A2098" s="28" t="s">
        <v>11296</v>
      </c>
      <c r="B2098" s="29" t="s">
        <v>1584</v>
      </c>
      <c r="C2098" s="29" t="s">
        <v>11297</v>
      </c>
      <c r="D2098" s="30" t="s">
        <v>10203</v>
      </c>
      <c r="E2098" s="31"/>
      <c r="F2098" s="32"/>
      <c r="G2098" s="31"/>
      <c r="H2098" s="31" t="n">
        <v>1</v>
      </c>
      <c r="I2098" s="31" t="s">
        <v>295</v>
      </c>
      <c r="J2098" s="29" t="s">
        <v>489</v>
      </c>
      <c r="K2098" s="29" t="s">
        <v>490</v>
      </c>
      <c r="L2098" s="32" t="n">
        <v>3</v>
      </c>
      <c r="M2098" s="33" t="s">
        <v>491</v>
      </c>
      <c r="N2098" s="34" t="n">
        <v>92300</v>
      </c>
      <c r="O2098" s="35" t="s">
        <v>298</v>
      </c>
      <c r="P2098" s="36" t="s">
        <v>1592</v>
      </c>
      <c r="Q2098" s="36" t="n">
        <v>26</v>
      </c>
      <c r="R2098" s="32"/>
      <c r="S2098" s="32"/>
      <c r="T2098" s="32"/>
      <c r="U2098" s="32"/>
      <c r="V2098" s="37"/>
      <c r="W2098" s="32"/>
      <c r="X2098" s="34"/>
      <c r="Y2098" s="34" t="n">
        <v>2</v>
      </c>
      <c r="Z2098" s="32"/>
      <c r="AA2098" s="32" t="s">
        <v>11298</v>
      </c>
      <c r="AB2098" s="32"/>
      <c r="AC2098" s="38" t="str">
        <f aca="false">HYPERLINK("https://biocodex6--c.vf.force.com/0014L00000NAgTXQA1", "THIBONNIER LAURENCE")</f>
        <v>THIBONNIER LAURENCE</v>
      </c>
      <c r="AD2098" s="38"/>
      <c r="AE2098" s="39"/>
      <c r="AF2098" s="40"/>
      <c r="AG2098" s="41"/>
      <c r="AH2098" s="32"/>
      <c r="AI2098" s="32"/>
      <c r="AL2098" s="32"/>
      <c r="AM2098" s="32"/>
      <c r="AN2098" s="32"/>
      <c r="AO2098" s="32"/>
      <c r="AP2098" s="32"/>
      <c r="AQ2098" s="32"/>
      <c r="AR2098" s="32"/>
      <c r="AS2098" s="32"/>
      <c r="AT2098" s="32"/>
      <c r="AU2098" s="32"/>
      <c r="XEY2098" s="27"/>
      <c r="XEZ2098" s="27"/>
      <c r="XFA2098" s="27"/>
      <c r="XFB2098" s="27"/>
      <c r="XFC2098" s="27"/>
      <c r="XFD2098" s="27"/>
    </row>
    <row r="2099" s="42" customFormat="true" ht="14.15" hidden="false" customHeight="true" outlineLevel="0" collapsed="false">
      <c r="A2099" s="28" t="s">
        <v>11299</v>
      </c>
      <c r="B2099" s="29" t="s">
        <v>110</v>
      </c>
      <c r="C2099" s="29" t="s">
        <v>11300</v>
      </c>
      <c r="D2099" s="30" t="s">
        <v>10203</v>
      </c>
      <c r="E2099" s="30" t="s">
        <v>344</v>
      </c>
      <c r="F2099" s="32"/>
      <c r="G2099" s="31"/>
      <c r="H2099" s="31" t="n">
        <v>1</v>
      </c>
      <c r="I2099" s="31" t="s">
        <v>295</v>
      </c>
      <c r="J2099" s="29" t="s">
        <v>489</v>
      </c>
      <c r="K2099" s="29" t="s">
        <v>5396</v>
      </c>
      <c r="L2099" s="32" t="n">
        <v>3</v>
      </c>
      <c r="M2099" s="33" t="s">
        <v>491</v>
      </c>
      <c r="N2099" s="34" t="n">
        <v>92300</v>
      </c>
      <c r="O2099" s="35" t="s">
        <v>298</v>
      </c>
      <c r="P2099" s="36" t="s">
        <v>1592</v>
      </c>
      <c r="Q2099" s="36" t="n">
        <v>26</v>
      </c>
      <c r="R2099" s="32"/>
      <c r="S2099" s="32"/>
      <c r="T2099" s="32"/>
      <c r="U2099" s="32"/>
      <c r="V2099" s="37"/>
      <c r="W2099" s="32"/>
      <c r="X2099" s="34"/>
      <c r="Y2099" s="34" t="n">
        <v>1</v>
      </c>
      <c r="Z2099" s="32"/>
      <c r="AA2099" s="32" t="s">
        <v>11301</v>
      </c>
      <c r="AB2099" s="32"/>
      <c r="AC2099" s="38" t="str">
        <f aca="false">HYPERLINK("https://biocodex6--c.vf.force.com/0014L00000NAgUbQAL", "STRUILLOU ANAIS")</f>
        <v>STRUILLOU ANAIS</v>
      </c>
      <c r="AD2099" s="38"/>
      <c r="AE2099" s="39"/>
      <c r="AF2099" s="40"/>
      <c r="AG2099" s="41"/>
      <c r="AH2099" s="32"/>
      <c r="AI2099" s="32"/>
      <c r="AL2099" s="32"/>
      <c r="AM2099" s="32"/>
      <c r="AN2099" s="32"/>
      <c r="AO2099" s="32"/>
      <c r="AP2099" s="32"/>
      <c r="AQ2099" s="32"/>
      <c r="AR2099" s="32"/>
      <c r="AS2099" s="32"/>
      <c r="AT2099" s="32"/>
      <c r="AU2099" s="32"/>
      <c r="XEY2099" s="27"/>
      <c r="XEZ2099" s="27"/>
      <c r="XFA2099" s="27"/>
      <c r="XFB2099" s="27"/>
      <c r="XFC2099" s="27"/>
      <c r="XFD2099" s="27"/>
    </row>
    <row r="2100" s="42" customFormat="true" ht="14.15" hidden="false" customHeight="true" outlineLevel="0" collapsed="false">
      <c r="A2100" s="28" t="s">
        <v>11302</v>
      </c>
      <c r="B2100" s="29" t="s">
        <v>10071</v>
      </c>
      <c r="C2100" s="29" t="s">
        <v>11303</v>
      </c>
      <c r="D2100" s="30" t="s">
        <v>50</v>
      </c>
      <c r="E2100" s="30" t="s">
        <v>255</v>
      </c>
      <c r="F2100" s="32" t="n">
        <v>48</v>
      </c>
      <c r="G2100" s="31"/>
      <c r="H2100" s="31" t="n">
        <v>1</v>
      </c>
      <c r="I2100" s="31" t="s">
        <v>295</v>
      </c>
      <c r="J2100" s="29"/>
      <c r="K2100" s="29" t="s">
        <v>5522</v>
      </c>
      <c r="L2100" s="32" t="n">
        <v>88</v>
      </c>
      <c r="M2100" s="33" t="s">
        <v>5523</v>
      </c>
      <c r="N2100" s="34" t="n">
        <v>92300</v>
      </c>
      <c r="O2100" s="35" t="s">
        <v>298</v>
      </c>
      <c r="P2100" s="36" t="s">
        <v>5524</v>
      </c>
      <c r="Q2100" s="36" t="n">
        <v>3</v>
      </c>
      <c r="R2100" s="32"/>
      <c r="S2100" s="32"/>
      <c r="T2100" s="32"/>
      <c r="U2100" s="32"/>
      <c r="V2100" s="37"/>
      <c r="W2100" s="32"/>
      <c r="X2100" s="34"/>
      <c r="Y2100" s="34"/>
      <c r="Z2100" s="32"/>
      <c r="AA2100" s="32" t="s">
        <v>11304</v>
      </c>
      <c r="AB2100" s="32"/>
      <c r="AC2100" s="38" t="str">
        <f aca="false">HYPERLINK("https://biocodex6--c.vf.force.com/0014L00000fZirQQAS", "PLICHART MATTHIEU")</f>
        <v>PLICHART MATTHIEU</v>
      </c>
      <c r="AD2100" s="38"/>
      <c r="AE2100" s="39"/>
      <c r="AF2100" s="40"/>
      <c r="AG2100" s="41"/>
      <c r="AH2100" s="32"/>
      <c r="AI2100" s="32"/>
      <c r="AL2100" s="32"/>
      <c r="AM2100" s="32"/>
      <c r="AN2100" s="32"/>
      <c r="AO2100" s="32"/>
      <c r="AP2100" s="32"/>
      <c r="AQ2100" s="32"/>
      <c r="AR2100" s="32"/>
      <c r="AS2100" s="32"/>
      <c r="AT2100" s="32"/>
      <c r="AU2100" s="32"/>
      <c r="XEY2100" s="27"/>
      <c r="XEZ2100" s="27"/>
      <c r="XFA2100" s="27"/>
      <c r="XFB2100" s="27"/>
      <c r="XFC2100" s="27"/>
      <c r="XFD2100" s="27"/>
    </row>
    <row r="2101" s="42" customFormat="true" ht="14.15" hidden="false" customHeight="true" outlineLevel="0" collapsed="false">
      <c r="A2101" s="28" t="s">
        <v>11305</v>
      </c>
      <c r="B2101" s="29" t="s">
        <v>958</v>
      </c>
      <c r="C2101" s="29" t="s">
        <v>11306</v>
      </c>
      <c r="D2101" s="30" t="s">
        <v>75</v>
      </c>
      <c r="E2101" s="31"/>
      <c r="F2101" s="32" t="n">
        <v>65</v>
      </c>
      <c r="G2101" s="31"/>
      <c r="H2101" s="31" t="n">
        <v>1</v>
      </c>
      <c r="I2101" s="31" t="s">
        <v>295</v>
      </c>
      <c r="J2101" s="29"/>
      <c r="K2101" s="29" t="s">
        <v>11307</v>
      </c>
      <c r="L2101" s="32" t="n">
        <v>114</v>
      </c>
      <c r="M2101" s="33" t="s">
        <v>11308</v>
      </c>
      <c r="N2101" s="34" t="n">
        <v>92300</v>
      </c>
      <c r="O2101" s="35" t="s">
        <v>298</v>
      </c>
      <c r="P2101" s="36" t="s">
        <v>11309</v>
      </c>
      <c r="Q2101" s="36" t="n">
        <v>1</v>
      </c>
      <c r="R2101" s="32"/>
      <c r="S2101" s="32"/>
      <c r="T2101" s="32"/>
      <c r="U2101" s="32"/>
      <c r="V2101" s="37"/>
      <c r="W2101" s="32"/>
      <c r="X2101" s="34"/>
      <c r="Y2101" s="34"/>
      <c r="Z2101" s="32"/>
      <c r="AA2101" s="32" t="s">
        <v>11310</v>
      </c>
      <c r="AB2101" s="32"/>
      <c r="AC2101" s="38" t="str">
        <f aca="false">HYPERLINK("https://biocodex6--c.vf.force.com/0014L00000KFLUmQAP", "ERRARD PATRICK")</f>
        <v>ERRARD PATRICK</v>
      </c>
      <c r="AD2101" s="38"/>
      <c r="AE2101" s="39"/>
      <c r="AF2101" s="40"/>
      <c r="AG2101" s="41"/>
      <c r="AH2101" s="32"/>
      <c r="AI2101" s="32"/>
      <c r="AL2101" s="32"/>
      <c r="AM2101" s="32"/>
      <c r="AN2101" s="32"/>
      <c r="AO2101" s="32"/>
      <c r="AP2101" s="32"/>
      <c r="AQ2101" s="32"/>
      <c r="AR2101" s="32"/>
      <c r="AS2101" s="32"/>
      <c r="AT2101" s="32"/>
      <c r="AU2101" s="32"/>
      <c r="XEY2101" s="2"/>
      <c r="XEZ2101" s="2"/>
      <c r="XFA2101" s="2"/>
      <c r="XFB2101" s="2"/>
      <c r="XFC2101" s="2"/>
      <c r="XFD2101" s="2"/>
    </row>
    <row r="2102" s="42" customFormat="true" ht="14.15" hidden="false" customHeight="true" outlineLevel="0" collapsed="false">
      <c r="A2102" s="28" t="s">
        <v>11311</v>
      </c>
      <c r="B2102" s="29" t="s">
        <v>11312</v>
      </c>
      <c r="C2102" s="29" t="s">
        <v>11313</v>
      </c>
      <c r="D2102" s="30" t="s">
        <v>10203</v>
      </c>
      <c r="E2102" s="30" t="s">
        <v>245</v>
      </c>
      <c r="F2102" s="32"/>
      <c r="G2102" s="31"/>
      <c r="H2102" s="31" t="n">
        <v>1</v>
      </c>
      <c r="I2102" s="31" t="s">
        <v>77</v>
      </c>
      <c r="J2102" s="29" t="s">
        <v>246</v>
      </c>
      <c r="K2102" s="29" t="s">
        <v>247</v>
      </c>
      <c r="L2102" s="32" t="n">
        <v>36</v>
      </c>
      <c r="M2102" s="33" t="s">
        <v>248</v>
      </c>
      <c r="N2102" s="34" t="n">
        <v>92200</v>
      </c>
      <c r="O2102" s="35" t="s">
        <v>81</v>
      </c>
      <c r="P2102" s="36" t="s">
        <v>614</v>
      </c>
      <c r="Q2102" s="36" t="n">
        <v>49</v>
      </c>
      <c r="R2102" s="32"/>
      <c r="S2102" s="32"/>
      <c r="T2102" s="32"/>
      <c r="U2102" s="32"/>
      <c r="V2102" s="37"/>
      <c r="W2102" s="32"/>
      <c r="X2102" s="34"/>
      <c r="Y2102" s="34" t="n">
        <v>2</v>
      </c>
      <c r="Z2102" s="32"/>
      <c r="AA2102" s="32" t="s">
        <v>11314</v>
      </c>
      <c r="AB2102" s="32"/>
      <c r="AC2102" s="38" t="str">
        <f aca="false">HYPERLINK("https://biocodex6--c.vf.force.com/0014L00000KJ73CQAT", "LAHOCHE MARIE ALICE")</f>
        <v>LAHOCHE MARIE ALICE</v>
      </c>
      <c r="AD2102" s="38"/>
      <c r="AE2102" s="39"/>
      <c r="AF2102" s="40"/>
      <c r="AG2102" s="41"/>
      <c r="AH2102" s="32"/>
      <c r="AI2102" s="32"/>
      <c r="AL2102" s="32"/>
      <c r="AM2102" s="32"/>
      <c r="AN2102" s="32"/>
      <c r="AO2102" s="32"/>
      <c r="AP2102" s="32"/>
      <c r="AQ2102" s="32"/>
      <c r="AR2102" s="32"/>
      <c r="AS2102" s="32"/>
      <c r="AT2102" s="32"/>
      <c r="AU2102" s="32"/>
      <c r="XEY2102" s="2"/>
      <c r="XEZ2102" s="2"/>
      <c r="XFA2102" s="2"/>
      <c r="XFB2102" s="2"/>
      <c r="XFC2102" s="2"/>
      <c r="XFD2102" s="2"/>
    </row>
    <row r="2103" s="42" customFormat="true" ht="14.15" hidden="false" customHeight="true" outlineLevel="0" collapsed="false">
      <c r="A2103" s="28" t="s">
        <v>11315</v>
      </c>
      <c r="B2103" s="29" t="s">
        <v>9319</v>
      </c>
      <c r="C2103" s="29" t="s">
        <v>11316</v>
      </c>
      <c r="D2103" s="30" t="s">
        <v>10203</v>
      </c>
      <c r="E2103" s="31"/>
      <c r="F2103" s="32"/>
      <c r="G2103" s="31"/>
      <c r="H2103" s="31" t="n">
        <v>1</v>
      </c>
      <c r="I2103" s="31" t="s">
        <v>77</v>
      </c>
      <c r="J2103" s="29" t="s">
        <v>246</v>
      </c>
      <c r="K2103" s="29" t="s">
        <v>247</v>
      </c>
      <c r="L2103" s="32" t="n">
        <v>36</v>
      </c>
      <c r="M2103" s="33" t="s">
        <v>248</v>
      </c>
      <c r="N2103" s="34" t="n">
        <v>92200</v>
      </c>
      <c r="O2103" s="35" t="s">
        <v>81</v>
      </c>
      <c r="P2103" s="36" t="s">
        <v>614</v>
      </c>
      <c r="Q2103" s="36" t="n">
        <v>49</v>
      </c>
      <c r="R2103" s="32"/>
      <c r="S2103" s="32"/>
      <c r="T2103" s="32"/>
      <c r="U2103" s="32"/>
      <c r="V2103" s="37"/>
      <c r="W2103" s="32"/>
      <c r="X2103" s="34"/>
      <c r="Y2103" s="34" t="n">
        <v>1</v>
      </c>
      <c r="Z2103" s="32"/>
      <c r="AA2103" s="32" t="s">
        <v>11317</v>
      </c>
      <c r="AB2103" s="32"/>
      <c r="AC2103" s="38" t="str">
        <f aca="false">HYPERLINK("https://biocodex6--c.vf.force.com/0014L00000NAgQsQAL", "CAVAN SEVERINE")</f>
        <v>CAVAN SEVERINE</v>
      </c>
      <c r="AD2103" s="38"/>
      <c r="AE2103" s="39"/>
      <c r="AF2103" s="40"/>
      <c r="AG2103" s="41"/>
      <c r="AH2103" s="32"/>
      <c r="AI2103" s="32"/>
      <c r="AL2103" s="32"/>
      <c r="AM2103" s="32"/>
      <c r="AN2103" s="32"/>
      <c r="AO2103" s="32"/>
      <c r="AP2103" s="32"/>
      <c r="AQ2103" s="32"/>
      <c r="AR2103" s="32"/>
      <c r="AS2103" s="32"/>
      <c r="AT2103" s="32"/>
      <c r="AU2103" s="32"/>
      <c r="XEY2103" s="2"/>
      <c r="XEZ2103" s="2"/>
      <c r="XFA2103" s="2"/>
      <c r="XFB2103" s="2"/>
      <c r="XFC2103" s="2"/>
      <c r="XFD2103" s="2"/>
    </row>
    <row r="2104" s="42" customFormat="true" ht="14.15" hidden="false" customHeight="true" outlineLevel="0" collapsed="false">
      <c r="A2104" s="28" t="s">
        <v>11318</v>
      </c>
      <c r="B2104" s="29" t="s">
        <v>7630</v>
      </c>
      <c r="C2104" s="29" t="s">
        <v>11319</v>
      </c>
      <c r="D2104" s="30" t="s">
        <v>10203</v>
      </c>
      <c r="E2104" s="31"/>
      <c r="F2104" s="32"/>
      <c r="G2104" s="31"/>
      <c r="H2104" s="31" t="n">
        <v>1</v>
      </c>
      <c r="I2104" s="31" t="s">
        <v>77</v>
      </c>
      <c r="J2104" s="29" t="s">
        <v>246</v>
      </c>
      <c r="K2104" s="29" t="s">
        <v>247</v>
      </c>
      <c r="L2104" s="32" t="n">
        <v>36</v>
      </c>
      <c r="M2104" s="33" t="s">
        <v>248</v>
      </c>
      <c r="N2104" s="34" t="n">
        <v>92200</v>
      </c>
      <c r="O2104" s="35" t="s">
        <v>81</v>
      </c>
      <c r="P2104" s="36" t="s">
        <v>614</v>
      </c>
      <c r="Q2104" s="36" t="n">
        <v>49</v>
      </c>
      <c r="R2104" s="32"/>
      <c r="S2104" s="32"/>
      <c r="T2104" s="32"/>
      <c r="U2104" s="32"/>
      <c r="V2104" s="37"/>
      <c r="W2104" s="32"/>
      <c r="X2104" s="34"/>
      <c r="Y2104" s="34" t="n">
        <v>1</v>
      </c>
      <c r="Z2104" s="32"/>
      <c r="AA2104" s="32" t="s">
        <v>11320</v>
      </c>
      <c r="AB2104" s="32"/>
      <c r="AC2104" s="38" t="str">
        <f aca="false">HYPERLINK("https://biocodex6--c.vf.force.com/0014L00000KJ73mQAD", "PELTIER JUSTINE")</f>
        <v>PELTIER JUSTINE</v>
      </c>
      <c r="AD2104" s="38"/>
      <c r="AE2104" s="39"/>
      <c r="AF2104" s="40"/>
      <c r="AG2104" s="41"/>
      <c r="AH2104" s="32"/>
      <c r="AI2104" s="32"/>
      <c r="AL2104" s="32"/>
      <c r="AM2104" s="32"/>
      <c r="AN2104" s="32"/>
      <c r="AO2104" s="32"/>
      <c r="AP2104" s="32"/>
      <c r="AQ2104" s="32"/>
      <c r="AR2104" s="32"/>
      <c r="AS2104" s="32"/>
      <c r="AT2104" s="32"/>
      <c r="AU2104" s="32"/>
      <c r="XEY2104" s="2"/>
      <c r="XEZ2104" s="2"/>
      <c r="XFA2104" s="2"/>
      <c r="XFB2104" s="2"/>
      <c r="XFC2104" s="2"/>
      <c r="XFD2104" s="2"/>
    </row>
    <row r="2105" s="42" customFormat="true" ht="14.15" hidden="false" customHeight="true" outlineLevel="0" collapsed="false">
      <c r="A2105" s="28" t="s">
        <v>11321</v>
      </c>
      <c r="B2105" s="29" t="s">
        <v>1600</v>
      </c>
      <c r="C2105" s="29" t="s">
        <v>11322</v>
      </c>
      <c r="D2105" s="30" t="s">
        <v>10203</v>
      </c>
      <c r="E2105" s="30" t="s">
        <v>112</v>
      </c>
      <c r="F2105" s="32"/>
      <c r="G2105" s="31"/>
      <c r="H2105" s="31" t="n">
        <v>1</v>
      </c>
      <c r="I2105" s="31" t="s">
        <v>77</v>
      </c>
      <c r="J2105" s="29" t="s">
        <v>246</v>
      </c>
      <c r="K2105" s="29" t="s">
        <v>247</v>
      </c>
      <c r="L2105" s="32" t="n">
        <v>36</v>
      </c>
      <c r="M2105" s="33" t="s">
        <v>248</v>
      </c>
      <c r="N2105" s="34" t="n">
        <v>92200</v>
      </c>
      <c r="O2105" s="35" t="s">
        <v>81</v>
      </c>
      <c r="P2105" s="36" t="s">
        <v>614</v>
      </c>
      <c r="Q2105" s="36" t="n">
        <v>49</v>
      </c>
      <c r="R2105" s="32"/>
      <c r="S2105" s="32"/>
      <c r="T2105" s="32"/>
      <c r="U2105" s="32"/>
      <c r="V2105" s="37"/>
      <c r="W2105" s="32"/>
      <c r="X2105" s="34"/>
      <c r="Y2105" s="34"/>
      <c r="Z2105" s="32"/>
      <c r="AA2105" s="32" t="s">
        <v>11323</v>
      </c>
      <c r="AB2105" s="32"/>
      <c r="AC2105" s="38" t="str">
        <f aca="false">HYPERLINK("https://biocodex6--c.vf.force.com/0014L00000NAgS1QAL", "MARETTE CAROLINE")</f>
        <v>MARETTE CAROLINE</v>
      </c>
      <c r="AD2105" s="38"/>
      <c r="AE2105" s="39"/>
      <c r="AF2105" s="40"/>
      <c r="AG2105" s="41"/>
      <c r="AH2105" s="32"/>
      <c r="AI2105" s="32"/>
      <c r="AL2105" s="32"/>
      <c r="AM2105" s="32"/>
      <c r="AN2105" s="32"/>
      <c r="AO2105" s="32"/>
      <c r="AP2105" s="32"/>
      <c r="AQ2105" s="32"/>
      <c r="AR2105" s="32"/>
      <c r="AS2105" s="32"/>
      <c r="AT2105" s="32"/>
      <c r="AU2105" s="32"/>
      <c r="XEY2105" s="2"/>
      <c r="XEZ2105" s="2"/>
      <c r="XFA2105" s="2"/>
      <c r="XFB2105" s="2"/>
      <c r="XFC2105" s="2"/>
      <c r="XFD2105" s="2"/>
    </row>
    <row r="2106" s="42" customFormat="true" ht="14.15" hidden="false" customHeight="true" outlineLevel="0" collapsed="false">
      <c r="A2106" s="28" t="s">
        <v>11324</v>
      </c>
      <c r="B2106" s="29" t="s">
        <v>11325</v>
      </c>
      <c r="C2106" s="29" t="s">
        <v>11326</v>
      </c>
      <c r="D2106" s="30" t="s">
        <v>172</v>
      </c>
      <c r="E2106" s="30" t="s">
        <v>545</v>
      </c>
      <c r="F2106" s="32"/>
      <c r="G2106" s="31"/>
      <c r="H2106" s="31" t="n">
        <v>1</v>
      </c>
      <c r="I2106" s="31" t="s">
        <v>99</v>
      </c>
      <c r="J2106" s="29"/>
      <c r="K2106" s="29" t="s">
        <v>11327</v>
      </c>
      <c r="L2106" s="32" t="n">
        <v>15</v>
      </c>
      <c r="M2106" s="33" t="s">
        <v>11328</v>
      </c>
      <c r="N2106" s="34" t="n">
        <v>75015</v>
      </c>
      <c r="O2106" s="35" t="s">
        <v>55</v>
      </c>
      <c r="P2106" s="36"/>
      <c r="Q2106" s="36" t="n">
        <v>1</v>
      </c>
      <c r="R2106" s="32"/>
      <c r="S2106" s="32"/>
      <c r="T2106" s="32"/>
      <c r="U2106" s="32"/>
      <c r="V2106" s="37"/>
      <c r="W2106" s="32"/>
      <c r="X2106" s="34"/>
      <c r="Y2106" s="34"/>
      <c r="Z2106" s="32"/>
      <c r="AA2106" s="32"/>
      <c r="AB2106" s="44"/>
      <c r="AC2106" s="38"/>
      <c r="AD2106" s="38"/>
      <c r="AE2106" s="39"/>
      <c r="AF2106" s="40"/>
      <c r="AG2106" s="45"/>
      <c r="AH2106" s="32" t="s">
        <v>2191</v>
      </c>
      <c r="AI2106" s="32" t="s">
        <v>2191</v>
      </c>
      <c r="AL2106" s="32"/>
      <c r="AM2106" s="32"/>
      <c r="AN2106" s="32"/>
      <c r="AO2106" s="32"/>
      <c r="AP2106" s="32"/>
      <c r="AQ2106" s="32"/>
      <c r="AR2106" s="32"/>
      <c r="AS2106" s="32"/>
      <c r="AT2106" s="32"/>
      <c r="AU2106" s="32"/>
      <c r="XEY2106" s="27"/>
      <c r="XEZ2106" s="27"/>
      <c r="XFA2106" s="27"/>
      <c r="XFB2106" s="27"/>
      <c r="XFC2106" s="27"/>
      <c r="XFD2106" s="27"/>
    </row>
  </sheetData>
  <autoFilter ref="A1:AU2106"/>
  <conditionalFormatting sqref="A2:B2106 V2:V2106">
    <cfRule type="expression" priority="2" aboveAverage="0" equalAverage="0" bottom="0" percent="0" rank="0" text="" dxfId="249">
      <formula>OR($AI2="NRP",$AI2="NPAI",$AI2="DEC",$AI2="RET",$AI2="HC")</formula>
    </cfRule>
    <cfRule type="expression" priority="3" aboveAverage="0" equalAverage="0" bottom="0" percent="0" rank="0" text="" dxfId="250">
      <formula>$V2&gt;0</formula>
    </cfRule>
  </conditionalFormatting>
  <conditionalFormatting sqref="R2:R2106">
    <cfRule type="colorScale" priority="4">
      <colorScale>
        <cfvo type="min" val="0"/>
        <cfvo type="num" val="0"/>
        <cfvo type="max" val="0"/>
        <color rgb="FFFFFFFF"/>
        <color rgb="FF5983B0"/>
        <color rgb="FF780373"/>
      </colorScale>
    </cfRule>
  </conditionalFormatting>
  <conditionalFormatting sqref="T2:T2106">
    <cfRule type="expression" priority="5" aboveAverage="0" equalAverage="0" bottom="0" percent="0" rank="0" text="" dxfId="251">
      <formula>OR($T2="D1",$T2="D2",$T2="D3",$T2="D4",$T2="D5",$T2="D6",$T2="D7",$T2="D8",$T2="D9")</formula>
    </cfRule>
    <cfRule type="expression" priority="6" aboveAverage="0" equalAverage="0" bottom="0" percent="0" rank="0" text="" dxfId="249">
      <formula>$T2="NP"</formula>
    </cfRule>
    <cfRule type="expression" priority="7" aboveAverage="0" equalAverage="0" bottom="0" percent="0" rank="0" text="" dxfId="251">
      <formula>OR($T2="D1",$T2="D2",$T2="D3",$T2="D4",$T2="D5",$T2="D6",$T2="D7",$T2="D8",$T2="D9")</formula>
    </cfRule>
    <cfRule type="expression" priority="8" aboveAverage="0" equalAverage="0" bottom="0" percent="0" rank="0" text="" dxfId="249">
      <formula>$T2="NP"</formula>
    </cfRule>
  </conditionalFormatting>
  <conditionalFormatting sqref="D2:D2106">
    <cfRule type="expression" priority="9" aboveAverage="0" equalAverage="0" bottom="0" percent="0" rank="0" text="" dxfId="252">
      <formula>$D2="MG"</formula>
    </cfRule>
    <cfRule type="expression" priority="10" aboveAverage="0" equalAverage="0" bottom="0" percent="0" rank="0" text="" dxfId="253">
      <formula>OR($D2="GY",$D2="MGY",$D2="SF")</formula>
    </cfRule>
    <cfRule type="expression" priority="11" aboveAverage="0" equalAverage="0" bottom="0" percent="0" rank="0" text="" dxfId="254">
      <formula>$D2="GE"</formula>
    </cfRule>
    <cfRule type="expression" priority="12" aboveAverage="0" equalAverage="0" bottom="0" percent="0" rank="0" text="" dxfId="255">
      <formula>$D2="PE"</formula>
    </cfRule>
    <cfRule type="expression" priority="13" aboveAverage="0" equalAverage="0" bottom="0" percent="0" rank="0" text="" dxfId="251">
      <formula>$D2="PSY"</formula>
    </cfRule>
    <cfRule type="expression" priority="14" aboveAverage="0" equalAverage="0" bottom="0" percent="0" rank="0" text="" dxfId="256">
      <formula>$D2="PPSY"</formula>
    </cfRule>
    <cfRule type="expression" priority="15" aboveAverage="0" equalAverage="0" bottom="0" percent="0" rank="0" text="" dxfId="251">
      <formula>$D2="NE"</formula>
    </cfRule>
  </conditionalFormatting>
  <conditionalFormatting sqref="F2:F2106">
    <cfRule type="colorScale" priority="16">
      <colorScale>
        <cfvo type="min" val="0"/>
        <cfvo type="num" val="0"/>
        <cfvo type="max" val="0"/>
        <color rgb="FF77BC65"/>
        <color rgb="FFFFFF6D"/>
        <color rgb="FFFF6D6D"/>
      </colorScale>
    </cfRule>
  </conditionalFormatting>
  <conditionalFormatting sqref="S2:S2106">
    <cfRule type="colorScale" priority="17">
      <colorScale>
        <cfvo type="min" val="0"/>
        <cfvo type="num" val="0"/>
        <cfvo type="max" val="0"/>
        <color rgb="FFF6F9D4"/>
        <color rgb="FF3FAF46"/>
        <color rgb="FF780373"/>
      </colorScale>
    </cfRule>
  </conditionalFormatting>
  <printOptions headings="false" gridLines="true" gridLinesSet="true" horizontalCentered="true" verticalCentered="true"/>
  <pageMargins left="0.196527777777778" right="0.196527777777778" top="0.196527777777778" bottom="0.196527777777778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E39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T35" activePane="bottomRight" state="frozen"/>
      <selection pane="topLeft" activeCell="A1" activeCellId="0" sqref="A1"/>
      <selection pane="topRight" activeCell="T1" activeCellId="0" sqref="T1"/>
      <selection pane="bottomLeft" activeCell="A35" activeCellId="0" sqref="A35"/>
      <selection pane="bottomRight" activeCell="T1" activeCellId="0" sqref="T1"/>
    </sheetView>
  </sheetViews>
  <sheetFormatPr defaultColWidth="16.4140625" defaultRowHeight="12.75" zeroHeight="false" outlineLevelRow="0" outlineLevelCol="1"/>
  <cols>
    <col collapsed="false" customWidth="true" hidden="false" outlineLevel="0" max="1" min="1" style="42" width="47.01"/>
    <col collapsed="false" customWidth="false" hidden="false" outlineLevel="0" max="2" min="2" style="27" width="16.41"/>
    <col collapsed="false" customWidth="true" hidden="true" outlineLevel="1" max="3" min="3" style="42" width="43.17"/>
    <col collapsed="false" customWidth="true" hidden="true" outlineLevel="1" max="4" min="4" style="42" width="8.76"/>
    <col collapsed="false" customWidth="true" hidden="true" outlineLevel="1" max="5" min="5" style="42" width="20.18"/>
    <col collapsed="false" customWidth="true" hidden="true" outlineLevel="1" max="6" min="6" style="42" width="14.54"/>
    <col collapsed="false" customWidth="true" hidden="true" outlineLevel="1" max="8" min="7" style="42" width="20.63"/>
    <col collapsed="false" customWidth="true" hidden="false" outlineLevel="0" max="9" min="9" style="32" width="10.12"/>
    <col collapsed="false" customWidth="true" hidden="false" outlineLevel="0" max="10" min="10" style="32" width="13.01"/>
    <col collapsed="false" customWidth="true" hidden="false" outlineLevel="0" max="12" min="11" style="32" width="13.48"/>
    <col collapsed="false" customWidth="true" hidden="false" outlineLevel="0" max="13" min="13" style="32" width="14.69"/>
    <col collapsed="false" customWidth="true" hidden="false" outlineLevel="0" max="14" min="14" style="32" width="11.95"/>
    <col collapsed="false" customWidth="true" hidden="false" outlineLevel="0" max="15" min="15" style="42" width="21.09"/>
    <col collapsed="false" customWidth="true" hidden="false" outlineLevel="0" max="16" min="16" style="39" width="14.54"/>
    <col collapsed="false" customWidth="true" hidden="false" outlineLevel="0" max="17" min="17" style="42" width="10.42"/>
    <col collapsed="false" customWidth="true" hidden="false" outlineLevel="1" max="19" min="18" style="60" width="23.26"/>
    <col collapsed="false" customWidth="true" hidden="false" outlineLevel="1" max="20" min="20" style="42" width="23.59"/>
    <col collapsed="false" customWidth="true" hidden="false" outlineLevel="1" max="22" min="21" style="60" width="23.26"/>
    <col collapsed="false" customWidth="true" hidden="false" outlineLevel="1" max="23" min="23" style="42" width="24.05"/>
    <col collapsed="false" customWidth="true" hidden="false" outlineLevel="1" max="25" min="24" style="60" width="23.26"/>
    <col collapsed="false" customWidth="true" hidden="false" outlineLevel="1" max="28" min="26" style="42" width="23.26"/>
    <col collapsed="false" customWidth="true" hidden="false" outlineLevel="0" max="29" min="29" style="32" width="23.9"/>
    <col collapsed="false" customWidth="true" hidden="false" outlineLevel="0" max="30" min="30" style="42" width="30.23"/>
    <col collapsed="false" customWidth="true" hidden="false" outlineLevel="0" max="31" min="31" style="42" width="36.32"/>
    <col collapsed="false" customWidth="true" hidden="false" outlineLevel="0" max="32" min="32" style="27" width="20.63"/>
    <col collapsed="false" customWidth="false" hidden="false" outlineLevel="0" max="16384" min="33" style="42" width="16.41"/>
  </cols>
  <sheetData>
    <row r="1" customFormat="false" ht="24" hidden="false" customHeight="true" outlineLevel="0" collapsed="false">
      <c r="A1" s="9" t="s">
        <v>0</v>
      </c>
      <c r="B1" s="9" t="s">
        <v>8</v>
      </c>
      <c r="C1" s="9" t="s">
        <v>10</v>
      </c>
      <c r="D1" s="9" t="s">
        <v>13</v>
      </c>
      <c r="E1" s="9" t="s">
        <v>14</v>
      </c>
      <c r="F1" s="9" t="s">
        <v>15</v>
      </c>
      <c r="G1" s="9" t="s">
        <v>11329</v>
      </c>
      <c r="H1" s="9" t="s">
        <v>11330</v>
      </c>
      <c r="I1" s="18" t="s">
        <v>19</v>
      </c>
      <c r="J1" s="61" t="s">
        <v>20</v>
      </c>
      <c r="K1" s="62" t="s">
        <v>21</v>
      </c>
      <c r="L1" s="61" t="s">
        <v>11331</v>
      </c>
      <c r="M1" s="61" t="s">
        <v>11332</v>
      </c>
      <c r="N1" s="61" t="s">
        <v>24</v>
      </c>
      <c r="O1" s="63" t="s">
        <v>31</v>
      </c>
      <c r="P1" s="63" t="s">
        <v>30</v>
      </c>
      <c r="Q1" s="63" t="s">
        <v>32</v>
      </c>
      <c r="R1" s="64" t="s">
        <v>11333</v>
      </c>
      <c r="S1" s="65" t="s">
        <v>11334</v>
      </c>
      <c r="T1" s="65" t="s">
        <v>11335</v>
      </c>
      <c r="U1" s="64" t="s">
        <v>11336</v>
      </c>
      <c r="V1" s="65" t="s">
        <v>11337</v>
      </c>
      <c r="W1" s="65" t="s">
        <v>11338</v>
      </c>
      <c r="X1" s="64" t="s">
        <v>11339</v>
      </c>
      <c r="Y1" s="65" t="s">
        <v>11340</v>
      </c>
      <c r="Z1" s="65" t="s">
        <v>11341</v>
      </c>
      <c r="AA1" s="64" t="s">
        <v>11342</v>
      </c>
      <c r="AB1" s="65" t="s">
        <v>11343</v>
      </c>
      <c r="AC1" s="65" t="s">
        <v>11344</v>
      </c>
      <c r="AD1" s="66" t="s">
        <v>11345</v>
      </c>
      <c r="AE1" s="66" t="s">
        <v>11346</v>
      </c>
    </row>
    <row r="2" customFormat="false" ht="12.75" hidden="false" customHeight="true" outlineLevel="0" collapsed="false">
      <c r="A2" s="55" t="s">
        <v>11347</v>
      </c>
      <c r="B2" s="55" t="s">
        <v>99</v>
      </c>
      <c r="C2" s="55" t="s">
        <v>11348</v>
      </c>
      <c r="D2" s="32" t="n">
        <v>75015</v>
      </c>
      <c r="E2" s="32" t="s">
        <v>55</v>
      </c>
      <c r="F2" s="32" t="s">
        <v>11349</v>
      </c>
      <c r="G2" s="55" t="s">
        <v>11350</v>
      </c>
      <c r="H2" s="55" t="s">
        <v>11351</v>
      </c>
      <c r="I2" s="32" t="n">
        <v>1</v>
      </c>
      <c r="J2" s="32" t="n">
        <v>3</v>
      </c>
      <c r="K2" s="43" t="e">
        <f aca="false">VLOOKUP(A2,#REF!,2, )</f>
        <v>#VALUE!</v>
      </c>
      <c r="L2" s="32" t="n">
        <v>1</v>
      </c>
      <c r="M2" s="32" t="n">
        <v>1</v>
      </c>
      <c r="N2" s="32" t="n">
        <v>0</v>
      </c>
      <c r="O2" s="42" t="s">
        <v>11352</v>
      </c>
      <c r="P2" s="39" t="n">
        <v>45299.3958333333</v>
      </c>
      <c r="R2" s="60" t="n">
        <v>2241</v>
      </c>
      <c r="S2" s="60" t="n">
        <v>4894</v>
      </c>
      <c r="T2" s="42" t="n">
        <v>3</v>
      </c>
      <c r="U2" s="60" t="n">
        <v>1226</v>
      </c>
      <c r="V2" s="60" t="n">
        <v>5015</v>
      </c>
      <c r="W2" s="42" t="n">
        <v>5</v>
      </c>
      <c r="X2" s="60" t="n">
        <v>775</v>
      </c>
      <c r="Y2" s="60" t="n">
        <v>5189</v>
      </c>
      <c r="Z2" s="42" t="n">
        <v>2</v>
      </c>
      <c r="AA2" s="60" t="n">
        <v>1889.93</v>
      </c>
      <c r="AB2" s="60" t="n">
        <v>5479.48</v>
      </c>
      <c r="AC2" s="43" t="n">
        <v>1</v>
      </c>
      <c r="AD2" s="42" t="s">
        <v>11353</v>
      </c>
    </row>
    <row r="3" customFormat="false" ht="12.75" hidden="false" customHeight="true" outlineLevel="0" collapsed="false">
      <c r="A3" s="55" t="s">
        <v>11354</v>
      </c>
      <c r="B3" s="55" t="s">
        <v>295</v>
      </c>
      <c r="C3" s="55" t="s">
        <v>1425</v>
      </c>
      <c r="D3" s="32" t="n">
        <v>92300</v>
      </c>
      <c r="E3" s="32" t="s">
        <v>11355</v>
      </c>
      <c r="F3" s="32" t="s">
        <v>11356</v>
      </c>
      <c r="G3" s="55" t="s">
        <v>11357</v>
      </c>
      <c r="H3" s="55" t="s">
        <v>11358</v>
      </c>
      <c r="I3" s="32" t="n">
        <v>2</v>
      </c>
      <c r="J3" s="32" t="n">
        <v>3</v>
      </c>
      <c r="K3" s="43" t="e">
        <f aca="false">VLOOKUP(A3,#REF!,2, )</f>
        <v>#VALUE!</v>
      </c>
      <c r="L3" s="32" t="n">
        <v>1</v>
      </c>
      <c r="M3" s="32" t="n">
        <v>1</v>
      </c>
      <c r="N3" s="32" t="n">
        <v>2</v>
      </c>
      <c r="O3" s="42" t="s">
        <v>11359</v>
      </c>
      <c r="P3" s="39" t="n">
        <v>45244.4375</v>
      </c>
      <c r="R3" s="60" t="n">
        <v>976</v>
      </c>
      <c r="S3" s="60" t="n">
        <v>5189</v>
      </c>
      <c r="T3" s="42" t="n">
        <v>2</v>
      </c>
      <c r="U3" s="60" t="n">
        <v>1533</v>
      </c>
      <c r="V3" s="60" t="n">
        <v>6073</v>
      </c>
      <c r="W3" s="42" t="n">
        <v>1</v>
      </c>
      <c r="X3" s="60" t="n">
        <v>1996</v>
      </c>
      <c r="Y3" s="60" t="n">
        <v>5647</v>
      </c>
      <c r="Z3" s="42" t="n">
        <v>1</v>
      </c>
      <c r="AA3" s="60" t="n">
        <v>2230</v>
      </c>
      <c r="AB3" s="60" t="n">
        <v>5208.55</v>
      </c>
      <c r="AC3" s="32" t="n">
        <v>2</v>
      </c>
      <c r="AD3" s="42" t="s">
        <v>11360</v>
      </c>
      <c r="AE3" s="42" t="s">
        <v>11361</v>
      </c>
    </row>
    <row r="4" customFormat="false" ht="17.25" hidden="false" customHeight="true" outlineLevel="0" collapsed="false">
      <c r="A4" s="55" t="s">
        <v>11362</v>
      </c>
      <c r="B4" s="55" t="s">
        <v>387</v>
      </c>
      <c r="C4" s="55" t="s">
        <v>11363</v>
      </c>
      <c r="D4" s="32" t="n">
        <v>75016</v>
      </c>
      <c r="E4" s="32" t="s">
        <v>55</v>
      </c>
      <c r="F4" s="32" t="s">
        <v>11364</v>
      </c>
      <c r="G4" s="55" t="s">
        <v>11365</v>
      </c>
      <c r="H4" s="55" t="s">
        <v>11366</v>
      </c>
      <c r="I4" s="32" t="n">
        <v>3</v>
      </c>
      <c r="J4" s="32" t="n">
        <v>3</v>
      </c>
      <c r="K4" s="43" t="e">
        <f aca="false">VLOOKUP(A4,#REF!,2, )</f>
        <v>#VALUE!</v>
      </c>
      <c r="L4" s="32" t="n">
        <v>1</v>
      </c>
      <c r="M4" s="32" t="n">
        <v>1</v>
      </c>
      <c r="N4" s="32" t="n">
        <v>2</v>
      </c>
      <c r="O4" s="42" t="s">
        <v>11367</v>
      </c>
      <c r="P4" s="39" t="n">
        <v>44712</v>
      </c>
      <c r="R4" s="60" t="n">
        <v>1550</v>
      </c>
      <c r="S4" s="60" t="n">
        <v>4642</v>
      </c>
      <c r="T4" s="42" t="n">
        <v>4</v>
      </c>
      <c r="U4" s="60" t="n">
        <v>1946</v>
      </c>
      <c r="V4" s="60" t="n">
        <v>5054</v>
      </c>
      <c r="W4" s="42" t="n">
        <v>4</v>
      </c>
      <c r="X4" s="60" t="n">
        <v>2001</v>
      </c>
      <c r="Y4" s="60" t="n">
        <v>4714</v>
      </c>
      <c r="Z4" s="42" t="n">
        <v>4</v>
      </c>
      <c r="AA4" s="60" t="n">
        <v>2447.43</v>
      </c>
      <c r="AB4" s="60" t="n">
        <v>4267.78</v>
      </c>
      <c r="AC4" s="32" t="n">
        <v>3</v>
      </c>
      <c r="AD4" s="42" t="s">
        <v>11368</v>
      </c>
      <c r="AE4" s="42" t="s">
        <v>11369</v>
      </c>
    </row>
    <row r="5" customFormat="false" ht="17.25" hidden="false" customHeight="true" outlineLevel="0" collapsed="false">
      <c r="A5" s="55" t="s">
        <v>11370</v>
      </c>
      <c r="B5" s="55" t="s">
        <v>387</v>
      </c>
      <c r="C5" s="55" t="s">
        <v>11371</v>
      </c>
      <c r="D5" s="32" t="n">
        <v>75016</v>
      </c>
      <c r="E5" s="32" t="s">
        <v>55</v>
      </c>
      <c r="F5" s="32" t="s">
        <v>11372</v>
      </c>
      <c r="G5" s="55" t="s">
        <v>11373</v>
      </c>
      <c r="H5" s="55" t="s">
        <v>11374</v>
      </c>
      <c r="I5" s="32" t="n">
        <v>2</v>
      </c>
      <c r="J5" s="32" t="n">
        <v>3</v>
      </c>
      <c r="K5" s="43" t="e">
        <f aca="false">VLOOKUP(A5,#REF!,2, )</f>
        <v>#VALUE!</v>
      </c>
      <c r="L5" s="32" t="n">
        <v>1</v>
      </c>
      <c r="M5" s="32" t="n">
        <v>1</v>
      </c>
      <c r="N5" s="32" t="n">
        <v>2</v>
      </c>
      <c r="O5" s="42" t="s">
        <v>11367</v>
      </c>
      <c r="P5" s="39" t="n">
        <v>44719</v>
      </c>
      <c r="R5" s="60" t="n">
        <v>1851</v>
      </c>
      <c r="S5" s="60" t="n">
        <v>4058</v>
      </c>
      <c r="T5" s="42" t="n">
        <v>7</v>
      </c>
      <c r="U5" s="60" t="n">
        <v>2202</v>
      </c>
      <c r="V5" s="60" t="n">
        <v>3820</v>
      </c>
      <c r="W5" s="42" t="n">
        <v>10</v>
      </c>
      <c r="X5" s="60" t="n">
        <v>2224</v>
      </c>
      <c r="Y5" s="60" t="n">
        <v>4541</v>
      </c>
      <c r="Z5" s="42" t="n">
        <v>5</v>
      </c>
      <c r="AA5" s="60" t="n">
        <v>3294.83</v>
      </c>
      <c r="AB5" s="60" t="n">
        <v>3851.53</v>
      </c>
      <c r="AC5" s="32" t="n">
        <v>4</v>
      </c>
      <c r="AD5" s="42" t="s">
        <v>11375</v>
      </c>
      <c r="AE5" s="42" t="s">
        <v>11376</v>
      </c>
    </row>
    <row r="6" customFormat="false" ht="12.75" hidden="false" customHeight="true" outlineLevel="0" collapsed="false">
      <c r="A6" s="55" t="s">
        <v>11377</v>
      </c>
      <c r="B6" s="55" t="s">
        <v>197</v>
      </c>
      <c r="C6" s="55" t="s">
        <v>11378</v>
      </c>
      <c r="D6" s="32" t="n">
        <v>75017</v>
      </c>
      <c r="E6" s="32" t="s">
        <v>55</v>
      </c>
      <c r="F6" s="32" t="s">
        <v>11379</v>
      </c>
      <c r="G6" s="55" t="s">
        <v>11380</v>
      </c>
      <c r="H6" s="55" t="s">
        <v>11381</v>
      </c>
      <c r="I6" s="32" t="n">
        <v>3</v>
      </c>
      <c r="J6" s="32" t="n">
        <v>3</v>
      </c>
      <c r="K6" s="43" t="e">
        <f aca="false">VLOOKUP(A6,#REF!,2, )</f>
        <v>#VALUE!</v>
      </c>
      <c r="L6" s="32" t="n">
        <v>1</v>
      </c>
      <c r="M6" s="32" t="n">
        <v>1</v>
      </c>
      <c r="N6" s="32" t="n">
        <v>0</v>
      </c>
      <c r="O6" s="42" t="s">
        <v>11382</v>
      </c>
      <c r="P6" s="39" t="n">
        <v>45242.4791666667</v>
      </c>
      <c r="R6" s="67" t="n">
        <v>747</v>
      </c>
      <c r="S6" s="60" t="n">
        <v>5432</v>
      </c>
      <c r="T6" s="42" t="n">
        <v>1</v>
      </c>
      <c r="U6" s="60" t="n">
        <v>992</v>
      </c>
      <c r="V6" s="60" t="n">
        <v>5659</v>
      </c>
      <c r="W6" s="42" t="n">
        <v>2</v>
      </c>
      <c r="X6" s="60" t="n">
        <v>792</v>
      </c>
      <c r="Y6" s="60" t="n">
        <v>4889</v>
      </c>
      <c r="Z6" s="42" t="n">
        <v>3</v>
      </c>
      <c r="AA6" s="60" t="n">
        <v>869.72</v>
      </c>
      <c r="AB6" s="60" t="n">
        <v>3766.05</v>
      </c>
      <c r="AC6" s="32" t="n">
        <v>5</v>
      </c>
      <c r="AD6" s="42" t="s">
        <v>11383</v>
      </c>
      <c r="AE6" s="42" t="s">
        <v>11384</v>
      </c>
    </row>
    <row r="7" customFormat="false" ht="12.75" hidden="false" customHeight="true" outlineLevel="0" collapsed="false">
      <c r="A7" s="55" t="s">
        <v>11385</v>
      </c>
      <c r="B7" s="55" t="s">
        <v>435</v>
      </c>
      <c r="C7" s="55" t="s">
        <v>11386</v>
      </c>
      <c r="D7" s="32" t="n">
        <v>75116</v>
      </c>
      <c r="E7" s="32" t="s">
        <v>55</v>
      </c>
      <c r="F7" s="32" t="s">
        <v>11387</v>
      </c>
      <c r="G7" s="55" t="s">
        <v>11388</v>
      </c>
      <c r="H7" s="55" t="s">
        <v>11389</v>
      </c>
      <c r="I7" s="32" t="n">
        <v>2</v>
      </c>
      <c r="J7" s="32" t="n">
        <v>3</v>
      </c>
      <c r="K7" s="43" t="e">
        <f aca="false">VLOOKUP(A7,#REF!,2, )</f>
        <v>#VALUE!</v>
      </c>
      <c r="L7" s="32" t="n">
        <v>1</v>
      </c>
      <c r="M7" s="32" t="n">
        <v>1</v>
      </c>
      <c r="N7" s="32" t="n">
        <v>1</v>
      </c>
      <c r="O7" s="42" t="s">
        <v>11367</v>
      </c>
      <c r="P7" s="39" t="n">
        <v>44709</v>
      </c>
      <c r="R7" s="60" t="n">
        <v>1979</v>
      </c>
      <c r="S7" s="60" t="n">
        <v>3652</v>
      </c>
      <c r="T7" s="42" t="n">
        <v>14</v>
      </c>
      <c r="U7" s="60" t="n">
        <v>2040</v>
      </c>
      <c r="V7" s="60" t="n">
        <v>3320</v>
      </c>
      <c r="W7" s="42" t="n">
        <v>15</v>
      </c>
      <c r="X7" s="60" t="n">
        <v>1505</v>
      </c>
      <c r="Y7" s="60" t="n">
        <v>3136</v>
      </c>
      <c r="Z7" s="42" t="n">
        <v>17</v>
      </c>
      <c r="AA7" s="60" t="n">
        <v>1889.93</v>
      </c>
      <c r="AB7" s="60" t="n">
        <v>3486.56</v>
      </c>
      <c r="AC7" s="32" t="n">
        <v>6</v>
      </c>
      <c r="AE7" s="42" t="s">
        <v>11390</v>
      </c>
    </row>
    <row r="8" customFormat="false" ht="12.75" hidden="false" customHeight="true" outlineLevel="0" collapsed="false">
      <c r="A8" s="55" t="s">
        <v>11391</v>
      </c>
      <c r="B8" s="55" t="s">
        <v>77</v>
      </c>
      <c r="C8" s="55" t="s">
        <v>11392</v>
      </c>
      <c r="D8" s="32" t="n">
        <v>92200</v>
      </c>
      <c r="E8" s="32" t="s">
        <v>11393</v>
      </c>
      <c r="F8" s="32" t="s">
        <v>11394</v>
      </c>
      <c r="G8" s="55" t="s">
        <v>11395</v>
      </c>
      <c r="H8" s="55" t="s">
        <v>11396</v>
      </c>
      <c r="I8" s="32" t="n">
        <v>2</v>
      </c>
      <c r="J8" s="32" t="n">
        <v>3</v>
      </c>
      <c r="K8" s="43" t="e">
        <f aca="false">VLOOKUP(A8,#REF!,2, )</f>
        <v>#VALUE!</v>
      </c>
      <c r="L8" s="32" t="n">
        <v>1</v>
      </c>
      <c r="M8" s="32" t="n">
        <v>1</v>
      </c>
      <c r="N8" s="32" t="n">
        <v>2</v>
      </c>
      <c r="O8" s="42" t="s">
        <v>11367</v>
      </c>
      <c r="P8" s="39" t="n">
        <v>44704</v>
      </c>
      <c r="R8" s="60" t="n">
        <v>1550</v>
      </c>
      <c r="S8" s="60" t="n">
        <v>3686</v>
      </c>
      <c r="T8" s="42" t="n">
        <v>12</v>
      </c>
      <c r="U8" s="60" t="n">
        <v>2236</v>
      </c>
      <c r="V8" s="60" t="n">
        <v>4053</v>
      </c>
      <c r="W8" s="42" t="n">
        <v>8</v>
      </c>
      <c r="X8" s="60" t="n">
        <v>1065</v>
      </c>
      <c r="Y8" s="60" t="n">
        <v>4392</v>
      </c>
      <c r="Z8" s="42" t="n">
        <v>7</v>
      </c>
      <c r="AA8" s="60" t="n">
        <v>2542.21</v>
      </c>
      <c r="AB8" s="60" t="n">
        <v>3469.63</v>
      </c>
      <c r="AC8" s="32" t="n">
        <v>7</v>
      </c>
      <c r="AD8" s="42" t="s">
        <v>11397</v>
      </c>
      <c r="AE8" s="42" t="s">
        <v>11398</v>
      </c>
    </row>
    <row r="9" customFormat="false" ht="17.25" hidden="false" customHeight="true" outlineLevel="0" collapsed="false">
      <c r="A9" s="55" t="s">
        <v>11399</v>
      </c>
      <c r="B9" s="55" t="s">
        <v>62</v>
      </c>
      <c r="C9" s="55" t="s">
        <v>11400</v>
      </c>
      <c r="D9" s="32" t="n">
        <v>75017</v>
      </c>
      <c r="E9" s="32" t="s">
        <v>55</v>
      </c>
      <c r="F9" s="32" t="s">
        <v>11401</v>
      </c>
      <c r="G9" s="55" t="s">
        <v>11402</v>
      </c>
      <c r="H9" s="55" t="s">
        <v>11403</v>
      </c>
      <c r="I9" s="32" t="n">
        <v>4</v>
      </c>
      <c r="J9" s="32" t="n">
        <v>3</v>
      </c>
      <c r="K9" s="43" t="e">
        <f aca="false">VLOOKUP(A9,#REF!,2, )</f>
        <v>#VALUE!</v>
      </c>
      <c r="L9" s="32" t="n">
        <v>1</v>
      </c>
      <c r="M9" s="32" t="n">
        <v>1</v>
      </c>
      <c r="N9" s="32" t="n">
        <v>2</v>
      </c>
      <c r="O9" s="42" t="s">
        <v>11404</v>
      </c>
      <c r="P9" s="39" t="n">
        <v>45187.65625</v>
      </c>
      <c r="R9" s="60" t="n">
        <v>1143</v>
      </c>
      <c r="S9" s="60" t="n">
        <v>4074</v>
      </c>
      <c r="T9" s="42" t="n">
        <v>6</v>
      </c>
      <c r="U9" s="60" t="n">
        <v>1154</v>
      </c>
      <c r="V9" s="60" t="n">
        <v>4766</v>
      </c>
      <c r="W9" s="42" t="n">
        <v>6</v>
      </c>
      <c r="X9" s="60" t="n">
        <v>1154</v>
      </c>
      <c r="Y9" s="60" t="n">
        <v>4112</v>
      </c>
      <c r="Z9" s="42" t="n">
        <v>9</v>
      </c>
      <c r="AA9" s="60" t="n">
        <v>1449.52</v>
      </c>
      <c r="AB9" s="60" t="n">
        <v>3429.94</v>
      </c>
      <c r="AC9" s="32" t="n">
        <v>8</v>
      </c>
      <c r="AD9" s="42" t="s">
        <v>11397</v>
      </c>
    </row>
    <row r="10" customFormat="false" ht="12.75" hidden="false" customHeight="true" outlineLevel="0" collapsed="false">
      <c r="A10" s="55" t="s">
        <v>11405</v>
      </c>
      <c r="B10" s="55" t="s">
        <v>387</v>
      </c>
      <c r="C10" s="55" t="s">
        <v>11406</v>
      </c>
      <c r="D10" s="32" t="n">
        <v>75016</v>
      </c>
      <c r="E10" s="32" t="s">
        <v>55</v>
      </c>
      <c r="F10" s="32" t="s">
        <v>11407</v>
      </c>
      <c r="G10" s="55" t="s">
        <v>11408</v>
      </c>
      <c r="H10" s="55" t="s">
        <v>11409</v>
      </c>
      <c r="I10" s="32" t="n">
        <v>2</v>
      </c>
      <c r="J10" s="32" t="n">
        <v>3</v>
      </c>
      <c r="K10" s="43" t="e">
        <f aca="false">VLOOKUP(A10,#REF!,2, )</f>
        <v>#VALUE!</v>
      </c>
      <c r="L10" s="32" t="n">
        <v>1</v>
      </c>
      <c r="M10" s="32" t="n">
        <v>1</v>
      </c>
      <c r="N10" s="32" t="n">
        <v>2</v>
      </c>
      <c r="O10" s="42" t="s">
        <v>11410</v>
      </c>
      <c r="P10" s="39" t="n">
        <v>45236.375</v>
      </c>
      <c r="R10" s="60" t="n">
        <v>1561</v>
      </c>
      <c r="S10" s="60" t="n">
        <v>3750</v>
      </c>
      <c r="T10" s="42" t="n">
        <v>11</v>
      </c>
      <c r="U10" s="60" t="n">
        <v>1182</v>
      </c>
      <c r="V10" s="60" t="n">
        <v>3434</v>
      </c>
      <c r="W10" s="42" t="n">
        <v>13</v>
      </c>
      <c r="X10" s="60" t="n">
        <v>1739</v>
      </c>
      <c r="Y10" s="60" t="n">
        <v>3539</v>
      </c>
      <c r="Z10" s="42" t="n">
        <v>13</v>
      </c>
      <c r="AA10" s="60" t="n">
        <v>1672.5</v>
      </c>
      <c r="AB10" s="60" t="n">
        <v>3302.67</v>
      </c>
      <c r="AC10" s="32" t="n">
        <v>9</v>
      </c>
      <c r="AD10" s="42" t="s">
        <v>11411</v>
      </c>
    </row>
    <row r="11" customFormat="false" ht="12.75" hidden="true" customHeight="true" outlineLevel="0" collapsed="false">
      <c r="A11" s="55" t="s">
        <v>11412</v>
      </c>
      <c r="B11" s="55" t="s">
        <v>62</v>
      </c>
      <c r="C11" s="55" t="s">
        <v>11413</v>
      </c>
      <c r="D11" s="32" t="n">
        <v>75017</v>
      </c>
      <c r="E11" s="32" t="s">
        <v>55</v>
      </c>
      <c r="F11" s="32" t="s">
        <v>11414</v>
      </c>
      <c r="G11" s="55" t="s">
        <v>11415</v>
      </c>
      <c r="H11" s="55" t="s">
        <v>11416</v>
      </c>
      <c r="I11" s="32" t="n">
        <v>3</v>
      </c>
      <c r="J11" s="32" t="n">
        <v>0</v>
      </c>
      <c r="K11" s="43" t="e">
        <f aca="false">VLOOKUP(A11,#REF!,2, )</f>
        <v>#VALUE!</v>
      </c>
      <c r="L11" s="32" t="n">
        <v>1</v>
      </c>
      <c r="M11" s="32" t="n">
        <v>1</v>
      </c>
      <c r="N11" s="32" t="n">
        <v>0</v>
      </c>
      <c r="O11" s="42" t="s">
        <v>11367</v>
      </c>
      <c r="P11" s="41"/>
      <c r="R11" s="60" t="n">
        <v>825</v>
      </c>
      <c r="S11" s="60" t="n">
        <v>3461</v>
      </c>
      <c r="T11" s="42" t="n">
        <v>15</v>
      </c>
      <c r="U11" s="60" t="n">
        <v>864</v>
      </c>
      <c r="V11" s="60" t="n">
        <v>3667</v>
      </c>
      <c r="W11" s="42" t="n">
        <v>11</v>
      </c>
      <c r="X11" s="60" t="n">
        <v>775</v>
      </c>
      <c r="Y11" s="60" t="n">
        <v>3295</v>
      </c>
      <c r="Z11" s="42" t="n">
        <v>15</v>
      </c>
      <c r="AA11" s="60" t="n">
        <v>774.93</v>
      </c>
      <c r="AB11" s="60" t="n">
        <v>3210.08</v>
      </c>
      <c r="AC11" s="32" t="n">
        <v>10</v>
      </c>
      <c r="AD11" s="42" t="s">
        <v>11417</v>
      </c>
    </row>
    <row r="12" customFormat="false" ht="12.75" hidden="true" customHeight="true" outlineLevel="0" collapsed="false">
      <c r="A12" s="55" t="s">
        <v>11418</v>
      </c>
      <c r="B12" s="55" t="s">
        <v>295</v>
      </c>
      <c r="C12" s="55" t="s">
        <v>11419</v>
      </c>
      <c r="D12" s="32" t="n">
        <v>92300</v>
      </c>
      <c r="E12" s="32" t="s">
        <v>11355</v>
      </c>
      <c r="F12" s="32" t="s">
        <v>11420</v>
      </c>
      <c r="G12" s="55" t="s">
        <v>11421</v>
      </c>
      <c r="H12" s="55" t="s">
        <v>11422</v>
      </c>
      <c r="I12" s="32" t="n">
        <v>9</v>
      </c>
      <c r="J12" s="32" t="n">
        <v>0</v>
      </c>
      <c r="K12" s="43" t="e">
        <f aca="false">VLOOKUP(A12,#REF!,2, )</f>
        <v>#VALUE!</v>
      </c>
      <c r="L12" s="32" t="n">
        <v>0</v>
      </c>
      <c r="M12" s="32" t="n">
        <v>0</v>
      </c>
      <c r="N12" s="32" t="n">
        <v>0</v>
      </c>
      <c r="O12" s="42" t="s">
        <v>11367</v>
      </c>
      <c r="P12" s="41"/>
      <c r="R12" s="60" t="n">
        <v>190</v>
      </c>
      <c r="S12" s="60" t="n">
        <v>963</v>
      </c>
      <c r="T12" s="42" t="n">
        <v>0</v>
      </c>
      <c r="U12" s="60" t="n">
        <v>479</v>
      </c>
      <c r="V12" s="60" t="n">
        <v>1907</v>
      </c>
      <c r="W12" s="42" t="n">
        <v>66</v>
      </c>
      <c r="X12" s="60" t="n">
        <v>479</v>
      </c>
      <c r="Y12" s="60" t="n">
        <v>2849</v>
      </c>
      <c r="Z12" s="42" t="n">
        <v>22</v>
      </c>
      <c r="AA12" s="60" t="n">
        <v>373.53</v>
      </c>
      <c r="AB12" s="60" t="n">
        <v>3110.95</v>
      </c>
      <c r="AC12" s="32" t="n">
        <v>11</v>
      </c>
      <c r="AD12" s="42" t="s">
        <v>11423</v>
      </c>
    </row>
    <row r="13" customFormat="false" ht="12.75" hidden="false" customHeight="true" outlineLevel="0" collapsed="false">
      <c r="A13" s="55" t="s">
        <v>11424</v>
      </c>
      <c r="B13" s="55" t="s">
        <v>295</v>
      </c>
      <c r="C13" s="55" t="s">
        <v>4014</v>
      </c>
      <c r="D13" s="32" t="n">
        <v>92300</v>
      </c>
      <c r="E13" s="32" t="s">
        <v>11355</v>
      </c>
      <c r="F13" s="32" t="s">
        <v>11425</v>
      </c>
      <c r="G13" s="55" t="s">
        <v>11426</v>
      </c>
      <c r="H13" s="55" t="s">
        <v>11427</v>
      </c>
      <c r="I13" s="32" t="n">
        <v>2</v>
      </c>
      <c r="J13" s="32" t="n">
        <v>3</v>
      </c>
      <c r="K13" s="43" t="e">
        <f aca="false">VLOOKUP(A13,#REF!,2, )</f>
        <v>#VALUE!</v>
      </c>
      <c r="L13" s="32" t="n">
        <v>1</v>
      </c>
      <c r="M13" s="32" t="n">
        <v>1</v>
      </c>
      <c r="N13" s="32" t="n">
        <v>0</v>
      </c>
      <c r="O13" s="42" t="s">
        <v>11367</v>
      </c>
      <c r="R13" s="60" t="n">
        <v>334</v>
      </c>
      <c r="S13" s="60" t="n">
        <v>3953</v>
      </c>
      <c r="T13" s="42" t="n">
        <v>9</v>
      </c>
      <c r="U13" s="60" t="n">
        <v>1115</v>
      </c>
      <c r="V13" s="60" t="n">
        <v>5449</v>
      </c>
      <c r="W13" s="42" t="n">
        <v>3</v>
      </c>
      <c r="X13" s="60" t="n">
        <v>1115</v>
      </c>
      <c r="Y13" s="60" t="n">
        <v>4441</v>
      </c>
      <c r="Z13" s="42" t="n">
        <v>6</v>
      </c>
      <c r="AA13" s="60" t="n">
        <v>1115</v>
      </c>
      <c r="AB13" s="60" t="n">
        <v>3075.2</v>
      </c>
      <c r="AC13" s="32" t="n">
        <v>12</v>
      </c>
      <c r="AD13" s="42" t="s">
        <v>11397</v>
      </c>
    </row>
    <row r="14" customFormat="false" ht="12.75" hidden="false" customHeight="true" outlineLevel="0" collapsed="false">
      <c r="A14" s="55" t="s">
        <v>11428</v>
      </c>
      <c r="B14" s="55" t="s">
        <v>62</v>
      </c>
      <c r="C14" s="55" t="s">
        <v>11429</v>
      </c>
      <c r="D14" s="32" t="n">
        <v>75017</v>
      </c>
      <c r="E14" s="32" t="s">
        <v>55</v>
      </c>
      <c r="F14" s="32" t="s">
        <v>11430</v>
      </c>
      <c r="G14" s="55" t="s">
        <v>11431</v>
      </c>
      <c r="H14" s="55" t="s">
        <v>11432</v>
      </c>
      <c r="I14" s="32" t="n">
        <v>3</v>
      </c>
      <c r="J14" s="32" t="n">
        <v>3</v>
      </c>
      <c r="K14" s="43" t="e">
        <f aca="false">VLOOKUP(A14,#REF!,2, )</f>
        <v>#VALUE!</v>
      </c>
      <c r="L14" s="32" t="n">
        <v>1</v>
      </c>
      <c r="M14" s="32" t="n">
        <v>1</v>
      </c>
      <c r="N14" s="32" t="n">
        <v>0</v>
      </c>
      <c r="O14" s="42" t="s">
        <v>11367</v>
      </c>
      <c r="R14" s="60" t="n">
        <v>1238</v>
      </c>
      <c r="S14" s="60" t="n">
        <v>2852</v>
      </c>
      <c r="T14" s="42" t="n">
        <v>24</v>
      </c>
      <c r="U14" s="60" t="n">
        <v>1461</v>
      </c>
      <c r="V14" s="60" t="n">
        <v>2485</v>
      </c>
      <c r="W14" s="42" t="n">
        <v>33</v>
      </c>
      <c r="X14" s="60" t="n">
        <v>1784</v>
      </c>
      <c r="Y14" s="60" t="n">
        <v>2636</v>
      </c>
      <c r="Z14" s="42" t="n">
        <v>34</v>
      </c>
      <c r="AA14" s="60" t="n">
        <v>1672.5</v>
      </c>
      <c r="AB14" s="60" t="n">
        <v>3020.6</v>
      </c>
      <c r="AC14" s="32" t="n">
        <v>13</v>
      </c>
      <c r="AD14" s="42" t="s">
        <v>11411</v>
      </c>
    </row>
    <row r="15" customFormat="false" ht="12.75" hidden="false" customHeight="true" outlineLevel="0" collapsed="false">
      <c r="A15" s="55" t="s">
        <v>11433</v>
      </c>
      <c r="B15" s="55" t="s">
        <v>173</v>
      </c>
      <c r="C15" s="55" t="s">
        <v>11434</v>
      </c>
      <c r="D15" s="32" t="n">
        <v>75116</v>
      </c>
      <c r="E15" s="32" t="s">
        <v>55</v>
      </c>
      <c r="F15" s="32" t="s">
        <v>11435</v>
      </c>
      <c r="G15" s="55" t="s">
        <v>11436</v>
      </c>
      <c r="H15" s="55" t="s">
        <v>11437</v>
      </c>
      <c r="I15" s="32" t="n">
        <v>2</v>
      </c>
      <c r="J15" s="32" t="n">
        <v>3</v>
      </c>
      <c r="K15" s="43" t="e">
        <f aca="false">VLOOKUP(A15,#REF!,2, )</f>
        <v>#VALUE!</v>
      </c>
      <c r="L15" s="32" t="n">
        <v>1</v>
      </c>
      <c r="M15" s="32" t="n">
        <v>1</v>
      </c>
      <c r="N15" s="32" t="n">
        <v>2</v>
      </c>
      <c r="O15" s="42" t="s">
        <v>11367</v>
      </c>
      <c r="P15" s="39" t="n">
        <v>44669</v>
      </c>
      <c r="R15" s="60" t="n">
        <v>847</v>
      </c>
      <c r="S15" s="60" t="n">
        <v>2463</v>
      </c>
      <c r="T15" s="42" t="n">
        <v>40</v>
      </c>
      <c r="U15" s="60" t="n">
        <v>1985</v>
      </c>
      <c r="V15" s="60" t="n">
        <v>3017</v>
      </c>
      <c r="W15" s="42" t="n">
        <v>19</v>
      </c>
      <c r="X15" s="60" t="n">
        <v>1115</v>
      </c>
      <c r="Y15" s="60" t="n">
        <v>2450</v>
      </c>
      <c r="Z15" s="42" t="n">
        <v>43</v>
      </c>
      <c r="AA15" s="60" t="n">
        <v>1672.5</v>
      </c>
      <c r="AB15" s="60" t="n">
        <v>3005.35</v>
      </c>
      <c r="AC15" s="32" t="n">
        <v>14</v>
      </c>
      <c r="AD15" s="42" t="s">
        <v>11438</v>
      </c>
    </row>
    <row r="16" customFormat="false" ht="12.75" hidden="false" customHeight="true" outlineLevel="0" collapsed="false">
      <c r="A16" s="55" t="s">
        <v>11439</v>
      </c>
      <c r="B16" s="55" t="s">
        <v>435</v>
      </c>
      <c r="C16" s="55" t="s">
        <v>11440</v>
      </c>
      <c r="D16" s="32" t="n">
        <v>75016</v>
      </c>
      <c r="E16" s="32" t="s">
        <v>55</v>
      </c>
      <c r="F16" s="32" t="s">
        <v>11441</v>
      </c>
      <c r="G16" s="55" t="s">
        <v>11442</v>
      </c>
      <c r="H16" s="55" t="s">
        <v>11443</v>
      </c>
      <c r="I16" s="32" t="n">
        <v>4</v>
      </c>
      <c r="J16" s="32" t="n">
        <v>3</v>
      </c>
      <c r="K16" s="43" t="e">
        <f aca="false">VLOOKUP(A16,#REF!,2, )</f>
        <v>#VALUE!</v>
      </c>
      <c r="L16" s="32" t="n">
        <v>1</v>
      </c>
      <c r="M16" s="32" t="n">
        <v>0</v>
      </c>
      <c r="N16" s="32" t="n">
        <v>2</v>
      </c>
      <c r="O16" s="42" t="s">
        <v>11367</v>
      </c>
      <c r="P16" s="39" t="n">
        <v>44691</v>
      </c>
      <c r="R16" s="60" t="n">
        <v>914</v>
      </c>
      <c r="S16" s="60" t="n">
        <v>2343</v>
      </c>
      <c r="T16" s="42" t="n">
        <v>44</v>
      </c>
      <c r="U16" s="60" t="n">
        <v>1087</v>
      </c>
      <c r="V16" s="60" t="n">
        <v>2313</v>
      </c>
      <c r="W16" s="42" t="n">
        <v>42</v>
      </c>
      <c r="X16" s="60" t="n">
        <v>1104</v>
      </c>
      <c r="Y16" s="60" t="n">
        <v>2654</v>
      </c>
      <c r="Z16" s="42" t="n">
        <v>33</v>
      </c>
      <c r="AA16" s="60" t="n">
        <v>1087.14</v>
      </c>
      <c r="AB16" s="60" t="n">
        <v>3002.55</v>
      </c>
      <c r="AC16" s="32" t="n">
        <v>15</v>
      </c>
      <c r="AD16" s="42" t="s">
        <v>11423</v>
      </c>
    </row>
    <row r="17" customFormat="false" ht="17.25" hidden="false" customHeight="true" outlineLevel="0" collapsed="false">
      <c r="A17" s="55" t="s">
        <v>11444</v>
      </c>
      <c r="B17" s="55" t="s">
        <v>173</v>
      </c>
      <c r="C17" s="55" t="s">
        <v>11445</v>
      </c>
      <c r="D17" s="32" t="n">
        <v>75116</v>
      </c>
      <c r="E17" s="32" t="s">
        <v>55</v>
      </c>
      <c r="F17" s="32" t="s">
        <v>11446</v>
      </c>
      <c r="G17" s="55" t="s">
        <v>11447</v>
      </c>
      <c r="H17" s="55" t="s">
        <v>11448</v>
      </c>
      <c r="I17" s="32" t="n">
        <v>2</v>
      </c>
      <c r="J17" s="32" t="n">
        <v>3</v>
      </c>
      <c r="K17" s="43" t="e">
        <f aca="false">VLOOKUP(A17,#REF!,2, )</f>
        <v>#VALUE!</v>
      </c>
      <c r="L17" s="32" t="n">
        <v>1</v>
      </c>
      <c r="M17" s="32" t="n">
        <v>1</v>
      </c>
      <c r="N17" s="32" t="n">
        <v>0</v>
      </c>
      <c r="O17" s="42" t="s">
        <v>11367</v>
      </c>
      <c r="R17" s="60" t="n">
        <v>680</v>
      </c>
      <c r="S17" s="60" t="n">
        <v>2232</v>
      </c>
      <c r="T17" s="42" t="n">
        <v>49</v>
      </c>
      <c r="U17" s="60" t="n">
        <v>1037</v>
      </c>
      <c r="V17" s="60" t="n">
        <v>2704</v>
      </c>
      <c r="W17" s="42" t="n">
        <v>25</v>
      </c>
      <c r="X17" s="60" t="n">
        <v>1037</v>
      </c>
      <c r="Y17" s="60" t="n">
        <v>3544</v>
      </c>
      <c r="Z17" s="42" t="n">
        <v>12</v>
      </c>
      <c r="AA17" s="60" t="n">
        <v>557.5</v>
      </c>
      <c r="AB17" s="60" t="n">
        <v>3001.23</v>
      </c>
      <c r="AC17" s="32" t="n">
        <v>16</v>
      </c>
      <c r="AD17" s="42" t="s">
        <v>11397</v>
      </c>
    </row>
    <row r="18" customFormat="false" ht="12.75" hidden="false" customHeight="true" outlineLevel="0" collapsed="false">
      <c r="A18" s="55" t="s">
        <v>11449</v>
      </c>
      <c r="B18" s="55" t="s">
        <v>99</v>
      </c>
      <c r="C18" s="55" t="s">
        <v>11450</v>
      </c>
      <c r="D18" s="32" t="n">
        <v>75015</v>
      </c>
      <c r="E18" s="32" t="s">
        <v>55</v>
      </c>
      <c r="F18" s="32" t="s">
        <v>11451</v>
      </c>
      <c r="G18" s="55" t="s">
        <v>11452</v>
      </c>
      <c r="H18" s="55" t="s">
        <v>11453</v>
      </c>
      <c r="I18" s="32" t="n">
        <v>5</v>
      </c>
      <c r="J18" s="32" t="n">
        <v>3</v>
      </c>
      <c r="K18" s="43" t="e">
        <f aca="false">VLOOKUP(A18,#REF!,2, )</f>
        <v>#VALUE!</v>
      </c>
      <c r="L18" s="32" t="n">
        <v>1</v>
      </c>
      <c r="M18" s="32" t="n">
        <v>0</v>
      </c>
      <c r="N18" s="32" t="n">
        <v>2</v>
      </c>
      <c r="O18" s="42" t="s">
        <v>11454</v>
      </c>
      <c r="P18" s="39" t="n">
        <v>45180.6354166667</v>
      </c>
      <c r="R18" s="60" t="n">
        <v>1985</v>
      </c>
      <c r="S18" s="60" t="n">
        <v>2298</v>
      </c>
      <c r="T18" s="42" t="n">
        <v>45</v>
      </c>
      <c r="U18" s="60" t="n">
        <v>2944</v>
      </c>
      <c r="V18" s="60" t="n">
        <v>2735</v>
      </c>
      <c r="W18" s="42" t="n">
        <v>24</v>
      </c>
      <c r="X18" s="60" t="n">
        <v>3122</v>
      </c>
      <c r="Y18" s="60" t="n">
        <v>3017</v>
      </c>
      <c r="Z18" s="42" t="n">
        <v>20</v>
      </c>
      <c r="AA18" s="60" t="n">
        <v>3345</v>
      </c>
      <c r="AB18" s="60" t="n">
        <v>2956.48</v>
      </c>
      <c r="AC18" s="32" t="n">
        <v>17</v>
      </c>
      <c r="AD18" s="42" t="s">
        <v>11411</v>
      </c>
    </row>
    <row r="19" customFormat="false" ht="12.75" hidden="false" customHeight="true" outlineLevel="0" collapsed="false">
      <c r="A19" s="55" t="s">
        <v>11455</v>
      </c>
      <c r="B19" s="55" t="s">
        <v>197</v>
      </c>
      <c r="C19" s="55" t="s">
        <v>11456</v>
      </c>
      <c r="D19" s="32" t="n">
        <v>75008</v>
      </c>
      <c r="E19" s="32" t="s">
        <v>55</v>
      </c>
      <c r="F19" s="32" t="s">
        <v>11457</v>
      </c>
      <c r="G19" s="55" t="s">
        <v>11458</v>
      </c>
      <c r="H19" s="55" t="s">
        <v>11459</v>
      </c>
      <c r="I19" s="32" t="n">
        <v>2</v>
      </c>
      <c r="J19" s="32" t="n">
        <v>3</v>
      </c>
      <c r="K19" s="43" t="e">
        <f aca="false">VLOOKUP(A19,#REF!,2, )</f>
        <v>#VALUE!</v>
      </c>
      <c r="L19" s="32" t="n">
        <v>1</v>
      </c>
      <c r="M19" s="32" t="n">
        <v>1</v>
      </c>
      <c r="N19" s="32" t="n">
        <v>0</v>
      </c>
      <c r="O19" s="42" t="s">
        <v>11367</v>
      </c>
      <c r="R19" s="60" t="n">
        <v>268</v>
      </c>
      <c r="S19" s="60" t="n">
        <v>3114</v>
      </c>
      <c r="T19" s="42" t="n">
        <v>20</v>
      </c>
      <c r="U19" s="60" t="n">
        <v>151</v>
      </c>
      <c r="V19" s="60" t="n">
        <v>2898</v>
      </c>
      <c r="W19" s="42" t="n">
        <v>22</v>
      </c>
      <c r="X19" s="60" t="n">
        <v>217</v>
      </c>
      <c r="Y19" s="60" t="n">
        <v>2481</v>
      </c>
      <c r="Z19" s="42" t="n">
        <v>40</v>
      </c>
      <c r="AA19" s="60" t="n">
        <v>724.76</v>
      </c>
      <c r="AB19" s="60" t="n">
        <v>2954.37</v>
      </c>
      <c r="AC19" s="32" t="n">
        <v>18</v>
      </c>
      <c r="AD19" s="42" t="s">
        <v>11368</v>
      </c>
      <c r="AE19" s="42" t="s">
        <v>11460</v>
      </c>
    </row>
    <row r="20" customFormat="false" ht="17.25" hidden="false" customHeight="true" outlineLevel="0" collapsed="false">
      <c r="A20" s="55" t="s">
        <v>11461</v>
      </c>
      <c r="B20" s="55" t="s">
        <v>197</v>
      </c>
      <c r="C20" s="55" t="s">
        <v>11462</v>
      </c>
      <c r="D20" s="32" t="n">
        <v>75017</v>
      </c>
      <c r="E20" s="32" t="s">
        <v>55</v>
      </c>
      <c r="F20" s="32" t="s">
        <v>11463</v>
      </c>
      <c r="G20" s="55" t="s">
        <v>11464</v>
      </c>
      <c r="H20" s="55" t="s">
        <v>11465</v>
      </c>
      <c r="I20" s="32" t="n">
        <v>6</v>
      </c>
      <c r="J20" s="32" t="n">
        <v>0</v>
      </c>
      <c r="K20" s="43" t="e">
        <f aca="false">VLOOKUP(A20,#REF!,2, )</f>
        <v>#VALUE!</v>
      </c>
      <c r="L20" s="32" t="n">
        <v>1</v>
      </c>
      <c r="M20" s="32" t="n">
        <v>1</v>
      </c>
      <c r="N20" s="32" t="n">
        <v>0</v>
      </c>
      <c r="O20" s="42" t="s">
        <v>11367</v>
      </c>
      <c r="P20" s="41"/>
      <c r="R20" s="60" t="n">
        <v>915</v>
      </c>
      <c r="S20" s="60" t="n">
        <v>2723</v>
      </c>
      <c r="T20" s="42" t="n">
        <v>26</v>
      </c>
      <c r="U20" s="60" t="n">
        <v>1256</v>
      </c>
      <c r="V20" s="60" t="n">
        <v>4759</v>
      </c>
      <c r="W20" s="42" t="n">
        <v>7</v>
      </c>
      <c r="X20" s="60" t="n">
        <v>1323</v>
      </c>
      <c r="Y20" s="60" t="n">
        <v>4324</v>
      </c>
      <c r="Z20" s="42" t="n">
        <v>8</v>
      </c>
      <c r="AA20" s="60" t="n">
        <v>1518.07</v>
      </c>
      <c r="AB20" s="60" t="n">
        <v>2943.84</v>
      </c>
      <c r="AC20" s="32" t="n">
        <v>19</v>
      </c>
      <c r="AD20" s="42" t="s">
        <v>11466</v>
      </c>
    </row>
    <row r="21" customFormat="false" ht="17.25" hidden="false" customHeight="true" outlineLevel="0" collapsed="false">
      <c r="A21" s="55" t="s">
        <v>11467</v>
      </c>
      <c r="B21" s="55" t="s">
        <v>295</v>
      </c>
      <c r="C21" s="55" t="s">
        <v>2483</v>
      </c>
      <c r="D21" s="32" t="n">
        <v>92300</v>
      </c>
      <c r="E21" s="32" t="s">
        <v>11355</v>
      </c>
      <c r="F21" s="32" t="s">
        <v>11468</v>
      </c>
      <c r="G21" s="55" t="s">
        <v>11469</v>
      </c>
      <c r="H21" s="55" t="s">
        <v>11470</v>
      </c>
      <c r="I21" s="32" t="n">
        <v>7</v>
      </c>
      <c r="J21" s="32" t="n">
        <v>3</v>
      </c>
      <c r="K21" s="43" t="e">
        <f aca="false">VLOOKUP(A21,#REF!,2, )</f>
        <v>#VALUE!</v>
      </c>
      <c r="L21" s="32" t="n">
        <v>1</v>
      </c>
      <c r="M21" s="32" t="n">
        <v>0</v>
      </c>
      <c r="N21" s="32" t="n">
        <v>0</v>
      </c>
      <c r="O21" s="42" t="s">
        <v>11471</v>
      </c>
      <c r="P21" s="39" t="n">
        <v>45208.7083333333</v>
      </c>
      <c r="R21" s="60" t="n">
        <v>106</v>
      </c>
      <c r="S21" s="60" t="n">
        <v>3322</v>
      </c>
      <c r="T21" s="42" t="n">
        <v>18</v>
      </c>
      <c r="V21" s="60" t="n">
        <v>3245</v>
      </c>
      <c r="W21" s="42" t="n">
        <v>16</v>
      </c>
      <c r="Y21" s="60" t="n">
        <v>3550</v>
      </c>
      <c r="Z21" s="42" t="n">
        <v>11</v>
      </c>
      <c r="AA21" s="60" t="n">
        <v>0</v>
      </c>
      <c r="AB21" s="60" t="n">
        <v>2891.49</v>
      </c>
      <c r="AC21" s="32" t="n">
        <v>20</v>
      </c>
      <c r="AD21" s="42" t="s">
        <v>11472</v>
      </c>
      <c r="AE21" s="42" t="s">
        <v>11473</v>
      </c>
    </row>
    <row r="22" customFormat="false" ht="12.75" hidden="false" customHeight="true" outlineLevel="0" collapsed="false">
      <c r="A22" s="55" t="s">
        <v>11474</v>
      </c>
      <c r="B22" s="55" t="s">
        <v>295</v>
      </c>
      <c r="C22" s="55" t="s">
        <v>11475</v>
      </c>
      <c r="D22" s="32" t="n">
        <v>92300</v>
      </c>
      <c r="E22" s="32" t="s">
        <v>11355</v>
      </c>
      <c r="F22" s="32" t="s">
        <v>11476</v>
      </c>
      <c r="G22" s="55" t="s">
        <v>11477</v>
      </c>
      <c r="H22" s="55" t="s">
        <v>11478</v>
      </c>
      <c r="I22" s="32" t="n">
        <v>5</v>
      </c>
      <c r="J22" s="32" t="n">
        <v>3</v>
      </c>
      <c r="K22" s="43" t="e">
        <f aca="false">VLOOKUP(A22,#REF!,2, )</f>
        <v>#VALUE!</v>
      </c>
      <c r="L22" s="32" t="n">
        <v>1</v>
      </c>
      <c r="M22" s="32" t="n">
        <v>0</v>
      </c>
      <c r="N22" s="32" t="n">
        <v>0</v>
      </c>
      <c r="O22" s="42" t="s">
        <v>11367</v>
      </c>
      <c r="R22" s="60" t="n">
        <v>870</v>
      </c>
      <c r="S22" s="60" t="n">
        <v>2876</v>
      </c>
      <c r="T22" s="42" t="n">
        <v>23</v>
      </c>
      <c r="U22" s="60" t="n">
        <v>535</v>
      </c>
      <c r="V22" s="60" t="n">
        <v>2342</v>
      </c>
      <c r="W22" s="42" t="n">
        <v>40</v>
      </c>
      <c r="X22" s="60" t="n">
        <v>1043</v>
      </c>
      <c r="Y22" s="60" t="n">
        <v>2462</v>
      </c>
      <c r="Z22" s="42" t="n">
        <v>41</v>
      </c>
      <c r="AA22" s="60" t="n">
        <v>869.71</v>
      </c>
      <c r="AB22" s="60" t="n">
        <v>2885.31</v>
      </c>
      <c r="AC22" s="32" t="n">
        <v>21</v>
      </c>
      <c r="AE22" s="42" t="s">
        <v>11384</v>
      </c>
    </row>
    <row r="23" customFormat="false" ht="17.25" hidden="false" customHeight="true" outlineLevel="0" collapsed="false">
      <c r="A23" s="55" t="s">
        <v>11479</v>
      </c>
      <c r="B23" s="55" t="s">
        <v>77</v>
      </c>
      <c r="C23" s="55" t="s">
        <v>11480</v>
      </c>
      <c r="D23" s="32" t="n">
        <v>92200</v>
      </c>
      <c r="E23" s="32" t="s">
        <v>11393</v>
      </c>
      <c r="F23" s="32" t="s">
        <v>11481</v>
      </c>
      <c r="G23" s="55" t="s">
        <v>11482</v>
      </c>
      <c r="H23" s="55" t="s">
        <v>11483</v>
      </c>
      <c r="I23" s="32" t="n">
        <v>6</v>
      </c>
      <c r="J23" s="32" t="n">
        <v>3</v>
      </c>
      <c r="K23" s="43" t="e">
        <f aca="false">VLOOKUP(A23,#REF!,2, )</f>
        <v>#VALUE!</v>
      </c>
      <c r="L23" s="32" t="n">
        <v>1</v>
      </c>
      <c r="M23" s="32" t="n">
        <v>1</v>
      </c>
      <c r="N23" s="32" t="n">
        <v>0</v>
      </c>
      <c r="O23" s="42" t="s">
        <v>11484</v>
      </c>
      <c r="P23" s="39" t="n">
        <v>45273.3958333333</v>
      </c>
      <c r="R23" s="60" t="n">
        <v>758</v>
      </c>
      <c r="S23" s="60" t="n">
        <v>2511</v>
      </c>
      <c r="T23" s="42" t="n">
        <v>38</v>
      </c>
      <c r="U23" s="60" t="n">
        <v>424</v>
      </c>
      <c r="V23" s="60" t="n">
        <v>2114</v>
      </c>
      <c r="W23" s="42" t="n">
        <v>50</v>
      </c>
      <c r="X23" s="60" t="n">
        <v>424</v>
      </c>
      <c r="Y23" s="60" t="n">
        <v>3031</v>
      </c>
      <c r="Z23" s="42" t="n">
        <v>19</v>
      </c>
      <c r="AA23" s="60" t="n">
        <v>0</v>
      </c>
      <c r="AB23" s="60" t="n">
        <v>2874.13</v>
      </c>
      <c r="AC23" s="32" t="n">
        <v>22</v>
      </c>
      <c r="AE23" s="42" t="s">
        <v>11384</v>
      </c>
    </row>
    <row r="24" customFormat="false" ht="12.75" hidden="true" customHeight="true" outlineLevel="0" collapsed="false">
      <c r="A24" s="55" t="s">
        <v>11485</v>
      </c>
      <c r="B24" s="55" t="s">
        <v>233</v>
      </c>
      <c r="C24" s="55" t="s">
        <v>11486</v>
      </c>
      <c r="D24" s="32" t="n">
        <v>75015</v>
      </c>
      <c r="E24" s="32" t="s">
        <v>55</v>
      </c>
      <c r="F24" s="32" t="s">
        <v>11487</v>
      </c>
      <c r="G24" s="55" t="s">
        <v>11488</v>
      </c>
      <c r="H24" s="55" t="s">
        <v>11489</v>
      </c>
      <c r="I24" s="32" t="n">
        <v>3</v>
      </c>
      <c r="J24" s="32" t="n">
        <v>0</v>
      </c>
      <c r="K24" s="43" t="e">
        <f aca="false">VLOOKUP(A24,#REF!,2, )</f>
        <v>#VALUE!</v>
      </c>
      <c r="L24" s="32" t="n">
        <v>1</v>
      </c>
      <c r="M24" s="32" t="n">
        <v>1</v>
      </c>
      <c r="N24" s="32" t="n">
        <v>2</v>
      </c>
      <c r="O24" s="42" t="s">
        <v>11367</v>
      </c>
      <c r="P24" s="41" t="n">
        <v>44662</v>
      </c>
      <c r="R24" s="60" t="n">
        <v>546</v>
      </c>
      <c r="S24" s="60" t="n">
        <v>4298</v>
      </c>
      <c r="T24" s="42" t="n">
        <v>5</v>
      </c>
      <c r="U24" s="60" t="n">
        <v>574</v>
      </c>
      <c r="V24" s="60" t="n">
        <v>3483</v>
      </c>
      <c r="W24" s="42" t="n">
        <v>12</v>
      </c>
      <c r="X24" s="60" t="n">
        <v>385</v>
      </c>
      <c r="Y24" s="60" t="n">
        <v>3156</v>
      </c>
      <c r="Z24" s="42" t="n">
        <v>16</v>
      </c>
      <c r="AA24" s="60" t="n">
        <v>507.33</v>
      </c>
      <c r="AB24" s="60" t="n">
        <v>2837.86</v>
      </c>
      <c r="AC24" s="32" t="n">
        <v>23</v>
      </c>
      <c r="AE24" s="42" t="s">
        <v>11376</v>
      </c>
    </row>
    <row r="25" customFormat="false" ht="17.25" hidden="false" customHeight="true" outlineLevel="0" collapsed="false">
      <c r="A25" s="55" t="s">
        <v>11490</v>
      </c>
      <c r="B25" s="55" t="s">
        <v>99</v>
      </c>
      <c r="C25" s="55" t="s">
        <v>11491</v>
      </c>
      <c r="D25" s="32" t="n">
        <v>75015</v>
      </c>
      <c r="E25" s="32" t="s">
        <v>55</v>
      </c>
      <c r="F25" s="32" t="s">
        <v>11492</v>
      </c>
      <c r="G25" s="55" t="s">
        <v>11493</v>
      </c>
      <c r="H25" s="55" t="s">
        <v>11494</v>
      </c>
      <c r="I25" s="32" t="n">
        <v>3</v>
      </c>
      <c r="J25" s="32" t="n">
        <v>3</v>
      </c>
      <c r="K25" s="43" t="e">
        <f aca="false">VLOOKUP(A25,#REF!,2, )</f>
        <v>#VALUE!</v>
      </c>
      <c r="L25" s="32" t="n">
        <v>1</v>
      </c>
      <c r="M25" s="32" t="n">
        <v>1</v>
      </c>
      <c r="N25" s="32" t="n">
        <v>2</v>
      </c>
      <c r="O25" s="42" t="s">
        <v>11367</v>
      </c>
      <c r="P25" s="39" t="n">
        <v>44650</v>
      </c>
      <c r="R25" s="60" t="n">
        <v>1394</v>
      </c>
      <c r="S25" s="60" t="n">
        <v>3664</v>
      </c>
      <c r="T25" s="42" t="n">
        <v>13</v>
      </c>
      <c r="U25" s="60" t="n">
        <v>652</v>
      </c>
      <c r="V25" s="60" t="n">
        <v>2944</v>
      </c>
      <c r="W25" s="42" t="n">
        <v>20</v>
      </c>
      <c r="X25" s="60" t="n">
        <v>652</v>
      </c>
      <c r="Y25" s="60" t="n">
        <v>2056</v>
      </c>
      <c r="Z25" s="42" t="n">
        <v>55</v>
      </c>
      <c r="AA25" s="60" t="n">
        <v>652.29</v>
      </c>
      <c r="AB25" s="60" t="n">
        <v>2797.35</v>
      </c>
      <c r="AC25" s="32" t="n">
        <v>24</v>
      </c>
      <c r="AD25" s="42" t="s">
        <v>11397</v>
      </c>
    </row>
    <row r="26" customFormat="false" ht="12.75" hidden="false" customHeight="true" outlineLevel="0" collapsed="false">
      <c r="A26" s="55" t="s">
        <v>11495</v>
      </c>
      <c r="B26" s="55" t="s">
        <v>435</v>
      </c>
      <c r="C26" s="55" t="s">
        <v>11496</v>
      </c>
      <c r="D26" s="32" t="n">
        <v>75116</v>
      </c>
      <c r="E26" s="32" t="s">
        <v>55</v>
      </c>
      <c r="F26" s="32" t="s">
        <v>11497</v>
      </c>
      <c r="G26" s="55" t="s">
        <v>11498</v>
      </c>
      <c r="H26" s="55" t="s">
        <v>11499</v>
      </c>
      <c r="I26" s="32" t="n">
        <v>4</v>
      </c>
      <c r="J26" s="32" t="n">
        <v>3</v>
      </c>
      <c r="K26" s="43" t="e">
        <f aca="false">VLOOKUP(A26,#REF!,2, )</f>
        <v>#VALUE!</v>
      </c>
      <c r="L26" s="32" t="n">
        <v>1</v>
      </c>
      <c r="M26" s="32" t="n">
        <v>1</v>
      </c>
      <c r="N26" s="32" t="n">
        <v>0</v>
      </c>
      <c r="O26" s="42" t="s">
        <v>11500</v>
      </c>
      <c r="P26" s="39" t="n">
        <v>45125.4375</v>
      </c>
      <c r="R26" s="60" t="n">
        <v>792</v>
      </c>
      <c r="S26" s="60" t="n">
        <v>2890</v>
      </c>
      <c r="T26" s="42" t="n">
        <v>21</v>
      </c>
      <c r="U26" s="60" t="n">
        <v>273</v>
      </c>
      <c r="V26" s="60" t="n">
        <v>2531</v>
      </c>
      <c r="W26" s="42" t="n">
        <v>30</v>
      </c>
      <c r="X26" s="60" t="n">
        <v>84</v>
      </c>
      <c r="Y26" s="60" t="n">
        <v>2621</v>
      </c>
      <c r="Z26" s="42" t="n">
        <v>35</v>
      </c>
      <c r="AA26" s="60" t="n">
        <v>83.63</v>
      </c>
      <c r="AB26" s="60" t="n">
        <v>2756.39</v>
      </c>
      <c r="AC26" s="32" t="n">
        <v>25</v>
      </c>
      <c r="AD26" s="42" t="s">
        <v>11501</v>
      </c>
      <c r="AE26" s="42" t="s">
        <v>11473</v>
      </c>
    </row>
    <row r="27" customFormat="false" ht="12.75" hidden="false" customHeight="true" outlineLevel="0" collapsed="false">
      <c r="A27" s="55" t="s">
        <v>11502</v>
      </c>
      <c r="B27" s="55" t="s">
        <v>51</v>
      </c>
      <c r="C27" s="55" t="s">
        <v>11503</v>
      </c>
      <c r="D27" s="32" t="n">
        <v>75015</v>
      </c>
      <c r="E27" s="32" t="s">
        <v>55</v>
      </c>
      <c r="F27" s="32" t="s">
        <v>11504</v>
      </c>
      <c r="G27" s="55" t="s">
        <v>11505</v>
      </c>
      <c r="H27" s="55" t="s">
        <v>11506</v>
      </c>
      <c r="I27" s="32" t="n">
        <v>2</v>
      </c>
      <c r="J27" s="32" t="n">
        <v>3</v>
      </c>
      <c r="K27" s="43" t="e">
        <f aca="false">VLOOKUP(A27,#REF!,2, )</f>
        <v>#VALUE!</v>
      </c>
      <c r="L27" s="32" t="n">
        <v>1</v>
      </c>
      <c r="M27" s="32" t="n">
        <v>1</v>
      </c>
      <c r="N27" s="32" t="n">
        <v>0</v>
      </c>
      <c r="O27" s="42" t="s">
        <v>11367</v>
      </c>
      <c r="R27" s="60" t="n">
        <v>524</v>
      </c>
      <c r="S27" s="60" t="n">
        <v>2879</v>
      </c>
      <c r="T27" s="42" t="n">
        <v>22</v>
      </c>
      <c r="U27" s="60" t="n">
        <v>84</v>
      </c>
      <c r="V27" s="60" t="n">
        <v>2494</v>
      </c>
      <c r="W27" s="42" t="n">
        <v>32</v>
      </c>
      <c r="X27" s="60" t="n">
        <v>167</v>
      </c>
      <c r="Y27" s="60" t="n">
        <v>2692</v>
      </c>
      <c r="Z27" s="42" t="n">
        <v>30</v>
      </c>
      <c r="AA27" s="60" t="n">
        <v>334.52</v>
      </c>
      <c r="AB27" s="60" t="n">
        <v>2732.55</v>
      </c>
      <c r="AC27" s="32" t="n">
        <v>26</v>
      </c>
      <c r="AD27" s="42" t="s">
        <v>11507</v>
      </c>
    </row>
    <row r="28" customFormat="false" ht="12.75" hidden="true" customHeight="true" outlineLevel="0" collapsed="false">
      <c r="A28" s="55" t="s">
        <v>11508</v>
      </c>
      <c r="B28" s="55" t="s">
        <v>99</v>
      </c>
      <c r="C28" s="55" t="s">
        <v>11509</v>
      </c>
      <c r="D28" s="32" t="n">
        <v>75015</v>
      </c>
      <c r="E28" s="32" t="s">
        <v>55</v>
      </c>
      <c r="F28" s="32" t="s">
        <v>11510</v>
      </c>
      <c r="G28" s="55" t="s">
        <v>11511</v>
      </c>
      <c r="H28" s="55" t="s">
        <v>11512</v>
      </c>
      <c r="I28" s="32" t="n">
        <v>7</v>
      </c>
      <c r="J28" s="32" t="n">
        <v>0</v>
      </c>
      <c r="K28" s="43" t="e">
        <f aca="false">VLOOKUP(A28,#REF!,2, )</f>
        <v>#VALUE!</v>
      </c>
      <c r="L28" s="32" t="n">
        <v>1</v>
      </c>
      <c r="M28" s="32" t="n">
        <v>1</v>
      </c>
      <c r="N28" s="32" t="n">
        <v>2</v>
      </c>
      <c r="O28" s="42" t="s">
        <v>11367</v>
      </c>
      <c r="P28" s="41" t="n">
        <v>44685</v>
      </c>
      <c r="R28" s="60" t="n">
        <v>1661</v>
      </c>
      <c r="S28" s="60" t="n">
        <v>2004</v>
      </c>
      <c r="T28" s="42" t="n">
        <v>67</v>
      </c>
      <c r="U28" s="60" t="n">
        <v>217</v>
      </c>
      <c r="V28" s="60" t="n">
        <v>1709</v>
      </c>
      <c r="W28" s="42" t="n">
        <v>90</v>
      </c>
      <c r="X28" s="60" t="n">
        <v>435</v>
      </c>
      <c r="Y28" s="60" t="n">
        <v>2549</v>
      </c>
      <c r="Z28" s="42" t="n">
        <v>36</v>
      </c>
      <c r="AA28" s="60" t="n">
        <v>1159.62</v>
      </c>
      <c r="AB28" s="60" t="n">
        <v>2702.86</v>
      </c>
      <c r="AC28" s="32" t="n">
        <v>27</v>
      </c>
      <c r="AE28" s="42" t="s">
        <v>11513</v>
      </c>
    </row>
    <row r="29" customFormat="false" ht="12.75" hidden="false" customHeight="true" outlineLevel="0" collapsed="false">
      <c r="A29" s="55" t="s">
        <v>11514</v>
      </c>
      <c r="B29" s="55" t="s">
        <v>197</v>
      </c>
      <c r="C29" s="55" t="s">
        <v>11515</v>
      </c>
      <c r="D29" s="32" t="n">
        <v>75017</v>
      </c>
      <c r="E29" s="32" t="s">
        <v>55</v>
      </c>
      <c r="F29" s="32" t="s">
        <v>11516</v>
      </c>
      <c r="G29" s="55" t="s">
        <v>11517</v>
      </c>
      <c r="H29" s="55" t="s">
        <v>11518</v>
      </c>
      <c r="I29" s="32" t="n">
        <v>3</v>
      </c>
      <c r="J29" s="32" t="n">
        <v>3</v>
      </c>
      <c r="K29" s="43" t="e">
        <f aca="false">VLOOKUP(A29,#REF!,2, )</f>
        <v>#VALUE!</v>
      </c>
      <c r="L29" s="32" t="n">
        <v>1</v>
      </c>
      <c r="M29" s="32" t="n">
        <v>0</v>
      </c>
      <c r="N29" s="32" t="n">
        <v>2</v>
      </c>
      <c r="O29" s="42" t="s">
        <v>11519</v>
      </c>
      <c r="P29" s="39" t="n">
        <v>45230.4166666667</v>
      </c>
      <c r="R29" s="60" t="n">
        <v>84</v>
      </c>
      <c r="S29" s="60" t="n">
        <v>4049</v>
      </c>
      <c r="T29" s="42" t="n">
        <v>8</v>
      </c>
      <c r="U29" s="60" t="n">
        <v>167</v>
      </c>
      <c r="V29" s="60" t="n">
        <v>3215</v>
      </c>
      <c r="W29" s="42" t="n">
        <v>17</v>
      </c>
      <c r="X29" s="60" t="n">
        <v>418</v>
      </c>
      <c r="Y29" s="60" t="n">
        <v>3108</v>
      </c>
      <c r="Z29" s="42" t="n">
        <v>18</v>
      </c>
      <c r="AA29" s="60" t="n">
        <v>501.78</v>
      </c>
      <c r="AB29" s="60" t="n">
        <v>2688.13</v>
      </c>
      <c r="AC29" s="32" t="n">
        <v>28</v>
      </c>
      <c r="AD29" s="42" t="s">
        <v>11411</v>
      </c>
    </row>
    <row r="30" customFormat="false" ht="12.75" hidden="false" customHeight="true" outlineLevel="0" collapsed="false">
      <c r="A30" s="55" t="s">
        <v>11520</v>
      </c>
      <c r="B30" s="55" t="s">
        <v>435</v>
      </c>
      <c r="C30" s="55" t="s">
        <v>11521</v>
      </c>
      <c r="D30" s="32" t="n">
        <v>75116</v>
      </c>
      <c r="E30" s="32" t="s">
        <v>55</v>
      </c>
      <c r="F30" s="32" t="s">
        <v>11522</v>
      </c>
      <c r="G30" s="55" t="s">
        <v>11523</v>
      </c>
      <c r="H30" s="55" t="s">
        <v>11524</v>
      </c>
      <c r="I30" s="32" t="n">
        <v>3</v>
      </c>
      <c r="J30" s="32" t="n">
        <v>3</v>
      </c>
      <c r="K30" s="43" t="e">
        <f aca="false">VLOOKUP(A30,#REF!,2, )</f>
        <v>#VALUE!</v>
      </c>
      <c r="L30" s="32" t="n">
        <v>1</v>
      </c>
      <c r="M30" s="32" t="n">
        <v>1</v>
      </c>
      <c r="N30" s="32" t="n">
        <v>0</v>
      </c>
      <c r="O30" s="42" t="s">
        <v>11367</v>
      </c>
      <c r="R30" s="60" t="n">
        <v>1901</v>
      </c>
      <c r="S30" s="60" t="n">
        <v>2428</v>
      </c>
      <c r="T30" s="42" t="n">
        <v>41</v>
      </c>
      <c r="U30" s="60" t="n">
        <v>1093</v>
      </c>
      <c r="V30" s="60" t="n">
        <v>2556</v>
      </c>
      <c r="W30" s="42" t="n">
        <v>29</v>
      </c>
      <c r="X30" s="60" t="n">
        <v>1115</v>
      </c>
      <c r="Y30" s="60" t="n">
        <v>2750</v>
      </c>
      <c r="Z30" s="42" t="n">
        <v>26</v>
      </c>
      <c r="AA30" s="60" t="n">
        <v>557.5</v>
      </c>
      <c r="AB30" s="60" t="n">
        <v>2638.54</v>
      </c>
      <c r="AC30" s="32" t="n">
        <v>29</v>
      </c>
      <c r="AD30" s="42" t="s">
        <v>11423</v>
      </c>
    </row>
    <row r="31" customFormat="false" ht="17.25" hidden="false" customHeight="true" outlineLevel="0" collapsed="false">
      <c r="A31" s="55" t="s">
        <v>11525</v>
      </c>
      <c r="B31" s="55" t="s">
        <v>119</v>
      </c>
      <c r="C31" s="55" t="s">
        <v>11526</v>
      </c>
      <c r="D31" s="32" t="n">
        <v>75015</v>
      </c>
      <c r="E31" s="32" t="s">
        <v>55</v>
      </c>
      <c r="F31" s="32" t="s">
        <v>11527</v>
      </c>
      <c r="G31" s="55" t="s">
        <v>11528</v>
      </c>
      <c r="H31" s="55" t="s">
        <v>11529</v>
      </c>
      <c r="I31" s="32" t="n">
        <v>5</v>
      </c>
      <c r="J31" s="32" t="n">
        <v>3</v>
      </c>
      <c r="K31" s="43" t="e">
        <f aca="false">VLOOKUP(A31,#REF!,2, )</f>
        <v>#VALUE!</v>
      </c>
      <c r="L31" s="32" t="n">
        <v>1</v>
      </c>
      <c r="M31" s="32" t="n">
        <v>0</v>
      </c>
      <c r="N31" s="32" t="n">
        <v>0</v>
      </c>
      <c r="O31" s="42" t="s">
        <v>11367</v>
      </c>
      <c r="R31" s="60" t="n">
        <v>758</v>
      </c>
      <c r="S31" s="60" t="n">
        <v>2259</v>
      </c>
      <c r="T31" s="42" t="n">
        <v>47</v>
      </c>
      <c r="U31" s="60" t="n">
        <v>619</v>
      </c>
      <c r="V31" s="60" t="n">
        <v>1864</v>
      </c>
      <c r="W31" s="42" t="n">
        <v>71</v>
      </c>
      <c r="X31" s="60" t="n">
        <v>764</v>
      </c>
      <c r="Y31" s="60" t="n">
        <v>2009</v>
      </c>
      <c r="Z31" s="42" t="n">
        <v>58</v>
      </c>
      <c r="AA31" s="60" t="n">
        <v>1003.51</v>
      </c>
      <c r="AB31" s="60" t="n">
        <v>2589.39</v>
      </c>
      <c r="AC31" s="32" t="n">
        <v>30</v>
      </c>
      <c r="AE31" s="42" t="s">
        <v>11473</v>
      </c>
    </row>
    <row r="32" customFormat="false" ht="17.25" hidden="false" customHeight="true" outlineLevel="0" collapsed="false">
      <c r="A32" s="55" t="s">
        <v>11530</v>
      </c>
      <c r="B32" s="55" t="s">
        <v>387</v>
      </c>
      <c r="C32" s="55" t="s">
        <v>11531</v>
      </c>
      <c r="D32" s="32" t="n">
        <v>75016</v>
      </c>
      <c r="E32" s="32" t="s">
        <v>55</v>
      </c>
      <c r="F32" s="32" t="s">
        <v>11532</v>
      </c>
      <c r="G32" s="55" t="s">
        <v>11533</v>
      </c>
      <c r="H32" s="55" t="s">
        <v>11534</v>
      </c>
      <c r="I32" s="32" t="n">
        <v>4</v>
      </c>
      <c r="J32" s="32" t="n">
        <v>3</v>
      </c>
      <c r="K32" s="43" t="e">
        <f aca="false">VLOOKUP(A32,#REF!,2, )</f>
        <v>#VALUE!</v>
      </c>
      <c r="L32" s="32" t="n">
        <v>1</v>
      </c>
      <c r="M32" s="32" t="n">
        <v>1</v>
      </c>
      <c r="N32" s="32" t="n">
        <v>2</v>
      </c>
      <c r="O32" s="42" t="s">
        <v>11367</v>
      </c>
      <c r="P32" s="39" t="n">
        <v>44719</v>
      </c>
      <c r="R32" s="60" t="n">
        <v>1946</v>
      </c>
      <c r="S32" s="60" t="n">
        <v>2832</v>
      </c>
      <c r="T32" s="42" t="n">
        <v>25</v>
      </c>
      <c r="U32" s="60" t="n">
        <v>1817</v>
      </c>
      <c r="V32" s="60" t="n">
        <v>2455</v>
      </c>
      <c r="W32" s="42" t="n">
        <v>37</v>
      </c>
      <c r="X32" s="60" t="n">
        <v>1817</v>
      </c>
      <c r="Y32" s="60" t="n">
        <v>2455</v>
      </c>
      <c r="Z32" s="42" t="n">
        <v>42</v>
      </c>
      <c r="AA32" s="60" t="n">
        <v>2034.88</v>
      </c>
      <c r="AB32" s="60" t="n">
        <v>2552.58</v>
      </c>
      <c r="AC32" s="32" t="n">
        <v>31</v>
      </c>
      <c r="AD32" s="42" t="s">
        <v>11397</v>
      </c>
    </row>
    <row r="33" customFormat="false" ht="12.75" hidden="false" customHeight="true" outlineLevel="0" collapsed="false">
      <c r="A33" s="55" t="s">
        <v>11535</v>
      </c>
      <c r="B33" s="55" t="s">
        <v>62</v>
      </c>
      <c r="C33" s="55" t="s">
        <v>11536</v>
      </c>
      <c r="D33" s="32" t="n">
        <v>75017</v>
      </c>
      <c r="E33" s="32" t="s">
        <v>55</v>
      </c>
      <c r="F33" s="32" t="s">
        <v>11537</v>
      </c>
      <c r="G33" s="55" t="s">
        <v>11538</v>
      </c>
      <c r="H33" s="55" t="s">
        <v>11539</v>
      </c>
      <c r="I33" s="32" t="n">
        <v>4</v>
      </c>
      <c r="J33" s="32" t="n">
        <v>3</v>
      </c>
      <c r="K33" s="43" t="e">
        <f aca="false">VLOOKUP(A33,#REF!,2, )</f>
        <v>#VALUE!</v>
      </c>
      <c r="L33" s="32" t="n">
        <v>1</v>
      </c>
      <c r="M33" s="32" t="n">
        <v>1</v>
      </c>
      <c r="N33" s="32" t="n">
        <v>1</v>
      </c>
      <c r="O33" s="42" t="s">
        <v>11540</v>
      </c>
      <c r="P33" s="39" t="n">
        <v>45187.6145833333</v>
      </c>
      <c r="R33" s="60" t="n">
        <v>931</v>
      </c>
      <c r="S33" s="60" t="n">
        <v>3126</v>
      </c>
      <c r="T33" s="42" t="n">
        <v>19</v>
      </c>
      <c r="U33" s="60" t="n">
        <v>814</v>
      </c>
      <c r="V33" s="60" t="n">
        <v>2458</v>
      </c>
      <c r="W33" s="42" t="n">
        <v>36</v>
      </c>
      <c r="X33" s="60" t="n">
        <v>1031</v>
      </c>
      <c r="Y33" s="60" t="n">
        <v>2489</v>
      </c>
      <c r="Z33" s="42" t="n">
        <v>39</v>
      </c>
      <c r="AA33" s="60" t="n">
        <v>1087.15</v>
      </c>
      <c r="AB33" s="60" t="n">
        <v>2526.02</v>
      </c>
      <c r="AC33" s="32" t="n">
        <v>32</v>
      </c>
      <c r="AD33" s="42" t="s">
        <v>11411</v>
      </c>
    </row>
    <row r="34" customFormat="false" ht="12.75" hidden="false" customHeight="true" outlineLevel="0" collapsed="false">
      <c r="A34" s="55" t="s">
        <v>11541</v>
      </c>
      <c r="B34" s="55" t="s">
        <v>77</v>
      </c>
      <c r="C34" s="55" t="s">
        <v>11542</v>
      </c>
      <c r="D34" s="32" t="n">
        <v>92200</v>
      </c>
      <c r="E34" s="32" t="s">
        <v>11393</v>
      </c>
      <c r="F34" s="32" t="s">
        <v>11543</v>
      </c>
      <c r="G34" s="55" t="s">
        <v>11544</v>
      </c>
      <c r="H34" s="55" t="s">
        <v>11545</v>
      </c>
      <c r="I34" s="32" t="n">
        <v>4</v>
      </c>
      <c r="J34" s="32" t="n">
        <v>3</v>
      </c>
      <c r="K34" s="43" t="e">
        <f aca="false">VLOOKUP(A34,#REF!,2, )</f>
        <v>#VALUE!</v>
      </c>
      <c r="L34" s="32" t="n">
        <v>1</v>
      </c>
      <c r="M34" s="32" t="n">
        <v>1</v>
      </c>
      <c r="N34" s="32" t="n">
        <v>2</v>
      </c>
      <c r="O34" s="42" t="s">
        <v>11546</v>
      </c>
      <c r="P34" s="39" t="n">
        <v>45339.375</v>
      </c>
      <c r="R34" s="60" t="n">
        <v>689</v>
      </c>
      <c r="S34" s="60" t="n">
        <v>1754</v>
      </c>
      <c r="T34" s="42" t="n">
        <v>81</v>
      </c>
      <c r="U34" s="60" t="n">
        <v>624</v>
      </c>
      <c r="V34" s="60" t="n">
        <v>2433</v>
      </c>
      <c r="W34" s="42" t="n">
        <v>38</v>
      </c>
      <c r="X34" s="60" t="n">
        <v>580</v>
      </c>
      <c r="Y34" s="60" t="n">
        <v>1705</v>
      </c>
      <c r="Z34" s="42" t="n">
        <v>80</v>
      </c>
      <c r="AA34" s="60" t="n">
        <v>507.33</v>
      </c>
      <c r="AB34" s="60" t="n">
        <v>2451.77</v>
      </c>
      <c r="AC34" s="32" t="n">
        <v>33</v>
      </c>
      <c r="AD34" s="42" t="s">
        <v>11501</v>
      </c>
      <c r="AE34" s="42" t="s">
        <v>11376</v>
      </c>
    </row>
    <row r="35" customFormat="false" ht="17.25" hidden="false" customHeight="true" outlineLevel="0" collapsed="false">
      <c r="A35" s="55" t="s">
        <v>11541</v>
      </c>
      <c r="B35" s="55" t="s">
        <v>295</v>
      </c>
      <c r="C35" s="55" t="s">
        <v>11547</v>
      </c>
      <c r="D35" s="32" t="n">
        <v>92300</v>
      </c>
      <c r="E35" s="32" t="s">
        <v>11355</v>
      </c>
      <c r="F35" s="32" t="s">
        <v>11548</v>
      </c>
      <c r="G35" s="55" t="s">
        <v>11549</v>
      </c>
      <c r="H35" s="55" t="s">
        <v>11550</v>
      </c>
      <c r="I35" s="32" t="n">
        <v>8</v>
      </c>
      <c r="J35" s="32" t="n">
        <v>0</v>
      </c>
      <c r="K35" s="43" t="e">
        <f aca="false">VLOOKUP(A35,#REF!,2, )</f>
        <v>#VALUE!</v>
      </c>
      <c r="L35" s="32" t="n">
        <v>1</v>
      </c>
      <c r="M35" s="32" t="n">
        <v>0</v>
      </c>
      <c r="N35" s="32" t="n">
        <v>0</v>
      </c>
      <c r="O35" s="42" t="s">
        <v>11546</v>
      </c>
      <c r="P35" s="41" t="n">
        <v>45339.375</v>
      </c>
      <c r="R35" s="60" t="n">
        <v>552</v>
      </c>
      <c r="S35" s="60" t="n">
        <v>1212</v>
      </c>
      <c r="T35" s="42" t="n">
        <v>0</v>
      </c>
      <c r="U35" s="60" t="n">
        <v>435</v>
      </c>
      <c r="V35" s="60" t="n">
        <v>1500</v>
      </c>
      <c r="W35" s="42" t="n">
        <v>111</v>
      </c>
      <c r="X35" s="60" t="n">
        <v>689</v>
      </c>
      <c r="Y35" s="60" t="n">
        <v>1500</v>
      </c>
      <c r="Z35" s="42" t="n">
        <v>100</v>
      </c>
      <c r="AA35" s="60" t="n">
        <v>507.33</v>
      </c>
      <c r="AB35" s="60" t="n">
        <v>2451.77</v>
      </c>
      <c r="AC35" s="32" t="n">
        <v>33</v>
      </c>
      <c r="AD35" s="42" t="s">
        <v>11472</v>
      </c>
    </row>
    <row r="36" customFormat="false" ht="12.75" hidden="false" customHeight="true" outlineLevel="0" collapsed="false">
      <c r="A36" s="55" t="s">
        <v>11551</v>
      </c>
      <c r="B36" s="55" t="s">
        <v>99</v>
      </c>
      <c r="C36" s="55" t="s">
        <v>10433</v>
      </c>
      <c r="D36" s="32" t="n">
        <v>75015</v>
      </c>
      <c r="E36" s="32" t="s">
        <v>55</v>
      </c>
      <c r="F36" s="32" t="s">
        <v>11552</v>
      </c>
      <c r="G36" s="55" t="s">
        <v>11553</v>
      </c>
      <c r="H36" s="55" t="s">
        <v>11554</v>
      </c>
      <c r="I36" s="32" t="n">
        <v>4</v>
      </c>
      <c r="J36" s="32" t="n">
        <v>3</v>
      </c>
      <c r="K36" s="43" t="e">
        <f aca="false">VLOOKUP(A36,#REF!,2, )</f>
        <v>#VALUE!</v>
      </c>
      <c r="L36" s="32" t="n">
        <v>1</v>
      </c>
      <c r="M36" s="32" t="n">
        <v>1</v>
      </c>
      <c r="N36" s="32" t="n">
        <v>2</v>
      </c>
      <c r="O36" s="42" t="s">
        <v>11367</v>
      </c>
      <c r="P36" s="39" t="n">
        <v>44720</v>
      </c>
      <c r="R36" s="60" t="n">
        <v>335</v>
      </c>
      <c r="S36" s="60" t="n">
        <v>3820</v>
      </c>
      <c r="T36" s="42" t="n">
        <v>10</v>
      </c>
      <c r="U36" s="60" t="n">
        <v>229</v>
      </c>
      <c r="V36" s="60" t="n">
        <v>3373</v>
      </c>
      <c r="W36" s="42" t="n">
        <v>14</v>
      </c>
      <c r="X36" s="60" t="n">
        <v>312</v>
      </c>
      <c r="Y36" s="60" t="n">
        <v>3367</v>
      </c>
      <c r="Z36" s="42" t="n">
        <v>14</v>
      </c>
      <c r="AA36" s="60" t="n">
        <v>250.89</v>
      </c>
      <c r="AB36" s="60" t="n">
        <v>2375.41</v>
      </c>
      <c r="AC36" s="32" t="n">
        <v>34</v>
      </c>
      <c r="AD36" s="42" t="s">
        <v>11411</v>
      </c>
    </row>
    <row r="37" customFormat="false" ht="12.75" hidden="false" customHeight="true" outlineLevel="0" collapsed="false">
      <c r="A37" s="55" t="s">
        <v>11555</v>
      </c>
      <c r="B37" s="55" t="s">
        <v>295</v>
      </c>
      <c r="C37" s="55" t="s">
        <v>11556</v>
      </c>
      <c r="D37" s="32" t="n">
        <v>92300</v>
      </c>
      <c r="E37" s="32" t="s">
        <v>11355</v>
      </c>
      <c r="F37" s="32" t="s">
        <v>11557</v>
      </c>
      <c r="G37" s="55" t="s">
        <v>11558</v>
      </c>
      <c r="H37" s="55" t="s">
        <v>11559</v>
      </c>
      <c r="I37" s="32" t="n">
        <v>7</v>
      </c>
      <c r="J37" s="32" t="n">
        <v>3</v>
      </c>
      <c r="K37" s="43" t="e">
        <f aca="false">VLOOKUP(A37,#REF!,2, )</f>
        <v>#VALUE!</v>
      </c>
      <c r="L37" s="32" t="n">
        <v>1</v>
      </c>
      <c r="M37" s="32" t="n">
        <v>0</v>
      </c>
      <c r="N37" s="32" t="n">
        <v>0</v>
      </c>
      <c r="O37" s="42" t="s">
        <v>11367</v>
      </c>
      <c r="R37" s="60" t="n">
        <v>-11</v>
      </c>
      <c r="S37" s="60" t="n">
        <v>2278</v>
      </c>
      <c r="T37" s="42" t="n">
        <v>46</v>
      </c>
      <c r="U37" s="60" t="n">
        <v>-11</v>
      </c>
      <c r="V37" s="60" t="n">
        <v>2530</v>
      </c>
      <c r="W37" s="42" t="n">
        <v>31</v>
      </c>
      <c r="X37" s="60" t="n">
        <v>-11</v>
      </c>
      <c r="Y37" s="60" t="n">
        <v>1918</v>
      </c>
      <c r="Z37" s="42" t="n">
        <v>62</v>
      </c>
      <c r="AA37" s="60" t="n">
        <v>0</v>
      </c>
      <c r="AB37" s="60" t="n">
        <v>2321.32</v>
      </c>
      <c r="AC37" s="32" t="n">
        <v>35</v>
      </c>
      <c r="AD37" s="42" t="s">
        <v>11560</v>
      </c>
      <c r="AE37" s="42" t="s">
        <v>11384</v>
      </c>
    </row>
    <row r="38" customFormat="false" ht="12.75" hidden="false" customHeight="true" outlineLevel="0" collapsed="false">
      <c r="A38" s="55" t="s">
        <v>11561</v>
      </c>
      <c r="B38" s="55" t="s">
        <v>197</v>
      </c>
      <c r="C38" s="55" t="s">
        <v>11562</v>
      </c>
      <c r="D38" s="32" t="n">
        <v>75008</v>
      </c>
      <c r="E38" s="32" t="s">
        <v>55</v>
      </c>
      <c r="F38" s="32" t="s">
        <v>11563</v>
      </c>
      <c r="G38" s="55" t="s">
        <v>11564</v>
      </c>
      <c r="H38" s="55" t="s">
        <v>11565</v>
      </c>
      <c r="I38" s="32" t="n">
        <v>3</v>
      </c>
      <c r="J38" s="32" t="n">
        <v>3</v>
      </c>
      <c r="K38" s="43" t="e">
        <f aca="false">VLOOKUP(A38,#REF!,2, )</f>
        <v>#VALUE!</v>
      </c>
      <c r="L38" s="32" t="n">
        <v>1</v>
      </c>
      <c r="M38" s="32" t="n">
        <v>1</v>
      </c>
      <c r="N38" s="32" t="n">
        <v>0</v>
      </c>
      <c r="O38" s="42" t="s">
        <v>11367</v>
      </c>
      <c r="R38" s="60" t="n">
        <v>714</v>
      </c>
      <c r="S38" s="60" t="n">
        <v>2082</v>
      </c>
      <c r="T38" s="42" t="n">
        <v>58</v>
      </c>
      <c r="U38" s="60" t="n">
        <v>334</v>
      </c>
      <c r="V38" s="60" t="n">
        <v>2050</v>
      </c>
      <c r="W38" s="42" t="n">
        <v>59</v>
      </c>
      <c r="X38" s="60" t="n">
        <v>624</v>
      </c>
      <c r="Y38" s="60" t="n">
        <v>1858</v>
      </c>
      <c r="Z38" s="42" t="n">
        <v>66</v>
      </c>
      <c r="AA38" s="60" t="n">
        <v>434.86</v>
      </c>
      <c r="AB38" s="60" t="n">
        <v>2318.67</v>
      </c>
      <c r="AC38" s="32" t="n">
        <v>36</v>
      </c>
      <c r="AD38" s="42" t="s">
        <v>11566</v>
      </c>
    </row>
    <row r="39" customFormat="false" ht="12.75" hidden="false" customHeight="true" outlineLevel="0" collapsed="false">
      <c r="A39" s="55" t="s">
        <v>11561</v>
      </c>
      <c r="B39" s="55" t="s">
        <v>77</v>
      </c>
      <c r="C39" s="55" t="s">
        <v>11567</v>
      </c>
      <c r="D39" s="32" t="n">
        <v>92200</v>
      </c>
      <c r="E39" s="32" t="s">
        <v>11393</v>
      </c>
      <c r="F39" s="32" t="s">
        <v>11568</v>
      </c>
      <c r="G39" s="55" t="s">
        <v>11569</v>
      </c>
      <c r="H39" s="55" t="s">
        <v>11570</v>
      </c>
      <c r="I39" s="32" t="n">
        <v>5</v>
      </c>
      <c r="J39" s="32" t="n">
        <v>3</v>
      </c>
      <c r="K39" s="43" t="e">
        <f aca="false">VLOOKUP(A39,#REF!,2, )</f>
        <v>#VALUE!</v>
      </c>
      <c r="L39" s="32" t="n">
        <v>1</v>
      </c>
      <c r="M39" s="32" t="n">
        <v>1</v>
      </c>
      <c r="N39" s="32" t="n">
        <v>0</v>
      </c>
      <c r="O39" s="42" t="s">
        <v>11367</v>
      </c>
      <c r="R39" s="60" t="n">
        <v>1193</v>
      </c>
      <c r="S39" s="60" t="n">
        <v>1665</v>
      </c>
      <c r="T39" s="42" t="n">
        <v>91</v>
      </c>
      <c r="U39" s="60" t="n">
        <v>524</v>
      </c>
      <c r="V39" s="60" t="n">
        <v>1834</v>
      </c>
      <c r="W39" s="42" t="n">
        <v>74</v>
      </c>
      <c r="X39" s="60" t="n">
        <v>524</v>
      </c>
      <c r="Y39" s="60" t="n">
        <v>1651</v>
      </c>
      <c r="Z39" s="42" t="n">
        <v>82</v>
      </c>
      <c r="AA39" s="60" t="n">
        <v>434.86</v>
      </c>
      <c r="AB39" s="60" t="n">
        <v>2318.67</v>
      </c>
      <c r="AC39" s="32" t="n">
        <v>36</v>
      </c>
      <c r="AD39" s="42" t="s">
        <v>11417</v>
      </c>
    </row>
    <row r="40" customFormat="false" ht="12.75" hidden="false" customHeight="true" outlineLevel="0" collapsed="false">
      <c r="A40" s="68" t="s">
        <v>11571</v>
      </c>
      <c r="B40" s="69" t="s">
        <v>435</v>
      </c>
      <c r="C40" s="55" t="s">
        <v>11572</v>
      </c>
      <c r="D40" s="32" t="n">
        <v>75016</v>
      </c>
      <c r="E40" s="32" t="s">
        <v>55</v>
      </c>
      <c r="F40" s="32" t="s">
        <v>11573</v>
      </c>
      <c r="G40" s="55" t="s">
        <v>11574</v>
      </c>
      <c r="H40" s="55" t="s">
        <v>11575</v>
      </c>
      <c r="I40" s="32" t="n">
        <v>3</v>
      </c>
      <c r="J40" s="32" t="n">
        <v>3</v>
      </c>
      <c r="K40" s="43" t="e">
        <f aca="false">VLOOKUP(A40,#REF!,2, )</f>
        <v>#VALUE!</v>
      </c>
      <c r="L40" s="32" t="n">
        <v>1</v>
      </c>
      <c r="M40" s="32" t="n">
        <v>1</v>
      </c>
      <c r="N40" s="32" t="n">
        <v>0</v>
      </c>
      <c r="O40" s="42" t="s">
        <v>11367</v>
      </c>
      <c r="R40" s="60" t="n">
        <v>1121</v>
      </c>
      <c r="S40" s="60" t="n">
        <v>2615</v>
      </c>
      <c r="T40" s="42" t="n">
        <v>31</v>
      </c>
      <c r="U40" s="60" t="n">
        <v>1366</v>
      </c>
      <c r="V40" s="60" t="n">
        <v>2942</v>
      </c>
      <c r="W40" s="42" t="n">
        <v>21</v>
      </c>
      <c r="X40" s="60" t="n">
        <v>987</v>
      </c>
      <c r="Y40" s="60" t="n">
        <v>2740</v>
      </c>
      <c r="Z40" s="42" t="n">
        <v>27</v>
      </c>
      <c r="AA40" s="60" t="n">
        <v>1377.05</v>
      </c>
      <c r="AB40" s="60" t="n">
        <v>2311.37</v>
      </c>
      <c r="AC40" s="32" t="n">
        <v>37</v>
      </c>
      <c r="AE40" s="42" t="s">
        <v>11473</v>
      </c>
    </row>
    <row r="41" customFormat="false" ht="12.75" hidden="false" customHeight="true" outlineLevel="0" collapsed="false">
      <c r="A41" s="55" t="s">
        <v>11576</v>
      </c>
      <c r="B41" s="55" t="s">
        <v>197</v>
      </c>
      <c r="C41" s="55" t="s">
        <v>11577</v>
      </c>
      <c r="D41" s="32" t="n">
        <v>75008</v>
      </c>
      <c r="E41" s="32" t="s">
        <v>55</v>
      </c>
      <c r="F41" s="32" t="s">
        <v>11578</v>
      </c>
      <c r="G41" s="55" t="s">
        <v>11579</v>
      </c>
      <c r="H41" s="55" t="s">
        <v>11580</v>
      </c>
      <c r="I41" s="32" t="n">
        <v>2</v>
      </c>
      <c r="J41" s="32" t="n">
        <v>3</v>
      </c>
      <c r="K41" s="43" t="e">
        <f aca="false">VLOOKUP(A41,#REF!,2, )</f>
        <v>#VALUE!</v>
      </c>
      <c r="L41" s="32" t="n">
        <v>1</v>
      </c>
      <c r="M41" s="32" t="n">
        <v>1</v>
      </c>
      <c r="N41" s="32" t="n">
        <v>2</v>
      </c>
      <c r="O41" s="42" t="s">
        <v>11367</v>
      </c>
      <c r="P41" s="39" t="n">
        <v>44683</v>
      </c>
      <c r="R41" s="60" t="n">
        <v>1483</v>
      </c>
      <c r="S41" s="60" t="n">
        <v>1954</v>
      </c>
      <c r="T41" s="42" t="n">
        <v>71</v>
      </c>
      <c r="U41" s="60" t="n">
        <v>1137</v>
      </c>
      <c r="V41" s="60" t="n">
        <v>1863</v>
      </c>
      <c r="W41" s="42" t="n">
        <v>72</v>
      </c>
      <c r="X41" s="60" t="n">
        <v>602</v>
      </c>
      <c r="Y41" s="60" t="n">
        <v>1783</v>
      </c>
      <c r="Z41" s="42" t="n">
        <v>69</v>
      </c>
      <c r="AA41" s="60" t="n">
        <v>942.19</v>
      </c>
      <c r="AB41" s="60" t="n">
        <v>2304.37</v>
      </c>
      <c r="AC41" s="32" t="n">
        <v>38</v>
      </c>
      <c r="AD41" s="42" t="s">
        <v>11438</v>
      </c>
    </row>
    <row r="42" customFormat="false" ht="12.75" hidden="true" customHeight="true" outlineLevel="0" collapsed="false">
      <c r="A42" s="55" t="s">
        <v>11581</v>
      </c>
      <c r="B42" s="55" t="s">
        <v>51</v>
      </c>
      <c r="C42" s="55" t="s">
        <v>11582</v>
      </c>
      <c r="D42" s="32" t="n">
        <v>75015</v>
      </c>
      <c r="E42" s="32" t="s">
        <v>55</v>
      </c>
      <c r="F42" s="32" t="s">
        <v>11583</v>
      </c>
      <c r="G42" s="55" t="s">
        <v>11584</v>
      </c>
      <c r="H42" s="55" t="s">
        <v>11585</v>
      </c>
      <c r="I42" s="32" t="n">
        <v>8</v>
      </c>
      <c r="J42" s="32" t="n">
        <v>0</v>
      </c>
      <c r="K42" s="43" t="e">
        <f aca="false">VLOOKUP(A42,#REF!,2, )</f>
        <v>#VALUE!</v>
      </c>
      <c r="L42" s="32" t="n">
        <v>1</v>
      </c>
      <c r="M42" s="32" t="n">
        <v>1</v>
      </c>
      <c r="N42" s="32" t="n">
        <v>2</v>
      </c>
      <c r="O42" s="42" t="s">
        <v>11367</v>
      </c>
      <c r="P42" s="41" t="n">
        <v>44685</v>
      </c>
      <c r="R42" s="60" t="n">
        <v>758</v>
      </c>
      <c r="S42" s="60" t="n">
        <v>1719</v>
      </c>
      <c r="T42" s="42" t="n">
        <v>85</v>
      </c>
      <c r="U42" s="60" t="n">
        <v>368</v>
      </c>
      <c r="V42" s="60" t="n">
        <v>1782</v>
      </c>
      <c r="W42" s="42" t="n">
        <v>79</v>
      </c>
      <c r="X42" s="60" t="n">
        <v>385</v>
      </c>
      <c r="Y42" s="60" t="n">
        <v>2010</v>
      </c>
      <c r="Z42" s="42" t="n">
        <v>57</v>
      </c>
      <c r="AA42" s="60" t="n">
        <v>301.06</v>
      </c>
      <c r="AB42" s="60" t="n">
        <v>2290.32</v>
      </c>
      <c r="AC42" s="32" t="n">
        <v>39</v>
      </c>
      <c r="AE42" s="42" t="s">
        <v>11473</v>
      </c>
    </row>
    <row r="43" customFormat="false" ht="12.75" hidden="false" customHeight="true" outlineLevel="0" collapsed="false">
      <c r="A43" s="55" t="s">
        <v>11586</v>
      </c>
      <c r="B43" s="55" t="s">
        <v>99</v>
      </c>
      <c r="C43" s="55" t="s">
        <v>11587</v>
      </c>
      <c r="D43" s="32" t="n">
        <v>75015</v>
      </c>
      <c r="E43" s="32" t="s">
        <v>55</v>
      </c>
      <c r="F43" s="32" t="s">
        <v>11588</v>
      </c>
      <c r="G43" s="55" t="s">
        <v>11589</v>
      </c>
      <c r="H43" s="55" t="s">
        <v>11590</v>
      </c>
      <c r="I43" s="32" t="n">
        <v>8</v>
      </c>
      <c r="J43" s="32" t="n">
        <v>3</v>
      </c>
      <c r="K43" s="43" t="e">
        <f aca="false">VLOOKUP(A43,#REF!,2, )</f>
        <v>#VALUE!</v>
      </c>
      <c r="L43" s="32" t="n">
        <v>1</v>
      </c>
      <c r="M43" s="32" t="n">
        <v>0</v>
      </c>
      <c r="N43" s="32" t="n">
        <v>0</v>
      </c>
      <c r="O43" s="42" t="s">
        <v>11367</v>
      </c>
      <c r="R43" s="60" t="n">
        <v>580</v>
      </c>
      <c r="S43" s="60" t="n">
        <v>2053</v>
      </c>
      <c r="T43" s="42" t="n">
        <v>61</v>
      </c>
      <c r="U43" s="60" t="n">
        <v>580</v>
      </c>
      <c r="V43" s="60" t="n">
        <v>1960</v>
      </c>
      <c r="W43" s="42" t="n">
        <v>64</v>
      </c>
      <c r="X43" s="60" t="n">
        <v>390</v>
      </c>
      <c r="Y43" s="60" t="n">
        <v>2315</v>
      </c>
      <c r="Z43" s="42" t="n">
        <v>45</v>
      </c>
      <c r="AA43" s="60" t="n">
        <v>217.43</v>
      </c>
      <c r="AB43" s="60" t="n">
        <v>2277.33</v>
      </c>
      <c r="AC43" s="32" t="n">
        <v>40</v>
      </c>
      <c r="AD43" s="42" t="s">
        <v>11417</v>
      </c>
    </row>
    <row r="44" customFormat="false" ht="17.25" hidden="false" customHeight="true" outlineLevel="0" collapsed="false">
      <c r="A44" s="55" t="s">
        <v>11591</v>
      </c>
      <c r="B44" s="55" t="s">
        <v>387</v>
      </c>
      <c r="C44" s="55" t="s">
        <v>11592</v>
      </c>
      <c r="D44" s="32" t="n">
        <v>75016</v>
      </c>
      <c r="E44" s="32" t="s">
        <v>55</v>
      </c>
      <c r="F44" s="32" t="s">
        <v>11593</v>
      </c>
      <c r="G44" s="55" t="s">
        <v>11594</v>
      </c>
      <c r="H44" s="55" t="s">
        <v>11595</v>
      </c>
      <c r="I44" s="32" t="n">
        <v>6</v>
      </c>
      <c r="J44" s="32" t="n">
        <v>3</v>
      </c>
      <c r="K44" s="43" t="e">
        <f aca="false">VLOOKUP(A44,#REF!,2, )</f>
        <v>#VALUE!</v>
      </c>
      <c r="L44" s="32" t="n">
        <v>1</v>
      </c>
      <c r="M44" s="32" t="n">
        <v>0</v>
      </c>
      <c r="N44" s="32" t="n">
        <v>0</v>
      </c>
      <c r="O44" s="42" t="s">
        <v>11367</v>
      </c>
      <c r="P44" s="39" t="n">
        <v>45103.6666666667</v>
      </c>
      <c r="R44" s="60" t="n">
        <v>474</v>
      </c>
      <c r="S44" s="60" t="n">
        <v>2694</v>
      </c>
      <c r="T44" s="42" t="n">
        <v>27</v>
      </c>
      <c r="U44" s="60" t="n">
        <v>440</v>
      </c>
      <c r="V44" s="60" t="n">
        <v>2305</v>
      </c>
      <c r="W44" s="42" t="n">
        <v>43</v>
      </c>
      <c r="X44" s="60" t="n">
        <v>251</v>
      </c>
      <c r="Y44" s="60" t="n">
        <v>1800</v>
      </c>
      <c r="Z44" s="42" t="n">
        <v>68</v>
      </c>
      <c r="AA44" s="60" t="n">
        <v>585.39</v>
      </c>
      <c r="AB44" s="60" t="n">
        <v>2239.4</v>
      </c>
      <c r="AC44" s="32" t="n">
        <v>41</v>
      </c>
      <c r="AD44" s="42" t="s">
        <v>11375</v>
      </c>
      <c r="AE44" s="42" t="s">
        <v>11384</v>
      </c>
    </row>
    <row r="45" customFormat="false" ht="17.25" hidden="false" customHeight="true" outlineLevel="0" collapsed="false">
      <c r="A45" s="55" t="s">
        <v>11596</v>
      </c>
      <c r="B45" s="55" t="s">
        <v>62</v>
      </c>
      <c r="C45" s="55" t="s">
        <v>11597</v>
      </c>
      <c r="D45" s="32" t="n">
        <v>75017</v>
      </c>
      <c r="E45" s="32" t="s">
        <v>55</v>
      </c>
      <c r="F45" s="32" t="s">
        <v>11598</v>
      </c>
      <c r="G45" s="55" t="s">
        <v>11599</v>
      </c>
      <c r="H45" s="55" t="s">
        <v>11600</v>
      </c>
      <c r="I45" s="32" t="n">
        <v>4</v>
      </c>
      <c r="J45" s="32" t="n">
        <v>3</v>
      </c>
      <c r="K45" s="43" t="e">
        <f aca="false">VLOOKUP(A45,#REF!,2, )</f>
        <v>#VALUE!</v>
      </c>
      <c r="L45" s="32" t="n">
        <v>1</v>
      </c>
      <c r="M45" s="32" t="n">
        <v>0</v>
      </c>
      <c r="N45" s="32" t="n">
        <v>0</v>
      </c>
      <c r="O45" s="42" t="s">
        <v>11367</v>
      </c>
      <c r="R45" s="60" t="n">
        <v>295</v>
      </c>
      <c r="S45" s="60" t="n">
        <v>2213</v>
      </c>
      <c r="T45" s="42" t="n">
        <v>52</v>
      </c>
      <c r="U45" s="60" t="n">
        <v>273</v>
      </c>
      <c r="V45" s="60" t="n">
        <v>2207</v>
      </c>
      <c r="W45" s="42" t="n">
        <v>48</v>
      </c>
      <c r="X45" s="60" t="n">
        <v>440</v>
      </c>
      <c r="Y45" s="60" t="n">
        <v>2529</v>
      </c>
      <c r="Z45" s="42" t="n">
        <v>38</v>
      </c>
      <c r="AA45" s="60" t="n">
        <v>418.14</v>
      </c>
      <c r="AB45" s="60" t="n">
        <v>2229.08</v>
      </c>
      <c r="AC45" s="32" t="n">
        <v>42</v>
      </c>
      <c r="AD45" s="42" t="s">
        <v>11417</v>
      </c>
      <c r="AE45" s="42" t="s">
        <v>11601</v>
      </c>
    </row>
    <row r="46" customFormat="false" ht="12.75" hidden="false" customHeight="true" outlineLevel="0" collapsed="false">
      <c r="A46" s="55" t="s">
        <v>11602</v>
      </c>
      <c r="B46" s="55" t="s">
        <v>77</v>
      </c>
      <c r="C46" s="55" t="s">
        <v>11603</v>
      </c>
      <c r="D46" s="32" t="n">
        <v>92200</v>
      </c>
      <c r="E46" s="32" t="s">
        <v>11393</v>
      </c>
      <c r="F46" s="32" t="s">
        <v>11604</v>
      </c>
      <c r="G46" s="55" t="s">
        <v>11605</v>
      </c>
      <c r="H46" s="55" t="s">
        <v>11606</v>
      </c>
      <c r="I46" s="32" t="n">
        <v>6</v>
      </c>
      <c r="J46" s="32" t="n">
        <v>3</v>
      </c>
      <c r="K46" s="43" t="e">
        <f aca="false">VLOOKUP(A46,#REF!,2, )</f>
        <v>#VALUE!</v>
      </c>
      <c r="L46" s="32" t="n">
        <v>1</v>
      </c>
      <c r="M46" s="32" t="n">
        <v>0</v>
      </c>
      <c r="N46" s="32" t="n">
        <v>0</v>
      </c>
      <c r="O46" s="42" t="s">
        <v>11607</v>
      </c>
      <c r="P46" s="39" t="n">
        <v>45335.3541666667</v>
      </c>
      <c r="R46" s="60" t="n">
        <v>914</v>
      </c>
      <c r="S46" s="60" t="n">
        <v>2577</v>
      </c>
      <c r="T46" s="42" t="n">
        <v>34</v>
      </c>
      <c r="U46" s="60" t="n">
        <v>1282</v>
      </c>
      <c r="V46" s="60" t="n">
        <v>2026</v>
      </c>
      <c r="W46" s="42" t="n">
        <v>62</v>
      </c>
      <c r="X46" s="60" t="n">
        <v>1282</v>
      </c>
      <c r="Y46" s="60" t="n">
        <v>1486</v>
      </c>
      <c r="Z46" s="42" t="n">
        <v>102</v>
      </c>
      <c r="AA46" s="60" t="n">
        <v>1115</v>
      </c>
      <c r="AB46" s="60" t="n">
        <v>2184.66</v>
      </c>
      <c r="AC46" s="32" t="n">
        <v>43</v>
      </c>
      <c r="AD46" s="42" t="s">
        <v>11501</v>
      </c>
      <c r="AE46" s="42" t="s">
        <v>11384</v>
      </c>
    </row>
    <row r="47" customFormat="false" ht="17.25" hidden="true" customHeight="true" outlineLevel="0" collapsed="false">
      <c r="A47" s="55" t="s">
        <v>11608</v>
      </c>
      <c r="B47" s="55" t="s">
        <v>99</v>
      </c>
      <c r="C47" s="55" t="s">
        <v>11609</v>
      </c>
      <c r="D47" s="32" t="n">
        <v>75007</v>
      </c>
      <c r="E47" s="32" t="s">
        <v>55</v>
      </c>
      <c r="F47" s="32" t="s">
        <v>11610</v>
      </c>
      <c r="G47" s="55" t="s">
        <v>11611</v>
      </c>
      <c r="H47" s="55" t="s">
        <v>11612</v>
      </c>
      <c r="I47" s="32" t="n">
        <v>5</v>
      </c>
      <c r="J47" s="32" t="n">
        <v>0</v>
      </c>
      <c r="K47" s="43" t="e">
        <f aca="false">VLOOKUP(A47,#REF!,2, )</f>
        <v>#VALUE!</v>
      </c>
      <c r="L47" s="32" t="n">
        <v>1</v>
      </c>
      <c r="M47" s="32" t="n">
        <v>0</v>
      </c>
      <c r="N47" s="32" t="n">
        <v>0</v>
      </c>
      <c r="O47" s="42" t="s">
        <v>11367</v>
      </c>
      <c r="P47" s="41"/>
      <c r="R47" s="60" t="n">
        <v>1974</v>
      </c>
      <c r="S47" s="60" t="n">
        <v>1669</v>
      </c>
      <c r="T47" s="42" t="n">
        <v>90</v>
      </c>
      <c r="U47" s="60" t="n">
        <v>1528</v>
      </c>
      <c r="V47" s="60" t="n">
        <v>1589</v>
      </c>
      <c r="W47" s="42" t="n">
        <v>103</v>
      </c>
      <c r="X47" s="60" t="n">
        <v>1210</v>
      </c>
      <c r="Y47" s="60" t="n">
        <v>1536</v>
      </c>
      <c r="Z47" s="42" t="n">
        <v>94</v>
      </c>
      <c r="AA47" s="60" t="n">
        <v>1282.26</v>
      </c>
      <c r="AB47" s="60" t="n">
        <v>2175.9</v>
      </c>
      <c r="AC47" s="32" t="n">
        <v>44</v>
      </c>
      <c r="AD47" s="42" t="s">
        <v>11397</v>
      </c>
    </row>
    <row r="48" customFormat="false" ht="17.25" hidden="false" customHeight="true" outlineLevel="0" collapsed="false">
      <c r="A48" s="55" t="s">
        <v>11613</v>
      </c>
      <c r="B48" s="55" t="s">
        <v>435</v>
      </c>
      <c r="C48" s="55" t="s">
        <v>6748</v>
      </c>
      <c r="D48" s="32" t="n">
        <v>75016</v>
      </c>
      <c r="E48" s="32" t="s">
        <v>55</v>
      </c>
      <c r="F48" s="32" t="s">
        <v>11614</v>
      </c>
      <c r="G48" s="55" t="s">
        <v>11615</v>
      </c>
      <c r="H48" s="55" t="s">
        <v>11616</v>
      </c>
      <c r="I48" s="32" t="n">
        <v>5</v>
      </c>
      <c r="J48" s="32" t="n">
        <v>3</v>
      </c>
      <c r="K48" s="43" t="e">
        <f aca="false">VLOOKUP(A48,#REF!,2, )</f>
        <v>#VALUE!</v>
      </c>
      <c r="L48" s="32" t="n">
        <v>1</v>
      </c>
      <c r="M48" s="32" t="n">
        <v>0</v>
      </c>
      <c r="N48" s="32" t="n">
        <v>0</v>
      </c>
      <c r="O48" s="42" t="s">
        <v>11367</v>
      </c>
      <c r="P48" s="39" t="n">
        <v>45257.6041666667</v>
      </c>
      <c r="R48" s="60" t="n">
        <v>357</v>
      </c>
      <c r="S48" s="60" t="n">
        <v>3366</v>
      </c>
      <c r="T48" s="42" t="n">
        <v>16</v>
      </c>
      <c r="U48" s="60" t="n">
        <v>334</v>
      </c>
      <c r="V48" s="60" t="n">
        <v>2764</v>
      </c>
      <c r="W48" s="42" t="n">
        <v>23</v>
      </c>
      <c r="X48" s="60" t="n">
        <v>552</v>
      </c>
      <c r="Y48" s="60" t="n">
        <v>2410</v>
      </c>
      <c r="Z48" s="42" t="n">
        <v>44</v>
      </c>
      <c r="AA48" s="60" t="n">
        <v>819.54</v>
      </c>
      <c r="AB48" s="60" t="n">
        <v>2172.22</v>
      </c>
      <c r="AC48" s="32" t="n">
        <v>45</v>
      </c>
      <c r="AD48" s="42" t="s">
        <v>11417</v>
      </c>
    </row>
    <row r="49" customFormat="false" ht="17.25" hidden="false" customHeight="true" outlineLevel="0" collapsed="false">
      <c r="A49" s="55" t="s">
        <v>11617</v>
      </c>
      <c r="B49" s="55" t="s">
        <v>77</v>
      </c>
      <c r="C49" s="55" t="s">
        <v>11618</v>
      </c>
      <c r="D49" s="32" t="n">
        <v>92200</v>
      </c>
      <c r="E49" s="32" t="s">
        <v>11393</v>
      </c>
      <c r="F49" s="32" t="s">
        <v>11619</v>
      </c>
      <c r="G49" s="55" t="s">
        <v>11620</v>
      </c>
      <c r="H49" s="55" t="s">
        <v>11621</v>
      </c>
      <c r="I49" s="32" t="n">
        <v>4</v>
      </c>
      <c r="J49" s="32" t="n">
        <v>3</v>
      </c>
      <c r="K49" s="43" t="e">
        <f aca="false">VLOOKUP(A49,#REF!,2, )</f>
        <v>#VALUE!</v>
      </c>
      <c r="L49" s="32" t="n">
        <v>1</v>
      </c>
      <c r="M49" s="32" t="n">
        <v>1</v>
      </c>
      <c r="N49" s="32" t="n">
        <v>0</v>
      </c>
      <c r="O49" s="42" t="s">
        <v>11622</v>
      </c>
      <c r="P49" s="39" t="n">
        <v>45342.3541666667</v>
      </c>
      <c r="R49" s="60" t="n">
        <v>502</v>
      </c>
      <c r="S49" s="60" t="n">
        <v>2612</v>
      </c>
      <c r="T49" s="42" t="n">
        <v>32</v>
      </c>
      <c r="U49" s="60" t="n">
        <v>-10</v>
      </c>
      <c r="V49" s="60" t="n">
        <v>2472</v>
      </c>
      <c r="W49" s="42" t="n">
        <v>34</v>
      </c>
      <c r="X49" s="60" t="n">
        <v>369</v>
      </c>
      <c r="Y49" s="60" t="n">
        <v>1775</v>
      </c>
      <c r="Z49" s="42" t="n">
        <v>71</v>
      </c>
      <c r="AA49" s="60" t="n">
        <v>0</v>
      </c>
      <c r="AB49" s="60" t="n">
        <v>2138.36</v>
      </c>
      <c r="AC49" s="32" t="n">
        <v>46</v>
      </c>
      <c r="AD49" s="42" t="s">
        <v>11466</v>
      </c>
      <c r="AE49" s="42" t="s">
        <v>11513</v>
      </c>
    </row>
    <row r="50" customFormat="false" ht="17.25" hidden="false" customHeight="true" outlineLevel="0" collapsed="false">
      <c r="A50" s="55" t="s">
        <v>11623</v>
      </c>
      <c r="B50" s="55" t="s">
        <v>435</v>
      </c>
      <c r="C50" s="55" t="s">
        <v>11624</v>
      </c>
      <c r="D50" s="32" t="n">
        <v>75116</v>
      </c>
      <c r="E50" s="32" t="s">
        <v>55</v>
      </c>
      <c r="F50" s="32" t="s">
        <v>11625</v>
      </c>
      <c r="G50" s="55" t="s">
        <v>11626</v>
      </c>
      <c r="H50" s="55" t="s">
        <v>11627</v>
      </c>
      <c r="I50" s="32" t="n">
        <v>2</v>
      </c>
      <c r="J50" s="32" t="n">
        <v>3</v>
      </c>
      <c r="K50" s="43" t="e">
        <f aca="false">VLOOKUP(A50,#REF!,2, )</f>
        <v>#VALUE!</v>
      </c>
      <c r="L50" s="32" t="n">
        <v>1</v>
      </c>
      <c r="M50" s="32" t="n">
        <v>1</v>
      </c>
      <c r="N50" s="32" t="n">
        <v>2</v>
      </c>
      <c r="O50" s="42" t="s">
        <v>11628</v>
      </c>
      <c r="P50" s="39" t="n">
        <v>45257.6458333333</v>
      </c>
      <c r="R50" s="60" t="n">
        <v>1004</v>
      </c>
      <c r="S50" s="60" t="n">
        <v>2631</v>
      </c>
      <c r="T50" s="42" t="n">
        <v>29</v>
      </c>
      <c r="U50" s="60" t="n">
        <v>669</v>
      </c>
      <c r="V50" s="60" t="n">
        <v>2337</v>
      </c>
      <c r="W50" s="42" t="n">
        <v>41</v>
      </c>
      <c r="X50" s="60" t="n">
        <v>502</v>
      </c>
      <c r="Y50" s="60" t="n">
        <v>2280</v>
      </c>
      <c r="Z50" s="42" t="n">
        <v>46</v>
      </c>
      <c r="AA50" s="60" t="n">
        <v>457.15</v>
      </c>
      <c r="AB50" s="60" t="n">
        <v>2135</v>
      </c>
      <c r="AC50" s="32" t="n">
        <v>47</v>
      </c>
      <c r="AE50" s="42" t="s">
        <v>11384</v>
      </c>
    </row>
    <row r="51" customFormat="false" ht="17.25" hidden="true" customHeight="true" outlineLevel="0" collapsed="false">
      <c r="A51" s="55" t="s">
        <v>11629</v>
      </c>
      <c r="B51" s="55" t="s">
        <v>51</v>
      </c>
      <c r="C51" s="55" t="s">
        <v>11630</v>
      </c>
      <c r="D51" s="32" t="n">
        <v>75015</v>
      </c>
      <c r="E51" s="32" t="s">
        <v>55</v>
      </c>
      <c r="F51" s="32" t="s">
        <v>11631</v>
      </c>
      <c r="G51" s="55" t="s">
        <v>11632</v>
      </c>
      <c r="H51" s="55" t="s">
        <v>11633</v>
      </c>
      <c r="I51" s="32" t="n">
        <v>3</v>
      </c>
      <c r="J51" s="32" t="n">
        <v>0</v>
      </c>
      <c r="K51" s="43" t="e">
        <f aca="false">VLOOKUP(A51,#REF!,2, )</f>
        <v>#VALUE!</v>
      </c>
      <c r="L51" s="32" t="n">
        <v>1</v>
      </c>
      <c r="M51" s="32" t="n">
        <v>1</v>
      </c>
      <c r="N51" s="32" t="n">
        <v>0</v>
      </c>
      <c r="O51" s="42" t="s">
        <v>11367</v>
      </c>
      <c r="P51" s="41"/>
      <c r="R51" s="60" t="n">
        <v>1048</v>
      </c>
      <c r="S51" s="60" t="n">
        <v>2480</v>
      </c>
      <c r="T51" s="42" t="n">
        <v>39</v>
      </c>
      <c r="U51" s="60" t="n">
        <v>334</v>
      </c>
      <c r="V51" s="60" t="n">
        <v>2251</v>
      </c>
      <c r="W51" s="42" t="n">
        <v>47</v>
      </c>
      <c r="X51" s="60" t="n">
        <v>418</v>
      </c>
      <c r="Y51" s="60" t="n">
        <v>2218</v>
      </c>
      <c r="Z51" s="42" t="n">
        <v>49</v>
      </c>
      <c r="AA51" s="60" t="n">
        <v>585.39</v>
      </c>
      <c r="AB51" s="60" t="n">
        <v>2077.65</v>
      </c>
      <c r="AC51" s="32" t="n">
        <v>48</v>
      </c>
      <c r="AD51" s="42" t="s">
        <v>11634</v>
      </c>
      <c r="AE51" s="42" t="s">
        <v>11390</v>
      </c>
    </row>
    <row r="52" customFormat="false" ht="17.25" hidden="false" customHeight="true" outlineLevel="0" collapsed="false">
      <c r="A52" s="55" t="s">
        <v>11635</v>
      </c>
      <c r="B52" s="55" t="s">
        <v>62</v>
      </c>
      <c r="C52" s="55" t="s">
        <v>11636</v>
      </c>
      <c r="D52" s="32" t="n">
        <v>75017</v>
      </c>
      <c r="E52" s="32" t="s">
        <v>55</v>
      </c>
      <c r="F52" s="32" t="s">
        <v>11637</v>
      </c>
      <c r="G52" s="55" t="s">
        <v>11638</v>
      </c>
      <c r="H52" s="55" t="s">
        <v>11639</v>
      </c>
      <c r="I52" s="32" t="n">
        <v>4</v>
      </c>
      <c r="J52" s="32" t="n">
        <v>3</v>
      </c>
      <c r="K52" s="43" t="e">
        <f aca="false">VLOOKUP(A52,#REF!,2, )</f>
        <v>#VALUE!</v>
      </c>
      <c r="L52" s="32" t="n">
        <v>1</v>
      </c>
      <c r="M52" s="32" t="n">
        <v>1</v>
      </c>
      <c r="N52" s="32" t="n">
        <v>2</v>
      </c>
      <c r="O52" s="42" t="s">
        <v>11367</v>
      </c>
      <c r="P52" s="39" t="n">
        <v>44720</v>
      </c>
      <c r="R52" s="60" t="n">
        <v>870</v>
      </c>
      <c r="S52" s="60" t="n">
        <v>1755</v>
      </c>
      <c r="T52" s="42" t="n">
        <v>80</v>
      </c>
      <c r="U52" s="60" t="n">
        <v>1093</v>
      </c>
      <c r="V52" s="60" t="n">
        <v>1918</v>
      </c>
      <c r="W52" s="42" t="n">
        <v>65</v>
      </c>
      <c r="X52" s="60" t="n">
        <v>1093</v>
      </c>
      <c r="Y52" s="60" t="n">
        <v>2532</v>
      </c>
      <c r="Z52" s="42" t="n">
        <v>37</v>
      </c>
      <c r="AA52" s="60" t="n">
        <v>1115</v>
      </c>
      <c r="AB52" s="60" t="n">
        <v>2064.9</v>
      </c>
      <c r="AC52" s="32" t="n">
        <v>49</v>
      </c>
      <c r="AD52" s="42" t="s">
        <v>11423</v>
      </c>
    </row>
    <row r="53" customFormat="false" ht="12.75" hidden="false" customHeight="true" outlineLevel="0" collapsed="false">
      <c r="A53" s="55" t="s">
        <v>11640</v>
      </c>
      <c r="B53" s="55" t="s">
        <v>99</v>
      </c>
      <c r="C53" s="55" t="s">
        <v>11641</v>
      </c>
      <c r="D53" s="32" t="n">
        <v>75015</v>
      </c>
      <c r="E53" s="32" t="s">
        <v>55</v>
      </c>
      <c r="F53" s="32" t="s">
        <v>11642</v>
      </c>
      <c r="G53" s="55" t="s">
        <v>11643</v>
      </c>
      <c r="H53" s="55" t="s">
        <v>11644</v>
      </c>
      <c r="I53" s="32" t="n">
        <v>4</v>
      </c>
      <c r="J53" s="32" t="n">
        <v>3</v>
      </c>
      <c r="K53" s="43" t="e">
        <f aca="false">VLOOKUP(A53,#REF!,2, )</f>
        <v>#VALUE!</v>
      </c>
      <c r="L53" s="32" t="n">
        <v>1</v>
      </c>
      <c r="M53" s="32" t="n">
        <v>0</v>
      </c>
      <c r="N53" s="32" t="n">
        <v>2</v>
      </c>
      <c r="O53" s="42" t="s">
        <v>11645</v>
      </c>
      <c r="P53" s="39" t="n">
        <v>45299.4166666667</v>
      </c>
      <c r="R53" s="60" t="n">
        <v>669</v>
      </c>
      <c r="S53" s="60" t="n">
        <v>2589</v>
      </c>
      <c r="T53" s="42" t="n">
        <v>33</v>
      </c>
      <c r="U53" s="60" t="n">
        <v>502</v>
      </c>
      <c r="V53" s="60" t="n">
        <v>2098</v>
      </c>
      <c r="W53" s="42" t="n">
        <v>54</v>
      </c>
      <c r="X53" s="60" t="n">
        <v>719</v>
      </c>
      <c r="Y53" s="60" t="n">
        <v>2689</v>
      </c>
      <c r="Z53" s="42" t="n">
        <v>31</v>
      </c>
      <c r="AA53" s="60" t="n">
        <v>1036.97</v>
      </c>
      <c r="AB53" s="60" t="n">
        <v>2046.57</v>
      </c>
      <c r="AC53" s="32" t="n">
        <v>50</v>
      </c>
      <c r="AD53" s="42" t="s">
        <v>11397</v>
      </c>
      <c r="AE53" s="42" t="s">
        <v>11398</v>
      </c>
    </row>
    <row r="54" customFormat="false" ht="12.75" hidden="false" customHeight="true" outlineLevel="0" collapsed="false">
      <c r="A54" s="55" t="s">
        <v>11646</v>
      </c>
      <c r="B54" s="55" t="s">
        <v>51</v>
      </c>
      <c r="C54" s="55" t="s">
        <v>11647</v>
      </c>
      <c r="D54" s="32" t="n">
        <v>75015</v>
      </c>
      <c r="E54" s="32" t="s">
        <v>55</v>
      </c>
      <c r="F54" s="32" t="s">
        <v>11648</v>
      </c>
      <c r="G54" s="55" t="s">
        <v>11649</v>
      </c>
      <c r="H54" s="55" t="s">
        <v>11650</v>
      </c>
      <c r="I54" s="32" t="n">
        <v>6</v>
      </c>
      <c r="J54" s="32" t="n">
        <v>3</v>
      </c>
      <c r="K54" s="43" t="e">
        <f aca="false">VLOOKUP(A54,#REF!,2, )</f>
        <v>#VALUE!</v>
      </c>
      <c r="L54" s="32" t="n">
        <v>1</v>
      </c>
      <c r="M54" s="32" t="n">
        <v>1</v>
      </c>
      <c r="N54" s="32" t="n">
        <v>0</v>
      </c>
      <c r="O54" s="42" t="s">
        <v>11651</v>
      </c>
      <c r="P54" s="39" t="n">
        <v>45263.4166666667</v>
      </c>
      <c r="R54" s="60" t="n">
        <v>190</v>
      </c>
      <c r="S54" s="60" t="n">
        <v>2363</v>
      </c>
      <c r="T54" s="42" t="n">
        <v>42</v>
      </c>
      <c r="U54" s="60" t="n">
        <v>357</v>
      </c>
      <c r="V54" s="60" t="n">
        <v>2169</v>
      </c>
      <c r="W54" s="42" t="n">
        <v>49</v>
      </c>
      <c r="X54" s="60" t="n">
        <v>440</v>
      </c>
      <c r="Y54" s="60" t="n">
        <v>2262</v>
      </c>
      <c r="Z54" s="42" t="n">
        <v>48</v>
      </c>
      <c r="AA54" s="60" t="n">
        <v>903.18</v>
      </c>
      <c r="AB54" s="60" t="n">
        <v>2040.7</v>
      </c>
      <c r="AC54" s="32" t="n">
        <v>51</v>
      </c>
      <c r="AD54" s="42" t="s">
        <v>11560</v>
      </c>
      <c r="AE54" s="42" t="s">
        <v>11473</v>
      </c>
    </row>
    <row r="55" customFormat="false" ht="15.75" hidden="false" customHeight="true" outlineLevel="0" collapsed="false">
      <c r="A55" s="55" t="s">
        <v>11646</v>
      </c>
      <c r="B55" s="55" t="s">
        <v>51</v>
      </c>
      <c r="C55" s="55" t="s">
        <v>11652</v>
      </c>
      <c r="D55" s="32" t="n">
        <v>75015</v>
      </c>
      <c r="E55" s="32" t="s">
        <v>55</v>
      </c>
      <c r="F55" s="32" t="s">
        <v>11653</v>
      </c>
      <c r="G55" s="55" t="s">
        <v>11654</v>
      </c>
      <c r="H55" s="55" t="s">
        <v>11655</v>
      </c>
      <c r="I55" s="32" t="n">
        <v>7</v>
      </c>
      <c r="J55" s="32" t="n">
        <v>0</v>
      </c>
      <c r="K55" s="43" t="e">
        <f aca="false">VLOOKUP(A55,#REF!,2, )</f>
        <v>#VALUE!</v>
      </c>
      <c r="L55" s="32" t="n">
        <v>1</v>
      </c>
      <c r="M55" s="32" t="n">
        <v>1</v>
      </c>
      <c r="N55" s="32" t="n">
        <v>2</v>
      </c>
      <c r="O55" s="42" t="s">
        <v>11651</v>
      </c>
      <c r="P55" s="41" t="n">
        <v>45263.4166666667</v>
      </c>
      <c r="R55" s="60" t="n">
        <v>1070</v>
      </c>
      <c r="S55" s="60" t="n">
        <v>1057</v>
      </c>
      <c r="T55" s="42" t="n">
        <v>0</v>
      </c>
      <c r="U55" s="60" t="n">
        <v>1383</v>
      </c>
      <c r="V55" s="60" t="n">
        <v>789</v>
      </c>
      <c r="W55" s="42" t="n">
        <v>0</v>
      </c>
      <c r="X55" s="60" t="n">
        <v>847</v>
      </c>
      <c r="Y55" s="60" t="n">
        <v>838</v>
      </c>
      <c r="Z55" s="42" t="n">
        <v>0</v>
      </c>
      <c r="AA55" s="60" t="n">
        <v>903.18</v>
      </c>
      <c r="AB55" s="60" t="n">
        <v>2040.7</v>
      </c>
      <c r="AC55" s="32" t="n">
        <v>51</v>
      </c>
      <c r="AD55" s="42" t="s">
        <v>11656</v>
      </c>
    </row>
    <row r="56" customFormat="false" ht="12.75" hidden="true" customHeight="true" outlineLevel="0" collapsed="false">
      <c r="A56" s="55" t="s">
        <v>11657</v>
      </c>
      <c r="B56" s="55" t="s">
        <v>435</v>
      </c>
      <c r="C56" s="55" t="s">
        <v>11658</v>
      </c>
      <c r="D56" s="32" t="n">
        <v>75016</v>
      </c>
      <c r="E56" s="32" t="s">
        <v>55</v>
      </c>
      <c r="F56" s="32" t="s">
        <v>11659</v>
      </c>
      <c r="G56" s="55" t="s">
        <v>11660</v>
      </c>
      <c r="H56" s="55" t="s">
        <v>11661</v>
      </c>
      <c r="I56" s="32" t="n">
        <v>5</v>
      </c>
      <c r="J56" s="32" t="n">
        <v>0</v>
      </c>
      <c r="K56" s="43" t="e">
        <f aca="false">VLOOKUP(A56,#REF!,2, )</f>
        <v>#VALUE!</v>
      </c>
      <c r="L56" s="32" t="n">
        <v>1</v>
      </c>
      <c r="M56" s="32" t="n">
        <v>1</v>
      </c>
      <c r="N56" s="32" t="n">
        <v>2</v>
      </c>
      <c r="O56" s="42" t="s">
        <v>11367</v>
      </c>
      <c r="P56" s="41" t="n">
        <v>44691</v>
      </c>
      <c r="R56" s="60" t="n">
        <v>647</v>
      </c>
      <c r="S56" s="60" t="n">
        <v>2044</v>
      </c>
      <c r="T56" s="42" t="n">
        <v>63</v>
      </c>
      <c r="U56" s="60" t="n">
        <v>820</v>
      </c>
      <c r="V56" s="60" t="n">
        <v>1710</v>
      </c>
      <c r="W56" s="42" t="n">
        <v>89</v>
      </c>
      <c r="X56" s="60" t="n">
        <v>847</v>
      </c>
      <c r="Y56" s="60" t="n">
        <v>1605</v>
      </c>
      <c r="Z56" s="42" t="n">
        <v>85</v>
      </c>
      <c r="AA56" s="60" t="n">
        <v>579.81</v>
      </c>
      <c r="AB56" s="60" t="n">
        <v>1983.76</v>
      </c>
      <c r="AC56" s="32" t="n">
        <v>52</v>
      </c>
      <c r="AD56" s="42" t="s">
        <v>11397</v>
      </c>
    </row>
    <row r="57" customFormat="false" ht="12.75" hidden="false" customHeight="true" outlineLevel="0" collapsed="false">
      <c r="A57" s="55" t="s">
        <v>11662</v>
      </c>
      <c r="B57" s="55" t="s">
        <v>295</v>
      </c>
      <c r="C57" s="55" t="s">
        <v>11663</v>
      </c>
      <c r="D57" s="32" t="n">
        <v>92300</v>
      </c>
      <c r="E57" s="32" t="s">
        <v>11355</v>
      </c>
      <c r="F57" s="32" t="s">
        <v>11664</v>
      </c>
      <c r="G57" s="55" t="s">
        <v>11665</v>
      </c>
      <c r="H57" s="55" t="s">
        <v>11666</v>
      </c>
      <c r="I57" s="32" t="n">
        <v>5</v>
      </c>
      <c r="J57" s="32" t="n">
        <v>3</v>
      </c>
      <c r="K57" s="43" t="e">
        <f aca="false">VLOOKUP(A57,#REF!,2, )</f>
        <v>#VALUE!</v>
      </c>
      <c r="L57" s="32" t="n">
        <v>0</v>
      </c>
      <c r="M57" s="32" t="n">
        <v>0</v>
      </c>
      <c r="N57" s="32" t="n">
        <v>0</v>
      </c>
      <c r="O57" s="42" t="s">
        <v>11667</v>
      </c>
      <c r="P57" s="39" t="n">
        <v>45340.3958333333</v>
      </c>
      <c r="R57" s="60" t="n">
        <v>1525</v>
      </c>
      <c r="S57" s="60" t="n">
        <v>2111</v>
      </c>
      <c r="T57" s="42" t="n">
        <v>52</v>
      </c>
      <c r="U57" s="60" t="n">
        <v>1525</v>
      </c>
      <c r="V57" s="60" t="n">
        <v>2111</v>
      </c>
      <c r="W57" s="42" t="n">
        <v>52</v>
      </c>
      <c r="X57" s="60" t="n">
        <v>1525</v>
      </c>
      <c r="Y57" s="60" t="n">
        <v>1711</v>
      </c>
      <c r="Z57" s="42" t="n">
        <v>79</v>
      </c>
      <c r="AA57" s="60" t="n">
        <v>992.36</v>
      </c>
      <c r="AB57" s="60" t="n">
        <v>1957.07</v>
      </c>
      <c r="AC57" s="32" t="n">
        <v>54</v>
      </c>
      <c r="AD57" s="42" t="s">
        <v>11466</v>
      </c>
      <c r="AE57" s="42" t="s">
        <v>11473</v>
      </c>
    </row>
    <row r="58" customFormat="false" ht="17.25" hidden="true" customHeight="true" outlineLevel="0" collapsed="false">
      <c r="A58" s="55" t="s">
        <v>11668</v>
      </c>
      <c r="B58" s="55" t="s">
        <v>119</v>
      </c>
      <c r="C58" s="55" t="s">
        <v>11669</v>
      </c>
      <c r="D58" s="32" t="n">
        <v>75007</v>
      </c>
      <c r="E58" s="32" t="s">
        <v>55</v>
      </c>
      <c r="F58" s="32" t="s">
        <v>11670</v>
      </c>
      <c r="G58" s="55" t="s">
        <v>11671</v>
      </c>
      <c r="H58" s="55" t="s">
        <v>11672</v>
      </c>
      <c r="I58" s="32" t="n">
        <v>3</v>
      </c>
      <c r="J58" s="32" t="n">
        <v>0</v>
      </c>
      <c r="K58" s="43" t="e">
        <f aca="false">VLOOKUP(A58,#REF!,2, )</f>
        <v>#VALUE!</v>
      </c>
      <c r="L58" s="32" t="n">
        <v>1</v>
      </c>
      <c r="M58" s="32" t="n">
        <v>0</v>
      </c>
      <c r="N58" s="32" t="n">
        <v>0</v>
      </c>
      <c r="O58" s="42" t="s">
        <v>11367</v>
      </c>
      <c r="P58" s="41"/>
      <c r="R58" s="60" t="n">
        <v>390</v>
      </c>
      <c r="S58" s="60" t="n">
        <v>1080</v>
      </c>
      <c r="T58" s="42" t="n">
        <v>0</v>
      </c>
      <c r="U58" s="60" t="n">
        <v>284</v>
      </c>
      <c r="V58" s="60" t="n">
        <v>960</v>
      </c>
      <c r="W58" s="42" t="n">
        <v>0</v>
      </c>
      <c r="X58" s="60" t="n">
        <v>301</v>
      </c>
      <c r="Y58" s="60" t="n">
        <v>1158</v>
      </c>
      <c r="Z58" s="42" t="n">
        <v>0</v>
      </c>
      <c r="AA58" s="60" t="n">
        <v>301.06</v>
      </c>
      <c r="AB58" s="60" t="n">
        <v>1955.07</v>
      </c>
      <c r="AC58" s="32" t="n">
        <v>55</v>
      </c>
      <c r="AD58" s="42" t="s">
        <v>11417</v>
      </c>
    </row>
    <row r="59" customFormat="false" ht="12.75" hidden="true" customHeight="true" outlineLevel="0" collapsed="false">
      <c r="A59" s="55" t="s">
        <v>11673</v>
      </c>
      <c r="B59" s="55" t="s">
        <v>77</v>
      </c>
      <c r="C59" s="55" t="s">
        <v>11674</v>
      </c>
      <c r="D59" s="32" t="n">
        <v>92200</v>
      </c>
      <c r="E59" s="32" t="s">
        <v>11393</v>
      </c>
      <c r="F59" s="32" t="s">
        <v>11675</v>
      </c>
      <c r="G59" s="55" t="s">
        <v>11676</v>
      </c>
      <c r="H59" s="55" t="s">
        <v>11677</v>
      </c>
      <c r="I59" s="32" t="n">
        <v>4</v>
      </c>
      <c r="J59" s="32" t="n">
        <v>0</v>
      </c>
      <c r="K59" s="43" t="e">
        <f aca="false">VLOOKUP(A59,#REF!,2, )</f>
        <v>#VALUE!</v>
      </c>
      <c r="L59" s="32" t="n">
        <v>1</v>
      </c>
      <c r="M59" s="32" t="n">
        <v>1</v>
      </c>
      <c r="N59" s="32" t="n">
        <v>0</v>
      </c>
      <c r="O59" s="42" t="s">
        <v>11367</v>
      </c>
      <c r="P59" s="41"/>
      <c r="R59" s="60" t="n">
        <v>1639</v>
      </c>
      <c r="S59" s="60" t="n">
        <v>2119</v>
      </c>
      <c r="T59" s="42" t="n">
        <v>56</v>
      </c>
      <c r="U59" s="60" t="n">
        <v>1226</v>
      </c>
      <c r="V59" s="60" t="n">
        <v>1692</v>
      </c>
      <c r="W59" s="42" t="n">
        <v>94</v>
      </c>
      <c r="X59" s="60" t="n">
        <v>1784</v>
      </c>
      <c r="Y59" s="60" t="n">
        <v>2712</v>
      </c>
      <c r="Z59" s="42" t="n">
        <v>28</v>
      </c>
      <c r="AA59" s="60" t="n">
        <v>1672.5</v>
      </c>
      <c r="AB59" s="60" t="n">
        <v>1952.12</v>
      </c>
      <c r="AC59" s="32" t="n">
        <v>56</v>
      </c>
      <c r="AD59" s="42" t="s">
        <v>11397</v>
      </c>
    </row>
    <row r="60" customFormat="false" ht="12.75" hidden="false" customHeight="true" outlineLevel="0" collapsed="false">
      <c r="A60" s="55" t="s">
        <v>11678</v>
      </c>
      <c r="B60" s="55" t="s">
        <v>77</v>
      </c>
      <c r="C60" s="55" t="s">
        <v>11679</v>
      </c>
      <c r="D60" s="32" t="n">
        <v>92200</v>
      </c>
      <c r="E60" s="32" t="s">
        <v>11393</v>
      </c>
      <c r="F60" s="32" t="s">
        <v>11680</v>
      </c>
      <c r="G60" s="55" t="s">
        <v>11681</v>
      </c>
      <c r="H60" s="55" t="s">
        <v>11682</v>
      </c>
      <c r="I60" s="32" t="n">
        <v>5</v>
      </c>
      <c r="J60" s="32" t="n">
        <v>3</v>
      </c>
      <c r="K60" s="43" t="e">
        <f aca="false">VLOOKUP(A60,#REF!,2, )</f>
        <v>#VALUE!</v>
      </c>
      <c r="L60" s="32" t="n">
        <v>1</v>
      </c>
      <c r="M60" s="32" t="n">
        <v>1</v>
      </c>
      <c r="N60" s="32" t="n">
        <v>0</v>
      </c>
      <c r="O60" s="42" t="s">
        <v>11367</v>
      </c>
      <c r="R60" s="60" t="n">
        <v>1405</v>
      </c>
      <c r="S60" s="60" t="n">
        <v>1984</v>
      </c>
      <c r="T60" s="42" t="n">
        <v>68</v>
      </c>
      <c r="U60" s="60" t="n">
        <v>1349</v>
      </c>
      <c r="V60" s="60" t="n">
        <v>2060</v>
      </c>
      <c r="W60" s="42" t="n">
        <v>58</v>
      </c>
      <c r="X60" s="60" t="n">
        <v>1098</v>
      </c>
      <c r="Y60" s="60" t="n">
        <v>1956</v>
      </c>
      <c r="Z60" s="42" t="n">
        <v>60</v>
      </c>
      <c r="AA60" s="60" t="n">
        <v>434.96</v>
      </c>
      <c r="AB60" s="60" t="n">
        <v>1932.56</v>
      </c>
      <c r="AC60" s="32" t="n">
        <v>57</v>
      </c>
      <c r="AD60" s="42" t="s">
        <v>11683</v>
      </c>
      <c r="AE60" s="42" t="s">
        <v>11513</v>
      </c>
    </row>
    <row r="61" customFormat="false" ht="12.75" hidden="false" customHeight="true" outlineLevel="0" collapsed="false">
      <c r="A61" s="55" t="s">
        <v>11684</v>
      </c>
      <c r="B61" s="55" t="s">
        <v>51</v>
      </c>
      <c r="C61" s="55" t="s">
        <v>562</v>
      </c>
      <c r="D61" s="32" t="n">
        <v>75015</v>
      </c>
      <c r="E61" s="32" t="s">
        <v>55</v>
      </c>
      <c r="F61" s="32" t="s">
        <v>11685</v>
      </c>
      <c r="G61" s="55" t="s">
        <v>11686</v>
      </c>
      <c r="H61" s="55" t="s">
        <v>11687</v>
      </c>
      <c r="I61" s="32" t="n">
        <v>4</v>
      </c>
      <c r="J61" s="32" t="n">
        <v>3</v>
      </c>
      <c r="K61" s="43" t="e">
        <f aca="false">VLOOKUP(A61,#REF!,2, )</f>
        <v>#VALUE!</v>
      </c>
      <c r="L61" s="32" t="n">
        <v>1</v>
      </c>
      <c r="M61" s="32" t="n">
        <v>1</v>
      </c>
      <c r="N61" s="32" t="n">
        <v>0</v>
      </c>
      <c r="O61" s="42" t="s">
        <v>11688</v>
      </c>
      <c r="P61" s="39" t="n">
        <v>45257.4166666667</v>
      </c>
      <c r="R61" s="60" t="n">
        <v>1004</v>
      </c>
      <c r="S61" s="60" t="n">
        <v>3326</v>
      </c>
      <c r="T61" s="42" t="n">
        <v>17</v>
      </c>
      <c r="U61" s="60" t="n">
        <v>914</v>
      </c>
      <c r="V61" s="60" t="n">
        <v>2084</v>
      </c>
      <c r="W61" s="42" t="n">
        <v>55</v>
      </c>
      <c r="X61" s="60" t="n">
        <v>914</v>
      </c>
      <c r="Y61" s="60" t="n">
        <v>1901</v>
      </c>
      <c r="Z61" s="42" t="n">
        <v>64</v>
      </c>
      <c r="AA61" s="60" t="n">
        <v>797.24</v>
      </c>
      <c r="AB61" s="60" t="n">
        <v>1904.15</v>
      </c>
      <c r="AC61" s="32" t="n">
        <v>58</v>
      </c>
      <c r="AE61" s="42" t="s">
        <v>11390</v>
      </c>
    </row>
    <row r="62" customFormat="false" ht="17.25" hidden="true" customHeight="true" outlineLevel="0" collapsed="false">
      <c r="A62" s="55" t="s">
        <v>11689</v>
      </c>
      <c r="B62" s="55" t="s">
        <v>572</v>
      </c>
      <c r="C62" s="55" t="s">
        <v>11690</v>
      </c>
      <c r="D62" s="32" t="n">
        <v>75008</v>
      </c>
      <c r="E62" s="32" t="s">
        <v>55</v>
      </c>
      <c r="F62" s="32" t="s">
        <v>11691</v>
      </c>
      <c r="G62" s="55" t="s">
        <v>11692</v>
      </c>
      <c r="H62" s="55" t="s">
        <v>11693</v>
      </c>
      <c r="I62" s="32" t="n">
        <v>5</v>
      </c>
      <c r="J62" s="32" t="n">
        <v>0</v>
      </c>
      <c r="K62" s="43" t="e">
        <f aca="false">VLOOKUP(A62,#REF!,2, )</f>
        <v>#VALUE!</v>
      </c>
      <c r="L62" s="32" t="n">
        <v>1</v>
      </c>
      <c r="M62" s="32" t="n">
        <v>0</v>
      </c>
      <c r="N62" s="32" t="n">
        <v>0</v>
      </c>
      <c r="O62" s="42" t="s">
        <v>11367</v>
      </c>
      <c r="P62" s="41"/>
      <c r="R62" s="60" t="n">
        <v>379</v>
      </c>
      <c r="S62" s="60" t="n">
        <v>1891</v>
      </c>
      <c r="T62" s="42" t="n">
        <v>73</v>
      </c>
      <c r="U62" s="60" t="n">
        <v>273</v>
      </c>
      <c r="V62" s="60" t="n">
        <v>1591</v>
      </c>
      <c r="W62" s="42" t="n">
        <v>102</v>
      </c>
      <c r="X62" s="60" t="n">
        <v>84</v>
      </c>
      <c r="Y62" s="60" t="n">
        <v>1629</v>
      </c>
      <c r="Z62" s="42" t="n">
        <v>84</v>
      </c>
      <c r="AA62" s="60" t="n">
        <v>384.69</v>
      </c>
      <c r="AB62" s="60" t="n">
        <v>1898.03</v>
      </c>
      <c r="AC62" s="32" t="n">
        <v>59</v>
      </c>
      <c r="AD62" s="42" t="s">
        <v>11397</v>
      </c>
      <c r="AE62" s="42" t="s">
        <v>11601</v>
      </c>
    </row>
    <row r="63" customFormat="false" ht="17.25" hidden="true" customHeight="true" outlineLevel="0" collapsed="false">
      <c r="A63" s="55" t="s">
        <v>11694</v>
      </c>
      <c r="B63" s="55" t="s">
        <v>572</v>
      </c>
      <c r="C63" s="55" t="s">
        <v>11695</v>
      </c>
      <c r="D63" s="32" t="n">
        <v>75008</v>
      </c>
      <c r="E63" s="32" t="s">
        <v>55</v>
      </c>
      <c r="F63" s="32" t="s">
        <v>11696</v>
      </c>
      <c r="G63" s="55" t="s">
        <v>11697</v>
      </c>
      <c r="H63" s="55" t="s">
        <v>11698</v>
      </c>
      <c r="I63" s="32" t="n">
        <v>2</v>
      </c>
      <c r="J63" s="32" t="n">
        <v>0</v>
      </c>
      <c r="K63" s="43" t="e">
        <f aca="false">VLOOKUP(A63,#REF!,2, )</f>
        <v>#VALUE!</v>
      </c>
      <c r="L63" s="32" t="n">
        <v>1</v>
      </c>
      <c r="M63" s="32" t="n">
        <v>0</v>
      </c>
      <c r="N63" s="32" t="n">
        <v>0</v>
      </c>
      <c r="O63" s="42" t="s">
        <v>11367</v>
      </c>
      <c r="P63" s="41"/>
      <c r="R63" s="60" t="n">
        <v>513</v>
      </c>
      <c r="S63" s="60" t="n">
        <v>1664</v>
      </c>
      <c r="T63" s="42" t="n">
        <v>92</v>
      </c>
      <c r="U63" s="60" t="n">
        <v>624</v>
      </c>
      <c r="V63" s="60" t="n">
        <v>1433</v>
      </c>
      <c r="W63" s="42" t="n">
        <v>118</v>
      </c>
      <c r="X63" s="60" t="n">
        <v>842</v>
      </c>
      <c r="Y63" s="60" t="n">
        <v>1580</v>
      </c>
      <c r="Z63" s="42" t="n">
        <v>90</v>
      </c>
      <c r="AA63" s="60" t="n">
        <v>1014.67</v>
      </c>
      <c r="AB63" s="60" t="n">
        <v>1897.26</v>
      </c>
      <c r="AC63" s="32" t="n">
        <v>60</v>
      </c>
      <c r="AE63" s="42" t="s">
        <v>11473</v>
      </c>
    </row>
    <row r="64" customFormat="false" ht="17.25" hidden="true" customHeight="true" outlineLevel="0" collapsed="false">
      <c r="A64" s="55" t="s">
        <v>11699</v>
      </c>
      <c r="B64" s="55" t="s">
        <v>62</v>
      </c>
      <c r="C64" s="55" t="s">
        <v>11700</v>
      </c>
      <c r="D64" s="32" t="n">
        <v>75017</v>
      </c>
      <c r="E64" s="32" t="s">
        <v>55</v>
      </c>
      <c r="F64" s="32" t="s">
        <v>11701</v>
      </c>
      <c r="G64" s="55" t="s">
        <v>11702</v>
      </c>
      <c r="H64" s="55" t="s">
        <v>11703</v>
      </c>
      <c r="I64" s="32" t="n">
        <v>4</v>
      </c>
      <c r="J64" s="32" t="n">
        <v>0</v>
      </c>
      <c r="K64" s="43" t="e">
        <f aca="false">VLOOKUP(A64,#REF!,2, )</f>
        <v>#VALUE!</v>
      </c>
      <c r="L64" s="32" t="n">
        <v>1</v>
      </c>
      <c r="M64" s="32" t="n">
        <v>1</v>
      </c>
      <c r="N64" s="32" t="n">
        <v>0</v>
      </c>
      <c r="O64" s="42" t="s">
        <v>11367</v>
      </c>
      <c r="P64" s="41"/>
      <c r="R64" s="60" t="n">
        <v>1600</v>
      </c>
      <c r="S64" s="60" t="n">
        <v>1489</v>
      </c>
      <c r="T64" s="42" t="n">
        <v>107</v>
      </c>
      <c r="U64" s="60" t="n">
        <v>1104</v>
      </c>
      <c r="V64" s="60" t="n">
        <v>1674</v>
      </c>
      <c r="W64" s="42" t="n">
        <v>98</v>
      </c>
      <c r="X64" s="60" t="n">
        <v>987</v>
      </c>
      <c r="Y64" s="60" t="n">
        <v>1476</v>
      </c>
      <c r="Z64" s="42" t="n">
        <v>104</v>
      </c>
      <c r="AA64" s="60" t="n">
        <v>1087.15</v>
      </c>
      <c r="AB64" s="60" t="n">
        <v>1895.53</v>
      </c>
      <c r="AC64" s="32" t="n">
        <v>61</v>
      </c>
      <c r="AD64" s="42" t="s">
        <v>11397</v>
      </c>
      <c r="AE64" s="42" t="s">
        <v>11704</v>
      </c>
    </row>
    <row r="65" customFormat="false" ht="17.25" hidden="true" customHeight="true" outlineLevel="0" collapsed="false">
      <c r="A65" s="55" t="s">
        <v>11705</v>
      </c>
      <c r="B65" s="55" t="s">
        <v>62</v>
      </c>
      <c r="C65" s="55" t="s">
        <v>11706</v>
      </c>
      <c r="D65" s="32" t="n">
        <v>75017</v>
      </c>
      <c r="E65" s="32" t="s">
        <v>55</v>
      </c>
      <c r="F65" s="32" t="s">
        <v>11707</v>
      </c>
      <c r="G65" s="55" t="s">
        <v>11708</v>
      </c>
      <c r="H65" s="55" t="s">
        <v>11709</v>
      </c>
      <c r="I65" s="32" t="n">
        <v>6</v>
      </c>
      <c r="J65" s="32" t="n">
        <v>0</v>
      </c>
      <c r="K65" s="43" t="e">
        <f aca="false">VLOOKUP(A65,#REF!,2, )</f>
        <v>#VALUE!</v>
      </c>
      <c r="L65" s="32" t="n">
        <v>1</v>
      </c>
      <c r="M65" s="32" t="n">
        <v>1</v>
      </c>
      <c r="N65" s="32" t="n">
        <v>0</v>
      </c>
      <c r="O65" s="42" t="s">
        <v>11367</v>
      </c>
      <c r="P65" s="41"/>
      <c r="R65" s="60" t="n">
        <v>379</v>
      </c>
      <c r="S65" s="60" t="n">
        <v>1735</v>
      </c>
      <c r="T65" s="42" t="n">
        <v>83</v>
      </c>
      <c r="U65" s="60" t="n">
        <v>597</v>
      </c>
      <c r="V65" s="60" t="n">
        <v>1771</v>
      </c>
      <c r="W65" s="42" t="n">
        <v>82</v>
      </c>
      <c r="X65" s="60" t="n">
        <v>407</v>
      </c>
      <c r="Y65" s="60" t="n">
        <v>1078</v>
      </c>
      <c r="Z65" s="42" t="n">
        <v>0</v>
      </c>
      <c r="AA65" s="60" t="n">
        <v>384.69</v>
      </c>
      <c r="AB65" s="60" t="n">
        <v>1893.02</v>
      </c>
      <c r="AC65" s="32" t="n">
        <v>62</v>
      </c>
      <c r="AD65" s="42" t="s">
        <v>11423</v>
      </c>
    </row>
    <row r="66" customFormat="false" ht="12.75" hidden="false" customHeight="true" outlineLevel="0" collapsed="false">
      <c r="A66" s="55" t="s">
        <v>11710</v>
      </c>
      <c r="B66" s="55" t="s">
        <v>62</v>
      </c>
      <c r="C66" s="55" t="s">
        <v>11711</v>
      </c>
      <c r="D66" s="32" t="n">
        <v>75017</v>
      </c>
      <c r="E66" s="32" t="s">
        <v>55</v>
      </c>
      <c r="F66" s="32" t="s">
        <v>11712</v>
      </c>
      <c r="G66" s="55" t="s">
        <v>11713</v>
      </c>
      <c r="H66" s="55" t="s">
        <v>11714</v>
      </c>
      <c r="I66" s="32" t="n">
        <v>6</v>
      </c>
      <c r="J66" s="32" t="n">
        <v>3</v>
      </c>
      <c r="K66" s="43" t="e">
        <f aca="false">VLOOKUP(A66,#REF!,2, )</f>
        <v>#VALUE!</v>
      </c>
      <c r="L66" s="32" t="n">
        <v>1</v>
      </c>
      <c r="M66" s="32" t="n">
        <v>1</v>
      </c>
      <c r="N66" s="32" t="n">
        <v>2</v>
      </c>
      <c r="O66" s="42" t="s">
        <v>11367</v>
      </c>
      <c r="P66" s="39" t="n">
        <v>44712</v>
      </c>
      <c r="R66" s="60" t="n">
        <v>1109</v>
      </c>
      <c r="S66" s="60" t="n">
        <v>2206</v>
      </c>
      <c r="T66" s="42" t="n">
        <v>53</v>
      </c>
      <c r="U66" s="60" t="n">
        <v>1104</v>
      </c>
      <c r="V66" s="60" t="n">
        <v>2106</v>
      </c>
      <c r="W66" s="42" t="n">
        <v>53</v>
      </c>
      <c r="X66" s="60" t="n">
        <v>987</v>
      </c>
      <c r="Y66" s="60" t="n">
        <v>2074</v>
      </c>
      <c r="Z66" s="42" t="n">
        <v>54</v>
      </c>
      <c r="AA66" s="60" t="n">
        <v>869.72</v>
      </c>
      <c r="AB66" s="60" t="n">
        <v>1892.47</v>
      </c>
      <c r="AC66" s="32" t="n">
        <v>63</v>
      </c>
      <c r="AD66" s="42" t="s">
        <v>11375</v>
      </c>
      <c r="AE66" s="42" t="s">
        <v>11473</v>
      </c>
    </row>
    <row r="67" customFormat="false" ht="17.25" hidden="false" customHeight="true" outlineLevel="0" collapsed="false">
      <c r="A67" s="55" t="s">
        <v>11715</v>
      </c>
      <c r="B67" s="55" t="s">
        <v>572</v>
      </c>
      <c r="C67" s="55" t="s">
        <v>10827</v>
      </c>
      <c r="D67" s="32" t="n">
        <v>75008</v>
      </c>
      <c r="E67" s="32" t="s">
        <v>55</v>
      </c>
      <c r="F67" s="32" t="s">
        <v>11716</v>
      </c>
      <c r="G67" s="55" t="s">
        <v>11717</v>
      </c>
      <c r="H67" s="55" t="s">
        <v>11718</v>
      </c>
      <c r="I67" s="32" t="n">
        <v>3</v>
      </c>
      <c r="J67" s="32" t="n">
        <v>3</v>
      </c>
      <c r="K67" s="43" t="e">
        <f aca="false">VLOOKUP(A67,#REF!,2, )</f>
        <v>#VALUE!</v>
      </c>
      <c r="L67" s="32" t="n">
        <v>1</v>
      </c>
      <c r="M67" s="32" t="n">
        <v>0</v>
      </c>
      <c r="N67" s="32" t="n">
        <v>0</v>
      </c>
      <c r="O67" s="42" t="s">
        <v>11719</v>
      </c>
      <c r="P67" s="39" t="n">
        <v>45341.3958333333</v>
      </c>
      <c r="R67" s="60" t="n">
        <v>624</v>
      </c>
      <c r="S67" s="60" t="n">
        <v>1875</v>
      </c>
      <c r="T67" s="42" t="n">
        <v>75</v>
      </c>
      <c r="U67" s="60" t="n">
        <v>624</v>
      </c>
      <c r="V67" s="60" t="n">
        <v>1892</v>
      </c>
      <c r="W67" s="42" t="n">
        <v>69</v>
      </c>
      <c r="X67" s="60" t="n">
        <v>624</v>
      </c>
      <c r="Y67" s="60" t="n">
        <v>1713</v>
      </c>
      <c r="Z67" s="42" t="n">
        <v>78</v>
      </c>
      <c r="AA67" s="60" t="n">
        <v>434.86</v>
      </c>
      <c r="AB67" s="60" t="n">
        <v>1861.14</v>
      </c>
      <c r="AC67" s="32" t="n">
        <v>64</v>
      </c>
      <c r="AE67" s="42" t="s">
        <v>11384</v>
      </c>
    </row>
    <row r="68" customFormat="false" ht="12.75" hidden="false" customHeight="true" outlineLevel="0" collapsed="false">
      <c r="A68" s="55" t="s">
        <v>11720</v>
      </c>
      <c r="B68" s="55" t="s">
        <v>295</v>
      </c>
      <c r="C68" s="55" t="s">
        <v>11721</v>
      </c>
      <c r="D68" s="32" t="n">
        <v>92300</v>
      </c>
      <c r="E68" s="32" t="s">
        <v>11355</v>
      </c>
      <c r="F68" s="32" t="s">
        <v>11722</v>
      </c>
      <c r="G68" s="55" t="s">
        <v>11723</v>
      </c>
      <c r="H68" s="55" t="s">
        <v>11724</v>
      </c>
      <c r="I68" s="32" t="n">
        <v>4</v>
      </c>
      <c r="J68" s="32" t="n">
        <v>3</v>
      </c>
      <c r="K68" s="43" t="e">
        <f aca="false">VLOOKUP(A68,#REF!,2, )</f>
        <v>#VALUE!</v>
      </c>
      <c r="L68" s="32" t="n">
        <v>1</v>
      </c>
      <c r="M68" s="32" t="n">
        <v>1</v>
      </c>
      <c r="N68" s="32" t="n">
        <v>0</v>
      </c>
      <c r="O68" s="42" t="s">
        <v>11367</v>
      </c>
      <c r="R68" s="60" t="n">
        <v>836</v>
      </c>
      <c r="S68" s="60" t="n">
        <v>2570</v>
      </c>
      <c r="T68" s="42" t="n">
        <v>35</v>
      </c>
      <c r="U68" s="60" t="n">
        <v>669</v>
      </c>
      <c r="V68" s="60" t="n">
        <v>2463</v>
      </c>
      <c r="W68" s="42" t="n">
        <v>35</v>
      </c>
      <c r="Y68" s="60" t="n">
        <v>2770</v>
      </c>
      <c r="Z68" s="42" t="n">
        <v>24</v>
      </c>
      <c r="AA68" s="60" t="n">
        <v>217.43</v>
      </c>
      <c r="AB68" s="60" t="n">
        <v>1847.99</v>
      </c>
      <c r="AC68" s="32" t="n">
        <v>65</v>
      </c>
      <c r="AD68" s="42" t="s">
        <v>11397</v>
      </c>
    </row>
    <row r="69" customFormat="false" ht="12.75" hidden="true" customHeight="true" outlineLevel="0" collapsed="false">
      <c r="A69" s="55" t="s">
        <v>11725</v>
      </c>
      <c r="B69" s="55" t="s">
        <v>173</v>
      </c>
      <c r="C69" s="55" t="s">
        <v>2949</v>
      </c>
      <c r="D69" s="32" t="n">
        <v>75116</v>
      </c>
      <c r="E69" s="32" t="s">
        <v>55</v>
      </c>
      <c r="F69" s="32" t="s">
        <v>11726</v>
      </c>
      <c r="G69" s="55" t="s">
        <v>11727</v>
      </c>
      <c r="H69" s="55" t="s">
        <v>11728</v>
      </c>
      <c r="I69" s="32" t="n">
        <v>5</v>
      </c>
      <c r="J69" s="32" t="n">
        <v>0</v>
      </c>
      <c r="K69" s="43" t="e">
        <f aca="false">VLOOKUP(A69,#REF!,2, )</f>
        <v>#VALUE!</v>
      </c>
      <c r="L69" s="32" t="n">
        <v>0</v>
      </c>
      <c r="M69" s="32" t="n">
        <v>0</v>
      </c>
      <c r="N69" s="32" t="n">
        <v>0</v>
      </c>
      <c r="O69" s="42" t="s">
        <v>11367</v>
      </c>
      <c r="P69" s="41"/>
      <c r="S69" s="60" t="n">
        <v>872</v>
      </c>
      <c r="T69" s="42" t="n">
        <v>0</v>
      </c>
      <c r="U69" s="60" t="n">
        <v>217</v>
      </c>
      <c r="V69" s="60" t="n">
        <v>713</v>
      </c>
      <c r="W69" s="42" t="n">
        <v>0</v>
      </c>
      <c r="X69" s="60" t="n">
        <v>518</v>
      </c>
      <c r="Y69" s="60" t="n">
        <v>1525</v>
      </c>
      <c r="Z69" s="42" t="n">
        <v>95</v>
      </c>
      <c r="AA69" s="60" t="n">
        <v>735.92</v>
      </c>
      <c r="AB69" s="60" t="n">
        <v>1818.29</v>
      </c>
      <c r="AC69" s="32" t="n">
        <v>66</v>
      </c>
      <c r="AD69" s="42" t="s">
        <v>11360</v>
      </c>
    </row>
    <row r="70" customFormat="false" ht="12.75" hidden="true" customHeight="true" outlineLevel="0" collapsed="false">
      <c r="A70" s="55" t="s">
        <v>11729</v>
      </c>
      <c r="B70" s="55" t="s">
        <v>62</v>
      </c>
      <c r="C70" s="55" t="s">
        <v>11730</v>
      </c>
      <c r="D70" s="32" t="n">
        <v>75017</v>
      </c>
      <c r="E70" s="32" t="s">
        <v>55</v>
      </c>
      <c r="F70" s="32" t="s">
        <v>11731</v>
      </c>
      <c r="G70" s="55" t="s">
        <v>11732</v>
      </c>
      <c r="H70" s="55" t="s">
        <v>11733</v>
      </c>
      <c r="I70" s="32" t="n">
        <v>6</v>
      </c>
      <c r="J70" s="32" t="n">
        <v>0</v>
      </c>
      <c r="K70" s="43" t="e">
        <f aca="false">VLOOKUP(A70,#REF!,2, )</f>
        <v>#VALUE!</v>
      </c>
      <c r="L70" s="32" t="n">
        <v>1</v>
      </c>
      <c r="M70" s="32" t="n">
        <v>0</v>
      </c>
      <c r="N70" s="32" t="n">
        <v>0</v>
      </c>
      <c r="O70" s="42" t="s">
        <v>11367</v>
      </c>
      <c r="P70" s="41"/>
      <c r="R70" s="60" t="n">
        <v>379</v>
      </c>
      <c r="S70" s="60" t="n">
        <v>2202</v>
      </c>
      <c r="T70" s="42" t="n">
        <v>54</v>
      </c>
      <c r="U70" s="60" t="n">
        <v>435</v>
      </c>
      <c r="V70" s="60" t="n">
        <v>1137</v>
      </c>
      <c r="W70" s="42" t="n">
        <v>0</v>
      </c>
      <c r="X70" s="60" t="n">
        <v>435</v>
      </c>
      <c r="Y70" s="60" t="n">
        <v>1474</v>
      </c>
      <c r="Z70" s="42" t="n">
        <v>106</v>
      </c>
      <c r="AA70" s="60" t="n">
        <v>652.29</v>
      </c>
      <c r="AB70" s="60" t="n">
        <v>1809.73</v>
      </c>
      <c r="AC70" s="32" t="n">
        <v>67</v>
      </c>
      <c r="AD70" s="42" t="s">
        <v>11423</v>
      </c>
    </row>
    <row r="71" customFormat="false" ht="12.75" hidden="true" customHeight="true" outlineLevel="0" collapsed="false">
      <c r="A71" s="55" t="s">
        <v>11734</v>
      </c>
      <c r="B71" s="55" t="s">
        <v>233</v>
      </c>
      <c r="C71" s="55" t="s">
        <v>11735</v>
      </c>
      <c r="D71" s="32" t="n">
        <v>75015</v>
      </c>
      <c r="E71" s="32" t="s">
        <v>55</v>
      </c>
      <c r="F71" s="32" t="s">
        <v>11736</v>
      </c>
      <c r="G71" s="55" t="s">
        <v>11737</v>
      </c>
      <c r="H71" s="55" t="s">
        <v>11738</v>
      </c>
      <c r="I71" s="32" t="n">
        <v>4</v>
      </c>
      <c r="J71" s="32" t="n">
        <v>0</v>
      </c>
      <c r="K71" s="43" t="e">
        <f aca="false">VLOOKUP(A71,#REF!,2, )</f>
        <v>#VALUE!</v>
      </c>
      <c r="L71" s="32" t="n">
        <v>1</v>
      </c>
      <c r="M71" s="32" t="n">
        <v>0</v>
      </c>
      <c r="N71" s="32" t="n">
        <v>2</v>
      </c>
      <c r="O71" s="42" t="s">
        <v>11367</v>
      </c>
      <c r="P71" s="41" t="n">
        <v>44719</v>
      </c>
      <c r="R71" s="60" t="n">
        <v>479</v>
      </c>
      <c r="S71" s="60" t="n">
        <v>1727</v>
      </c>
      <c r="T71" s="42" t="n">
        <v>84</v>
      </c>
      <c r="U71" s="60" t="n">
        <v>658</v>
      </c>
      <c r="V71" s="60" t="n">
        <v>873</v>
      </c>
      <c r="W71" s="42" t="n">
        <v>0</v>
      </c>
      <c r="X71" s="60" t="n">
        <v>780</v>
      </c>
      <c r="Y71" s="60" t="n">
        <v>1537</v>
      </c>
      <c r="Z71" s="42" t="n">
        <v>93</v>
      </c>
      <c r="AA71" s="60" t="n">
        <v>919.88</v>
      </c>
      <c r="AB71" s="60" t="n">
        <v>1808.41</v>
      </c>
      <c r="AC71" s="32" t="n">
        <v>68</v>
      </c>
      <c r="AD71" s="42" t="s">
        <v>11397</v>
      </c>
    </row>
    <row r="72" customFormat="false" ht="17.25" hidden="true" customHeight="true" outlineLevel="0" collapsed="false">
      <c r="A72" s="55" t="s">
        <v>11739</v>
      </c>
      <c r="B72" s="55" t="s">
        <v>173</v>
      </c>
      <c r="C72" s="55" t="s">
        <v>11740</v>
      </c>
      <c r="D72" s="32" t="n">
        <v>75008</v>
      </c>
      <c r="E72" s="32" t="s">
        <v>55</v>
      </c>
      <c r="F72" s="32" t="s">
        <v>11741</v>
      </c>
      <c r="G72" s="55" t="s">
        <v>11742</v>
      </c>
      <c r="H72" s="55" t="s">
        <v>11743</v>
      </c>
      <c r="I72" s="32" t="n">
        <v>4</v>
      </c>
      <c r="J72" s="32" t="n">
        <v>0</v>
      </c>
      <c r="K72" s="43" t="e">
        <f aca="false">VLOOKUP(A72,#REF!,2, )</f>
        <v>#VALUE!</v>
      </c>
      <c r="L72" s="32" t="n">
        <v>1</v>
      </c>
      <c r="M72" s="32" t="n">
        <v>0</v>
      </c>
      <c r="N72" s="32" t="n">
        <v>0</v>
      </c>
      <c r="O72" s="42" t="s">
        <v>11367</v>
      </c>
      <c r="P72" s="41"/>
      <c r="R72" s="60" t="n">
        <v>514</v>
      </c>
      <c r="S72" s="60" t="n">
        <v>1540</v>
      </c>
      <c r="T72" s="42" t="n">
        <v>103</v>
      </c>
      <c r="U72" s="60" t="n">
        <v>546</v>
      </c>
      <c r="V72" s="60" t="n">
        <v>1605</v>
      </c>
      <c r="W72" s="42" t="n">
        <v>101</v>
      </c>
      <c r="X72" s="60" t="n">
        <v>505</v>
      </c>
      <c r="Y72" s="60" t="n">
        <v>1603</v>
      </c>
      <c r="Z72" s="42" t="n">
        <v>86</v>
      </c>
      <c r="AA72" s="60" t="n">
        <v>448.91</v>
      </c>
      <c r="AB72" s="60" t="n">
        <v>1797.39</v>
      </c>
      <c r="AC72" s="32" t="n">
        <v>69</v>
      </c>
      <c r="AE72" s="42" t="s">
        <v>11384</v>
      </c>
    </row>
    <row r="73" customFormat="false" ht="12.75" hidden="true" customHeight="true" outlineLevel="0" collapsed="false">
      <c r="A73" s="55" t="s">
        <v>11744</v>
      </c>
      <c r="B73" s="55" t="s">
        <v>99</v>
      </c>
      <c r="C73" s="55" t="s">
        <v>11745</v>
      </c>
      <c r="D73" s="32" t="n">
        <v>75015</v>
      </c>
      <c r="E73" s="32" t="s">
        <v>55</v>
      </c>
      <c r="F73" s="32" t="s">
        <v>11746</v>
      </c>
      <c r="G73" s="55" t="s">
        <v>11747</v>
      </c>
      <c r="H73" s="55" t="s">
        <v>11748</v>
      </c>
      <c r="I73" s="32" t="n">
        <v>7</v>
      </c>
      <c r="J73" s="32" t="n">
        <v>0</v>
      </c>
      <c r="K73" s="43" t="e">
        <f aca="false">VLOOKUP(A73,#REF!,2, )</f>
        <v>#VALUE!</v>
      </c>
      <c r="L73" s="32" t="n">
        <v>1</v>
      </c>
      <c r="M73" s="32" t="n">
        <v>0</v>
      </c>
      <c r="N73" s="32" t="n">
        <v>2</v>
      </c>
      <c r="O73" s="42" t="s">
        <v>11367</v>
      </c>
      <c r="P73" s="41" t="n">
        <v>44719</v>
      </c>
      <c r="R73" s="60" t="n">
        <v>1004</v>
      </c>
      <c r="S73" s="60" t="n">
        <v>1710</v>
      </c>
      <c r="T73" s="42" t="n">
        <v>86</v>
      </c>
      <c r="U73" s="60" t="n">
        <v>1661</v>
      </c>
      <c r="V73" s="60" t="n">
        <v>1485</v>
      </c>
      <c r="W73" s="42" t="n">
        <v>113</v>
      </c>
      <c r="X73" s="60" t="n">
        <v>1327</v>
      </c>
      <c r="Y73" s="60" t="n">
        <v>1587</v>
      </c>
      <c r="Z73" s="42" t="n">
        <v>88</v>
      </c>
      <c r="AA73" s="60" t="n">
        <v>1549.85</v>
      </c>
      <c r="AB73" s="60" t="n">
        <v>1793.67</v>
      </c>
      <c r="AC73" s="32" t="n">
        <v>70</v>
      </c>
      <c r="AE73" s="42" t="s">
        <v>11473</v>
      </c>
    </row>
    <row r="74" customFormat="false" ht="15.75" hidden="true" customHeight="true" outlineLevel="0" collapsed="false">
      <c r="A74" s="55" t="s">
        <v>11749</v>
      </c>
      <c r="B74" s="55" t="s">
        <v>77</v>
      </c>
      <c r="C74" s="55" t="s">
        <v>11750</v>
      </c>
      <c r="D74" s="32" t="n">
        <v>92200</v>
      </c>
      <c r="E74" s="32" t="s">
        <v>11393</v>
      </c>
      <c r="F74" s="32" t="s">
        <v>11751</v>
      </c>
      <c r="G74" s="55" t="s">
        <v>11752</v>
      </c>
      <c r="H74" s="55" t="s">
        <v>11753</v>
      </c>
      <c r="I74" s="32" t="n">
        <v>6</v>
      </c>
      <c r="J74" s="32" t="n">
        <v>0</v>
      </c>
      <c r="K74" s="43" t="e">
        <f aca="false">VLOOKUP(A74,#REF!,2, )</f>
        <v>#VALUE!</v>
      </c>
      <c r="L74" s="32" t="n">
        <v>1</v>
      </c>
      <c r="M74" s="32" t="n">
        <v>1</v>
      </c>
      <c r="N74" s="32" t="n">
        <v>0</v>
      </c>
      <c r="O74" s="42" t="s">
        <v>11367</v>
      </c>
      <c r="P74" s="41"/>
      <c r="R74" s="60" t="n">
        <v>959</v>
      </c>
      <c r="S74" s="60" t="n">
        <v>1199</v>
      </c>
      <c r="T74" s="42" t="n">
        <v>0</v>
      </c>
      <c r="U74" s="60" t="n">
        <v>1226</v>
      </c>
      <c r="V74" s="60" t="n">
        <v>1774</v>
      </c>
      <c r="W74" s="42" t="n">
        <v>81</v>
      </c>
      <c r="X74" s="60" t="n">
        <v>1226</v>
      </c>
      <c r="Y74" s="60" t="n">
        <v>1550</v>
      </c>
      <c r="Z74" s="42" t="n">
        <v>92</v>
      </c>
      <c r="AA74" s="60" t="n">
        <v>557.5</v>
      </c>
      <c r="AB74" s="60" t="n">
        <v>1790.27</v>
      </c>
      <c r="AC74" s="32" t="n">
        <v>71</v>
      </c>
      <c r="AE74" s="42" t="s">
        <v>11384</v>
      </c>
    </row>
    <row r="75" customFormat="false" ht="17.25" hidden="true" customHeight="true" outlineLevel="0" collapsed="false">
      <c r="A75" s="55" t="s">
        <v>11754</v>
      </c>
      <c r="B75" s="55" t="s">
        <v>197</v>
      </c>
      <c r="C75" s="55" t="s">
        <v>11755</v>
      </c>
      <c r="D75" s="32" t="n">
        <v>75017</v>
      </c>
      <c r="E75" s="32" t="s">
        <v>55</v>
      </c>
      <c r="F75" s="32" t="s">
        <v>11756</v>
      </c>
      <c r="G75" s="55" t="s">
        <v>11757</v>
      </c>
      <c r="H75" s="55" t="s">
        <v>11758</v>
      </c>
      <c r="I75" s="32" t="n">
        <v>4</v>
      </c>
      <c r="J75" s="32" t="n">
        <v>3</v>
      </c>
      <c r="K75" s="43" t="e">
        <f aca="false">VLOOKUP(A75,#REF!,2, )</f>
        <v>#VALUE!</v>
      </c>
      <c r="L75" s="32" t="n">
        <v>1</v>
      </c>
      <c r="M75" s="32" t="n">
        <v>1</v>
      </c>
      <c r="N75" s="32" t="n">
        <v>0</v>
      </c>
      <c r="O75" s="42" t="s">
        <v>11367</v>
      </c>
      <c r="R75" s="60" t="n">
        <v>870</v>
      </c>
      <c r="S75" s="60" t="n">
        <v>1289</v>
      </c>
      <c r="T75" s="42" t="n">
        <v>0</v>
      </c>
      <c r="U75" s="60" t="n">
        <v>1093</v>
      </c>
      <c r="V75" s="60" t="n">
        <v>2047</v>
      </c>
      <c r="W75" s="42" t="n">
        <v>60</v>
      </c>
      <c r="X75" s="60" t="n">
        <v>1093</v>
      </c>
      <c r="Y75" s="60" t="n">
        <v>1463</v>
      </c>
      <c r="Z75" s="42" t="n">
        <v>107</v>
      </c>
      <c r="AA75" s="60" t="n">
        <v>1115</v>
      </c>
      <c r="AB75" s="60" t="n">
        <v>1775.33</v>
      </c>
      <c r="AC75" s="32" t="n">
        <v>72</v>
      </c>
      <c r="AD75" s="42" t="s">
        <v>11759</v>
      </c>
      <c r="AE75" s="42" t="s">
        <v>11513</v>
      </c>
    </row>
    <row r="76" customFormat="false" ht="17.25" hidden="true" customHeight="true" outlineLevel="0" collapsed="false">
      <c r="A76" s="55" t="s">
        <v>11760</v>
      </c>
      <c r="B76" s="55" t="s">
        <v>572</v>
      </c>
      <c r="C76" s="55" t="s">
        <v>11761</v>
      </c>
      <c r="D76" s="32" t="n">
        <v>75008</v>
      </c>
      <c r="E76" s="32" t="s">
        <v>55</v>
      </c>
      <c r="F76" s="32" t="s">
        <v>11762</v>
      </c>
      <c r="G76" s="55" t="s">
        <v>11763</v>
      </c>
      <c r="H76" s="55" t="s">
        <v>11764</v>
      </c>
      <c r="I76" s="32" t="n">
        <v>3</v>
      </c>
      <c r="J76" s="32" t="n">
        <v>0</v>
      </c>
      <c r="K76" s="43" t="e">
        <f aca="false">VLOOKUP(A76,#REF!,2, )</f>
        <v>#VALUE!</v>
      </c>
      <c r="L76" s="32" t="n">
        <v>1</v>
      </c>
      <c r="M76" s="32" t="n">
        <v>0</v>
      </c>
      <c r="N76" s="32" t="n">
        <v>0</v>
      </c>
      <c r="O76" s="42" t="s">
        <v>11367</v>
      </c>
      <c r="P76" s="41"/>
      <c r="R76" s="60" t="n">
        <v>379</v>
      </c>
      <c r="S76" s="60" t="n">
        <v>1956</v>
      </c>
      <c r="T76" s="42" t="n">
        <v>70</v>
      </c>
      <c r="U76" s="60" t="n">
        <v>597</v>
      </c>
      <c r="V76" s="60" t="n">
        <v>1704</v>
      </c>
      <c r="W76" s="42" t="n">
        <v>92</v>
      </c>
      <c r="X76" s="60" t="n">
        <v>385</v>
      </c>
      <c r="Y76" s="60" t="n">
        <v>1364</v>
      </c>
      <c r="Z76" s="42" t="n">
        <v>118</v>
      </c>
      <c r="AA76" s="60" t="n">
        <v>468.31</v>
      </c>
      <c r="AB76" s="60" t="n">
        <v>1738.42</v>
      </c>
      <c r="AC76" s="32" t="n">
        <v>73</v>
      </c>
      <c r="AE76" s="42" t="s">
        <v>11384</v>
      </c>
    </row>
    <row r="77" customFormat="false" ht="12.75" hidden="true" customHeight="true" outlineLevel="0" collapsed="false">
      <c r="A77" s="55" t="s">
        <v>11765</v>
      </c>
      <c r="B77" s="55" t="s">
        <v>119</v>
      </c>
      <c r="C77" s="55" t="s">
        <v>11766</v>
      </c>
      <c r="D77" s="32" t="n">
        <v>75006</v>
      </c>
      <c r="E77" s="32" t="s">
        <v>55</v>
      </c>
      <c r="F77" s="32" t="s">
        <v>11767</v>
      </c>
      <c r="G77" s="55" t="s">
        <v>11768</v>
      </c>
      <c r="H77" s="55" t="s">
        <v>11769</v>
      </c>
      <c r="I77" s="32" t="n">
        <v>4</v>
      </c>
      <c r="J77" s="32" t="n">
        <v>0</v>
      </c>
      <c r="K77" s="43" t="e">
        <f aca="false">VLOOKUP(A77,#REF!,2, )</f>
        <v>#VALUE!</v>
      </c>
      <c r="L77" s="32" t="n">
        <v>1</v>
      </c>
      <c r="M77" s="32" t="n">
        <v>1</v>
      </c>
      <c r="N77" s="32" t="n">
        <v>2</v>
      </c>
      <c r="O77" s="42" t="s">
        <v>11367</v>
      </c>
      <c r="P77" s="41" t="n">
        <v>44719</v>
      </c>
      <c r="R77" s="60" t="n">
        <v>847</v>
      </c>
      <c r="S77" s="60" t="n">
        <v>1307</v>
      </c>
      <c r="T77" s="42" t="n">
        <v>0</v>
      </c>
      <c r="U77" s="60" t="n">
        <v>479</v>
      </c>
      <c r="V77" s="60" t="n">
        <v>1150</v>
      </c>
      <c r="W77" s="42" t="n">
        <v>0</v>
      </c>
      <c r="X77" s="60" t="n">
        <v>563</v>
      </c>
      <c r="Y77" s="60" t="n">
        <v>867</v>
      </c>
      <c r="Z77" s="42" t="n">
        <v>0</v>
      </c>
      <c r="AA77" s="60" t="n">
        <v>468.31</v>
      </c>
      <c r="AB77" s="60" t="n">
        <v>1729.3</v>
      </c>
      <c r="AC77" s="32" t="n">
        <v>74</v>
      </c>
      <c r="AD77" s="42" t="s">
        <v>11759</v>
      </c>
      <c r="AE77" s="42" t="s">
        <v>11513</v>
      </c>
    </row>
    <row r="78" customFormat="false" ht="12.75" hidden="true" customHeight="true" outlineLevel="0" collapsed="false">
      <c r="A78" s="55" t="s">
        <v>11770</v>
      </c>
      <c r="B78" s="55" t="s">
        <v>62</v>
      </c>
      <c r="C78" s="55" t="s">
        <v>11771</v>
      </c>
      <c r="D78" s="32" t="n">
        <v>75017</v>
      </c>
      <c r="E78" s="32" t="s">
        <v>55</v>
      </c>
      <c r="F78" s="32" t="s">
        <v>11772</v>
      </c>
      <c r="G78" s="55" t="s">
        <v>11773</v>
      </c>
      <c r="H78" s="55" t="s">
        <v>11774</v>
      </c>
      <c r="I78" s="32" t="n">
        <v>5</v>
      </c>
      <c r="J78" s="32" t="n">
        <v>0</v>
      </c>
      <c r="K78" s="43" t="e">
        <f aca="false">VLOOKUP(A78,#REF!,2, )</f>
        <v>#VALUE!</v>
      </c>
      <c r="L78" s="32" t="n">
        <v>1</v>
      </c>
      <c r="M78" s="32" t="n">
        <v>1</v>
      </c>
      <c r="N78" s="32" t="n">
        <v>2</v>
      </c>
      <c r="O78" s="42" t="s">
        <v>11775</v>
      </c>
      <c r="P78" s="41" t="n">
        <v>45236.625</v>
      </c>
      <c r="R78" s="60" t="n">
        <v>859</v>
      </c>
      <c r="S78" s="60" t="n">
        <v>2176</v>
      </c>
      <c r="T78" s="42" t="n">
        <v>55</v>
      </c>
      <c r="U78" s="60" t="n">
        <v>741</v>
      </c>
      <c r="V78" s="60" t="n">
        <v>1749</v>
      </c>
      <c r="W78" s="42" t="n">
        <v>85</v>
      </c>
      <c r="X78" s="60" t="n">
        <v>580</v>
      </c>
      <c r="Y78" s="60" t="n">
        <v>1980</v>
      </c>
      <c r="Z78" s="42" t="n">
        <v>59</v>
      </c>
      <c r="AA78" s="60" t="n">
        <v>869.72</v>
      </c>
      <c r="AB78" s="60" t="n">
        <v>1723.3</v>
      </c>
      <c r="AC78" s="32" t="n">
        <v>75</v>
      </c>
      <c r="AD78" s="42" t="s">
        <v>11417</v>
      </c>
    </row>
    <row r="79" customFormat="false" ht="12.75" hidden="true" customHeight="true" outlineLevel="0" collapsed="false">
      <c r="A79" s="55" t="s">
        <v>11776</v>
      </c>
      <c r="B79" s="55" t="s">
        <v>435</v>
      </c>
      <c r="C79" s="55" t="s">
        <v>11777</v>
      </c>
      <c r="D79" s="32" t="n">
        <v>75116</v>
      </c>
      <c r="E79" s="32" t="s">
        <v>55</v>
      </c>
      <c r="F79" s="32" t="s">
        <v>11778</v>
      </c>
      <c r="G79" s="55" t="s">
        <v>11779</v>
      </c>
      <c r="H79" s="55" t="s">
        <v>11780</v>
      </c>
      <c r="I79" s="32" t="n">
        <v>5</v>
      </c>
      <c r="J79" s="32" t="n">
        <v>0</v>
      </c>
      <c r="K79" s="43" t="e">
        <f aca="false">VLOOKUP(A79,#REF!,2, )</f>
        <v>#VALUE!</v>
      </c>
      <c r="L79" s="32" t="n">
        <v>1</v>
      </c>
      <c r="M79" s="32" t="n">
        <v>0</v>
      </c>
      <c r="N79" s="32" t="n">
        <v>0</v>
      </c>
      <c r="O79" s="42" t="s">
        <v>11367</v>
      </c>
      <c r="P79" s="41"/>
      <c r="S79" s="60" t="n">
        <v>2034</v>
      </c>
      <c r="T79" s="42" t="n">
        <v>64</v>
      </c>
      <c r="V79" s="60" t="n">
        <v>3025</v>
      </c>
      <c r="W79" s="42" t="n">
        <v>18</v>
      </c>
      <c r="Y79" s="60" t="n">
        <v>2926</v>
      </c>
      <c r="Z79" s="42" t="n">
        <v>21</v>
      </c>
      <c r="AA79" s="60" t="n">
        <v>0</v>
      </c>
      <c r="AB79" s="60" t="n">
        <v>1715.04</v>
      </c>
      <c r="AC79" s="32" t="n">
        <v>76</v>
      </c>
      <c r="AD79" s="42" t="s">
        <v>11781</v>
      </c>
    </row>
    <row r="80" customFormat="false" ht="12.75" hidden="true" customHeight="true" outlineLevel="0" collapsed="false">
      <c r="A80" s="55" t="s">
        <v>11782</v>
      </c>
      <c r="B80" s="55" t="s">
        <v>62</v>
      </c>
      <c r="C80" s="55" t="s">
        <v>11783</v>
      </c>
      <c r="D80" s="32" t="n">
        <v>75017</v>
      </c>
      <c r="E80" s="32" t="s">
        <v>55</v>
      </c>
      <c r="F80" s="32" t="s">
        <v>11784</v>
      </c>
      <c r="G80" s="55" t="s">
        <v>11785</v>
      </c>
      <c r="H80" s="55" t="s">
        <v>11786</v>
      </c>
      <c r="I80" s="32" t="n">
        <v>7</v>
      </c>
      <c r="J80" s="32" t="n">
        <v>0</v>
      </c>
      <c r="K80" s="43" t="e">
        <f aca="false">VLOOKUP(A80,#REF!,2, )</f>
        <v>#VALUE!</v>
      </c>
      <c r="L80" s="32" t="n">
        <v>1</v>
      </c>
      <c r="M80" s="32" t="n">
        <v>0</v>
      </c>
      <c r="N80" s="32" t="n">
        <v>0</v>
      </c>
      <c r="O80" s="42" t="s">
        <v>11367</v>
      </c>
      <c r="P80" s="41"/>
      <c r="S80" s="60" t="n">
        <v>428</v>
      </c>
      <c r="T80" s="42" t="n">
        <v>0</v>
      </c>
      <c r="U80" s="60" t="n">
        <v>167</v>
      </c>
      <c r="V80" s="60" t="n">
        <v>830</v>
      </c>
      <c r="W80" s="42" t="n">
        <v>0</v>
      </c>
      <c r="X80" s="60" t="n">
        <v>251</v>
      </c>
      <c r="Y80" s="60" t="n">
        <v>880</v>
      </c>
      <c r="Z80" s="42" t="n">
        <v>0</v>
      </c>
      <c r="AA80" s="60" t="n">
        <v>758.22</v>
      </c>
      <c r="AB80" s="60" t="n">
        <v>1692.09</v>
      </c>
      <c r="AC80" s="32" t="n">
        <v>77</v>
      </c>
      <c r="AD80" s="42" t="s">
        <v>11472</v>
      </c>
      <c r="AE80" s="42" t="s">
        <v>11384</v>
      </c>
    </row>
    <row r="81" customFormat="false" ht="12.75" hidden="true" customHeight="true" outlineLevel="0" collapsed="false">
      <c r="A81" s="55" t="s">
        <v>11787</v>
      </c>
      <c r="B81" s="55" t="s">
        <v>387</v>
      </c>
      <c r="C81" s="55" t="s">
        <v>11788</v>
      </c>
      <c r="D81" s="32" t="n">
        <v>75016</v>
      </c>
      <c r="E81" s="32" t="s">
        <v>55</v>
      </c>
      <c r="F81" s="32" t="s">
        <v>11789</v>
      </c>
      <c r="G81" s="55" t="s">
        <v>11790</v>
      </c>
      <c r="H81" s="55" t="s">
        <v>11791</v>
      </c>
      <c r="I81" s="32" t="n">
        <v>5</v>
      </c>
      <c r="J81" s="32" t="n">
        <v>0</v>
      </c>
      <c r="K81" s="43" t="e">
        <f aca="false">VLOOKUP(A81,#REF!,2, )</f>
        <v>#VALUE!</v>
      </c>
      <c r="L81" s="32" t="n">
        <v>1</v>
      </c>
      <c r="M81" s="32" t="n">
        <v>1</v>
      </c>
      <c r="N81" s="32" t="n">
        <v>0</v>
      </c>
      <c r="O81" s="42" t="s">
        <v>11367</v>
      </c>
      <c r="P81" s="41"/>
      <c r="R81" s="60" t="n">
        <v>1185</v>
      </c>
      <c r="S81" s="60" t="n">
        <v>1437</v>
      </c>
      <c r="T81" s="42" t="n">
        <v>111</v>
      </c>
      <c r="U81" s="60" t="n">
        <v>1612</v>
      </c>
      <c r="V81" s="60" t="n">
        <v>1717</v>
      </c>
      <c r="W81" s="42" t="n">
        <v>88</v>
      </c>
      <c r="X81" s="60" t="n">
        <v>1416</v>
      </c>
      <c r="Y81" s="60" t="n">
        <v>1770</v>
      </c>
      <c r="Z81" s="42" t="n">
        <v>73</v>
      </c>
      <c r="AA81" s="60" t="n">
        <v>925.46</v>
      </c>
      <c r="AB81" s="60" t="n">
        <v>1674.73</v>
      </c>
      <c r="AC81" s="32" t="n">
        <v>78</v>
      </c>
      <c r="AD81" s="42" t="s">
        <v>11792</v>
      </c>
      <c r="AE81" s="42" t="s">
        <v>11473</v>
      </c>
    </row>
    <row r="82" customFormat="false" ht="12.75" hidden="true" customHeight="true" outlineLevel="0" collapsed="false">
      <c r="A82" s="55" t="s">
        <v>11793</v>
      </c>
      <c r="B82" s="55" t="s">
        <v>51</v>
      </c>
      <c r="C82" s="55" t="s">
        <v>11794</v>
      </c>
      <c r="D82" s="32" t="n">
        <v>75015</v>
      </c>
      <c r="E82" s="32" t="s">
        <v>55</v>
      </c>
      <c r="F82" s="32" t="s">
        <v>11795</v>
      </c>
      <c r="G82" s="55" t="s">
        <v>11796</v>
      </c>
      <c r="H82" s="55" t="s">
        <v>11797</v>
      </c>
      <c r="I82" s="32" t="n">
        <v>8</v>
      </c>
      <c r="J82" s="32" t="n">
        <v>0</v>
      </c>
      <c r="K82" s="43" t="e">
        <f aca="false">VLOOKUP(A82,#REF!,2, )</f>
        <v>#VALUE!</v>
      </c>
      <c r="L82" s="32" t="n">
        <v>1</v>
      </c>
      <c r="M82" s="32" t="n">
        <v>1</v>
      </c>
      <c r="N82" s="32" t="n">
        <v>0</v>
      </c>
      <c r="O82" s="42" t="s">
        <v>11367</v>
      </c>
      <c r="P82" s="41"/>
      <c r="R82" s="60" t="n">
        <v>1004</v>
      </c>
      <c r="S82" s="60" t="n">
        <v>1486</v>
      </c>
      <c r="T82" s="42" t="n">
        <v>109</v>
      </c>
      <c r="U82" s="60" t="n">
        <v>1126</v>
      </c>
      <c r="V82" s="60" t="n">
        <v>1689</v>
      </c>
      <c r="W82" s="42" t="n">
        <v>95</v>
      </c>
      <c r="X82" s="60" t="n">
        <v>1009</v>
      </c>
      <c r="Y82" s="60" t="n">
        <v>1582</v>
      </c>
      <c r="Z82" s="42" t="n">
        <v>89</v>
      </c>
      <c r="AA82" s="60" t="n">
        <v>1109.44</v>
      </c>
      <c r="AB82" s="60" t="n">
        <v>1665.19</v>
      </c>
      <c r="AC82" s="32" t="n">
        <v>79</v>
      </c>
      <c r="AD82" s="42" t="s">
        <v>11466</v>
      </c>
      <c r="AE82" s="42" t="s">
        <v>11513</v>
      </c>
    </row>
    <row r="83" customFormat="false" ht="17.25" hidden="true" customHeight="true" outlineLevel="0" collapsed="false">
      <c r="A83" s="55" t="s">
        <v>11798</v>
      </c>
      <c r="B83" s="55" t="s">
        <v>173</v>
      </c>
      <c r="C83" s="55" t="s">
        <v>11799</v>
      </c>
      <c r="D83" s="32" t="n">
        <v>75116</v>
      </c>
      <c r="E83" s="32" t="s">
        <v>55</v>
      </c>
      <c r="F83" s="32" t="s">
        <v>11800</v>
      </c>
      <c r="G83" s="55" t="s">
        <v>11801</v>
      </c>
      <c r="H83" s="55" t="s">
        <v>11802</v>
      </c>
      <c r="I83" s="32" t="n">
        <v>5</v>
      </c>
      <c r="J83" s="32" t="n">
        <v>0</v>
      </c>
      <c r="K83" s="43" t="e">
        <f aca="false">VLOOKUP(A83,#REF!,2, )</f>
        <v>#VALUE!</v>
      </c>
      <c r="L83" s="32" t="n">
        <v>1</v>
      </c>
      <c r="M83" s="32" t="n">
        <v>1</v>
      </c>
      <c r="N83" s="32" t="n">
        <v>2</v>
      </c>
      <c r="O83" s="42" t="s">
        <v>11367</v>
      </c>
      <c r="P83" s="41" t="n">
        <v>44670</v>
      </c>
      <c r="R83" s="60" t="n">
        <v>758</v>
      </c>
      <c r="S83" s="60" t="n">
        <v>1411</v>
      </c>
      <c r="T83" s="42" t="n">
        <v>112</v>
      </c>
      <c r="U83" s="60" t="n">
        <v>714</v>
      </c>
      <c r="V83" s="60" t="n">
        <v>1096</v>
      </c>
      <c r="W83" s="42" t="n">
        <v>0</v>
      </c>
      <c r="X83" s="60" t="n">
        <v>524</v>
      </c>
      <c r="Y83" s="60" t="n">
        <v>990</v>
      </c>
      <c r="Z83" s="42" t="n">
        <v>0</v>
      </c>
      <c r="AA83" s="60" t="n">
        <v>334.52</v>
      </c>
      <c r="AB83" s="60" t="n">
        <v>1663.08</v>
      </c>
      <c r="AC83" s="32" t="n">
        <v>80</v>
      </c>
    </row>
    <row r="84" customFormat="false" ht="24.75" hidden="false" customHeight="true" outlineLevel="0" collapsed="false">
      <c r="A84" s="55" t="s">
        <v>11803</v>
      </c>
      <c r="B84" s="55" t="s">
        <v>387</v>
      </c>
      <c r="C84" s="55" t="s">
        <v>11804</v>
      </c>
      <c r="D84" s="32" t="n">
        <v>75016</v>
      </c>
      <c r="E84" s="32" t="s">
        <v>55</v>
      </c>
      <c r="F84" s="32" t="s">
        <v>11805</v>
      </c>
      <c r="G84" s="55" t="s">
        <v>11806</v>
      </c>
      <c r="H84" s="55" t="s">
        <v>11807</v>
      </c>
      <c r="I84" s="32" t="n">
        <v>6</v>
      </c>
      <c r="J84" s="32" t="n">
        <v>3</v>
      </c>
      <c r="K84" s="43" t="e">
        <f aca="false">VLOOKUP(A84,#REF!,2, )</f>
        <v>#VALUE!</v>
      </c>
      <c r="L84" s="32" t="n">
        <v>1</v>
      </c>
      <c r="M84" s="32" t="n">
        <v>1</v>
      </c>
      <c r="N84" s="32" t="n">
        <v>0</v>
      </c>
      <c r="O84" s="42" t="s">
        <v>11367</v>
      </c>
      <c r="R84" s="60" t="n">
        <v>1015</v>
      </c>
      <c r="S84" s="60" t="n">
        <v>2090</v>
      </c>
      <c r="T84" s="42" t="n">
        <v>57</v>
      </c>
      <c r="U84" s="60" t="n">
        <v>1450</v>
      </c>
      <c r="V84" s="60" t="n">
        <v>1965</v>
      </c>
      <c r="W84" s="42" t="n">
        <v>63</v>
      </c>
      <c r="X84" s="60" t="n">
        <v>1132</v>
      </c>
      <c r="Y84" s="60" t="n">
        <v>1811</v>
      </c>
      <c r="Z84" s="42" t="n">
        <v>67</v>
      </c>
      <c r="AA84" s="60" t="n">
        <v>1644.64</v>
      </c>
      <c r="AB84" s="60" t="n">
        <v>1662</v>
      </c>
      <c r="AC84" s="32" t="n">
        <v>81</v>
      </c>
      <c r="AD84" s="42" t="s">
        <v>11397</v>
      </c>
    </row>
    <row r="85" customFormat="false" ht="12.75" hidden="true" customHeight="true" outlineLevel="0" collapsed="false">
      <c r="A85" s="55" t="s">
        <v>11808</v>
      </c>
      <c r="B85" s="55" t="s">
        <v>173</v>
      </c>
      <c r="C85" s="55" t="s">
        <v>11809</v>
      </c>
      <c r="D85" s="32" t="n">
        <v>75116</v>
      </c>
      <c r="E85" s="32" t="s">
        <v>55</v>
      </c>
      <c r="F85" s="32" t="s">
        <v>11810</v>
      </c>
      <c r="G85" s="55" t="s">
        <v>11811</v>
      </c>
      <c r="H85" s="55" t="s">
        <v>11812</v>
      </c>
      <c r="I85" s="32" t="n">
        <v>5</v>
      </c>
      <c r="J85" s="32" t="n">
        <v>0</v>
      </c>
      <c r="K85" s="43" t="e">
        <f aca="false">VLOOKUP(A85,#REF!,2, )</f>
        <v>#VALUE!</v>
      </c>
      <c r="L85" s="32" t="n">
        <v>1</v>
      </c>
      <c r="M85" s="32" t="n">
        <v>0</v>
      </c>
      <c r="N85" s="32" t="n">
        <v>0</v>
      </c>
      <c r="O85" s="42" t="s">
        <v>11367</v>
      </c>
      <c r="P85" s="41"/>
      <c r="R85" s="60" t="n">
        <v>1176</v>
      </c>
      <c r="S85" s="60" t="n">
        <v>1571</v>
      </c>
      <c r="T85" s="42" t="n">
        <v>97</v>
      </c>
      <c r="U85" s="60" t="n">
        <v>1277</v>
      </c>
      <c r="V85" s="60" t="n">
        <v>1383</v>
      </c>
      <c r="W85" s="42" t="n">
        <v>0</v>
      </c>
      <c r="X85" s="60" t="n">
        <v>1160</v>
      </c>
      <c r="Y85" s="60" t="n">
        <v>1509</v>
      </c>
      <c r="Z85" s="42" t="n">
        <v>97</v>
      </c>
      <c r="AA85" s="60" t="n">
        <v>1087.15</v>
      </c>
      <c r="AB85" s="60" t="n">
        <v>1647.17</v>
      </c>
      <c r="AC85" s="32" t="n">
        <v>82</v>
      </c>
      <c r="AE85" s="42" t="s">
        <v>11384</v>
      </c>
    </row>
    <row r="86" customFormat="false" ht="17.25" hidden="false" customHeight="true" outlineLevel="0" collapsed="false">
      <c r="A86" s="55" t="s">
        <v>11813</v>
      </c>
      <c r="B86" s="55" t="s">
        <v>197</v>
      </c>
      <c r="C86" s="55" t="s">
        <v>11814</v>
      </c>
      <c r="D86" s="32" t="n">
        <v>75017</v>
      </c>
      <c r="E86" s="32" t="s">
        <v>55</v>
      </c>
      <c r="F86" s="32" t="s">
        <v>11815</v>
      </c>
      <c r="G86" s="55" t="s">
        <v>11816</v>
      </c>
      <c r="H86" s="55" t="s">
        <v>11817</v>
      </c>
      <c r="I86" s="32" t="n">
        <v>5</v>
      </c>
      <c r="J86" s="32" t="n">
        <v>3</v>
      </c>
      <c r="K86" s="43" t="e">
        <f aca="false">VLOOKUP(A86,#REF!,2, )</f>
        <v>#VALUE!</v>
      </c>
      <c r="L86" s="32" t="n">
        <v>1</v>
      </c>
      <c r="M86" s="32" t="n">
        <v>0</v>
      </c>
      <c r="N86" s="32" t="n">
        <v>0</v>
      </c>
      <c r="O86" s="42" t="s">
        <v>11367</v>
      </c>
      <c r="R86" s="60" t="n">
        <v>84</v>
      </c>
      <c r="S86" s="60" t="n">
        <v>2361</v>
      </c>
      <c r="T86" s="42" t="n">
        <v>43</v>
      </c>
      <c r="U86" s="60" t="n">
        <v>167</v>
      </c>
      <c r="V86" s="60" t="n">
        <v>2270</v>
      </c>
      <c r="W86" s="42" t="n">
        <v>45</v>
      </c>
      <c r="X86" s="60" t="n">
        <v>167</v>
      </c>
      <c r="Y86" s="60" t="n">
        <v>2122</v>
      </c>
      <c r="Z86" s="42" t="n">
        <v>53</v>
      </c>
      <c r="AA86" s="60" t="n">
        <v>83.63</v>
      </c>
      <c r="AB86" s="60" t="n">
        <v>1636.62</v>
      </c>
      <c r="AC86" s="32" t="n">
        <v>83</v>
      </c>
      <c r="AE86" s="42" t="s">
        <v>11513</v>
      </c>
    </row>
    <row r="87" customFormat="false" ht="17.25" hidden="true" customHeight="true" outlineLevel="0" collapsed="false">
      <c r="A87" s="55" t="s">
        <v>11818</v>
      </c>
      <c r="B87" s="55" t="s">
        <v>99</v>
      </c>
      <c r="C87" s="55" t="s">
        <v>11819</v>
      </c>
      <c r="D87" s="32" t="n">
        <v>75015</v>
      </c>
      <c r="E87" s="32" t="s">
        <v>55</v>
      </c>
      <c r="F87" s="32" t="s">
        <v>11820</v>
      </c>
      <c r="G87" s="55" t="s">
        <v>11821</v>
      </c>
      <c r="H87" s="55" t="s">
        <v>11822</v>
      </c>
      <c r="I87" s="32" t="n">
        <v>7</v>
      </c>
      <c r="J87" s="32" t="n">
        <v>0</v>
      </c>
      <c r="K87" s="43" t="e">
        <f aca="false">VLOOKUP(A87,#REF!,2, )</f>
        <v>#VALUE!</v>
      </c>
      <c r="L87" s="32" t="n">
        <v>1</v>
      </c>
      <c r="M87" s="32" t="n">
        <v>0</v>
      </c>
      <c r="N87" s="32" t="n">
        <v>0</v>
      </c>
      <c r="O87" s="42" t="s">
        <v>11367</v>
      </c>
      <c r="P87" s="41"/>
      <c r="R87" s="60" t="n">
        <v>1466</v>
      </c>
      <c r="S87" s="60" t="n">
        <v>1386</v>
      </c>
      <c r="T87" s="42" t="n">
        <v>114</v>
      </c>
      <c r="U87" s="60" t="n">
        <v>853</v>
      </c>
      <c r="V87" s="60" t="n">
        <v>1552</v>
      </c>
      <c r="W87" s="42" t="n">
        <v>109</v>
      </c>
      <c r="X87" s="60" t="n">
        <v>808</v>
      </c>
      <c r="Y87" s="60" t="n">
        <v>1314</v>
      </c>
      <c r="Z87" s="42" t="n">
        <v>0</v>
      </c>
      <c r="AA87" s="60" t="n">
        <v>1232.09</v>
      </c>
      <c r="AB87" s="60" t="n">
        <v>1631.95</v>
      </c>
      <c r="AC87" s="32" t="n">
        <v>84</v>
      </c>
      <c r="AD87" s="42" t="s">
        <v>11360</v>
      </c>
      <c r="AE87" s="42" t="s">
        <v>11473</v>
      </c>
    </row>
    <row r="88" customFormat="false" ht="17.25" hidden="false" customHeight="true" outlineLevel="0" collapsed="false">
      <c r="A88" s="55" t="s">
        <v>11823</v>
      </c>
      <c r="B88" s="55" t="s">
        <v>173</v>
      </c>
      <c r="C88" s="55" t="s">
        <v>11824</v>
      </c>
      <c r="D88" s="32" t="n">
        <v>75116</v>
      </c>
      <c r="E88" s="32" t="s">
        <v>55</v>
      </c>
      <c r="F88" s="32" t="s">
        <v>11825</v>
      </c>
      <c r="G88" s="55" t="s">
        <v>11826</v>
      </c>
      <c r="H88" s="55" t="s">
        <v>11827</v>
      </c>
      <c r="I88" s="32" t="n">
        <v>7</v>
      </c>
      <c r="J88" s="32" t="n">
        <v>3</v>
      </c>
      <c r="K88" s="43" t="e">
        <f aca="false">VLOOKUP(A88,#REF!,2, )</f>
        <v>#VALUE!</v>
      </c>
      <c r="L88" s="32" t="n">
        <v>1</v>
      </c>
      <c r="M88" s="32" t="n">
        <v>0</v>
      </c>
      <c r="N88" s="32" t="n">
        <v>0</v>
      </c>
      <c r="O88" s="42" t="s">
        <v>11367</v>
      </c>
      <c r="R88" s="60" t="n">
        <v>379</v>
      </c>
      <c r="S88" s="60" t="n">
        <v>2055</v>
      </c>
      <c r="T88" s="42" t="n">
        <v>59</v>
      </c>
      <c r="U88" s="60" t="n">
        <v>379</v>
      </c>
      <c r="V88" s="60" t="n">
        <v>2061</v>
      </c>
      <c r="W88" s="42" t="n">
        <v>57</v>
      </c>
      <c r="X88" s="60" t="n">
        <v>190</v>
      </c>
      <c r="Y88" s="60" t="n">
        <v>2019</v>
      </c>
      <c r="Z88" s="42" t="n">
        <v>56</v>
      </c>
      <c r="AA88" s="60" t="n">
        <v>0</v>
      </c>
      <c r="AB88" s="60" t="n">
        <v>1629.24</v>
      </c>
      <c r="AC88" s="32" t="n">
        <v>85</v>
      </c>
      <c r="AD88" s="42" t="s">
        <v>11375</v>
      </c>
      <c r="AE88" s="42" t="s">
        <v>11513</v>
      </c>
    </row>
    <row r="89" customFormat="false" ht="12.75" hidden="false" customHeight="true" outlineLevel="0" collapsed="false">
      <c r="A89" s="55" t="s">
        <v>11828</v>
      </c>
      <c r="B89" s="55" t="s">
        <v>173</v>
      </c>
      <c r="C89" s="55" t="s">
        <v>11829</v>
      </c>
      <c r="D89" s="32" t="n">
        <v>75116</v>
      </c>
      <c r="E89" s="32" t="s">
        <v>55</v>
      </c>
      <c r="F89" s="32" t="s">
        <v>11830</v>
      </c>
      <c r="G89" s="55" t="s">
        <v>11831</v>
      </c>
      <c r="H89" s="55" t="s">
        <v>11832</v>
      </c>
      <c r="I89" s="32" t="n">
        <v>4</v>
      </c>
      <c r="J89" s="32" t="n">
        <v>3</v>
      </c>
      <c r="K89" s="43" t="e">
        <f aca="false">VLOOKUP(A89,#REF!,2, )</f>
        <v>#VALUE!</v>
      </c>
      <c r="L89" s="32" t="n">
        <v>1</v>
      </c>
      <c r="M89" s="32" t="n">
        <v>0</v>
      </c>
      <c r="N89" s="32" t="n">
        <v>0</v>
      </c>
      <c r="O89" s="42" t="s">
        <v>11833</v>
      </c>
      <c r="P89" s="39" t="n">
        <v>45308.6666666667</v>
      </c>
      <c r="R89" s="60" t="n">
        <v>714</v>
      </c>
      <c r="S89" s="60" t="n">
        <v>1698</v>
      </c>
      <c r="T89" s="42" t="n">
        <v>88</v>
      </c>
      <c r="U89" s="60" t="n">
        <v>524</v>
      </c>
      <c r="V89" s="60" t="n">
        <v>1857</v>
      </c>
      <c r="W89" s="42" t="n">
        <v>73</v>
      </c>
      <c r="X89" s="60" t="n">
        <v>418</v>
      </c>
      <c r="Y89" s="60" t="n">
        <v>1503</v>
      </c>
      <c r="Z89" s="42" t="n">
        <v>99</v>
      </c>
      <c r="AA89" s="60" t="n">
        <v>384.69</v>
      </c>
      <c r="AB89" s="60" t="n">
        <v>1611.08</v>
      </c>
      <c r="AC89" s="32" t="n">
        <v>86</v>
      </c>
      <c r="AD89" s="42" t="s">
        <v>11501</v>
      </c>
      <c r="AE89" s="42" t="s">
        <v>11513</v>
      </c>
    </row>
    <row r="90" customFormat="false" ht="15.75" hidden="false" customHeight="true" outlineLevel="0" collapsed="false">
      <c r="A90" s="68" t="s">
        <v>11834</v>
      </c>
      <c r="B90" s="69" t="s">
        <v>295</v>
      </c>
      <c r="C90" s="68" t="s">
        <v>11835</v>
      </c>
      <c r="D90" s="70" t="n">
        <v>92300</v>
      </c>
      <c r="E90" s="70" t="s">
        <v>11355</v>
      </c>
      <c r="F90" s="70" t="s">
        <v>11836</v>
      </c>
      <c r="G90" s="68" t="s">
        <v>11837</v>
      </c>
      <c r="H90" s="68" t="s">
        <v>11838</v>
      </c>
      <c r="I90" s="32" t="n">
        <v>7</v>
      </c>
      <c r="J90" s="32" t="n">
        <v>3</v>
      </c>
      <c r="K90" s="43" t="e">
        <f aca="false">VLOOKUP(A90,#REF!,2, )</f>
        <v>#VALUE!</v>
      </c>
      <c r="L90" s="32" t="n">
        <v>1</v>
      </c>
      <c r="M90" s="32" t="n">
        <v>0</v>
      </c>
      <c r="N90" s="32" t="n">
        <v>0</v>
      </c>
      <c r="O90" s="42" t="s">
        <v>11367</v>
      </c>
      <c r="R90" s="60" t="n">
        <v>-139</v>
      </c>
      <c r="S90" s="60" t="n">
        <v>2518</v>
      </c>
      <c r="T90" s="42" t="n">
        <v>37</v>
      </c>
      <c r="U90" s="60" t="n">
        <v>346</v>
      </c>
      <c r="V90" s="60" t="n">
        <v>3845</v>
      </c>
      <c r="W90" s="42" t="n">
        <v>9</v>
      </c>
      <c r="X90" s="60" t="n">
        <v>390</v>
      </c>
      <c r="Y90" s="60" t="n">
        <v>3845</v>
      </c>
      <c r="Z90" s="42" t="n">
        <v>10</v>
      </c>
      <c r="AA90" s="60" t="n">
        <v>602.11</v>
      </c>
      <c r="AB90" s="60" t="n">
        <v>1603</v>
      </c>
      <c r="AC90" s="32" t="n">
        <v>87</v>
      </c>
      <c r="AE90" s="42" t="s">
        <v>11513</v>
      </c>
    </row>
    <row r="91" customFormat="false" ht="12.75" hidden="false" customHeight="true" outlineLevel="0" collapsed="false">
      <c r="A91" s="68" t="s">
        <v>11839</v>
      </c>
      <c r="B91" s="69" t="s">
        <v>295</v>
      </c>
      <c r="C91" s="68" t="s">
        <v>11840</v>
      </c>
      <c r="D91" s="70" t="n">
        <v>92300</v>
      </c>
      <c r="E91" s="70" t="s">
        <v>11355</v>
      </c>
      <c r="F91" s="70" t="s">
        <v>11841</v>
      </c>
      <c r="G91" s="68" t="s">
        <v>11842</v>
      </c>
      <c r="H91" s="68" t="s">
        <v>11843</v>
      </c>
      <c r="I91" s="32" t="n">
        <v>5</v>
      </c>
      <c r="J91" s="32" t="n">
        <v>3</v>
      </c>
      <c r="K91" s="43" t="e">
        <f aca="false">VLOOKUP(A91,#REF!,2, )</f>
        <v>#VALUE!</v>
      </c>
      <c r="L91" s="32" t="n">
        <v>1</v>
      </c>
      <c r="M91" s="32" t="n">
        <v>0</v>
      </c>
      <c r="N91" s="32" t="n">
        <v>0</v>
      </c>
      <c r="O91" s="42" t="s">
        <v>11367</v>
      </c>
      <c r="S91" s="60" t="n">
        <v>2054</v>
      </c>
      <c r="T91" s="42" t="n">
        <v>60</v>
      </c>
      <c r="V91" s="60" t="n">
        <v>1903</v>
      </c>
      <c r="W91" s="42" t="n">
        <v>68</v>
      </c>
      <c r="X91" s="60" t="n">
        <v>217</v>
      </c>
      <c r="Y91" s="60" t="n">
        <v>1752</v>
      </c>
      <c r="Z91" s="42" t="n">
        <v>75</v>
      </c>
      <c r="AA91" s="60" t="n">
        <v>217.43</v>
      </c>
      <c r="AB91" s="60" t="n">
        <v>1597.91</v>
      </c>
      <c r="AC91" s="32" t="n">
        <v>88</v>
      </c>
      <c r="AD91" s="42" t="s">
        <v>11417</v>
      </c>
    </row>
    <row r="92" customFormat="false" ht="12.75" hidden="true" customHeight="true" outlineLevel="0" collapsed="false">
      <c r="A92" s="55" t="s">
        <v>11844</v>
      </c>
      <c r="B92" s="55" t="s">
        <v>99</v>
      </c>
      <c r="C92" s="55" t="s">
        <v>11845</v>
      </c>
      <c r="D92" s="32" t="n">
        <v>75015</v>
      </c>
      <c r="E92" s="32" t="s">
        <v>55</v>
      </c>
      <c r="F92" s="32" t="s">
        <v>11846</v>
      </c>
      <c r="G92" s="55" t="s">
        <v>11847</v>
      </c>
      <c r="H92" s="55" t="s">
        <v>11848</v>
      </c>
      <c r="I92" s="32" t="n">
        <v>3</v>
      </c>
      <c r="J92" s="32" t="n">
        <v>0</v>
      </c>
      <c r="K92" s="43" t="e">
        <f aca="false">VLOOKUP(A92,#REF!,2, )</f>
        <v>#VALUE!</v>
      </c>
      <c r="L92" s="32" t="n">
        <v>1</v>
      </c>
      <c r="M92" s="32" t="n">
        <v>1</v>
      </c>
      <c r="N92" s="32" t="n">
        <v>2</v>
      </c>
      <c r="O92" s="42" t="s">
        <v>11367</v>
      </c>
      <c r="P92" s="41" t="n">
        <v>44661</v>
      </c>
      <c r="R92" s="60" t="n">
        <v>591</v>
      </c>
      <c r="S92" s="60" t="n">
        <v>1132</v>
      </c>
      <c r="T92" s="42" t="n">
        <v>0</v>
      </c>
      <c r="U92" s="60" t="n">
        <v>563</v>
      </c>
      <c r="V92" s="60" t="n">
        <v>1555</v>
      </c>
      <c r="W92" s="42" t="n">
        <v>108</v>
      </c>
      <c r="X92" s="60" t="n">
        <v>475</v>
      </c>
      <c r="Y92" s="60" t="n">
        <v>1360</v>
      </c>
      <c r="Z92" s="42" t="n">
        <v>119</v>
      </c>
      <c r="AA92" s="60" t="n">
        <v>752.63</v>
      </c>
      <c r="AB92" s="60" t="n">
        <v>1564.16</v>
      </c>
      <c r="AC92" s="32" t="n">
        <v>89</v>
      </c>
      <c r="AD92" s="42" t="s">
        <v>11849</v>
      </c>
    </row>
    <row r="93" customFormat="false" ht="17.25" hidden="true" customHeight="true" outlineLevel="0" collapsed="false">
      <c r="A93" s="55" t="s">
        <v>11850</v>
      </c>
      <c r="B93" s="55" t="s">
        <v>51</v>
      </c>
      <c r="C93" s="55" t="s">
        <v>11851</v>
      </c>
      <c r="D93" s="32" t="n">
        <v>75015</v>
      </c>
      <c r="E93" s="32" t="s">
        <v>55</v>
      </c>
      <c r="F93" s="32" t="s">
        <v>11852</v>
      </c>
      <c r="G93" s="55" t="s">
        <v>11853</v>
      </c>
      <c r="H93" s="55" t="s">
        <v>11854</v>
      </c>
      <c r="I93" s="32" t="n">
        <v>10</v>
      </c>
      <c r="J93" s="32" t="n">
        <v>0</v>
      </c>
      <c r="K93" s="43" t="e">
        <f aca="false">VLOOKUP(A93,#REF!,2, )</f>
        <v>#VALUE!</v>
      </c>
      <c r="L93" s="32" t="n">
        <v>1</v>
      </c>
      <c r="M93" s="32" t="n">
        <v>0</v>
      </c>
      <c r="N93" s="32" t="n">
        <v>0</v>
      </c>
      <c r="O93" s="42" t="s">
        <v>11367</v>
      </c>
      <c r="P93" s="41"/>
      <c r="S93" s="60" t="n">
        <v>324</v>
      </c>
      <c r="T93" s="42" t="n">
        <v>0</v>
      </c>
      <c r="U93" s="60" t="n">
        <v>84</v>
      </c>
      <c r="V93" s="60" t="n">
        <v>696</v>
      </c>
      <c r="W93" s="42" t="n">
        <v>0</v>
      </c>
      <c r="X93" s="60" t="n">
        <v>167</v>
      </c>
      <c r="Y93" s="60" t="n">
        <v>906</v>
      </c>
      <c r="Z93" s="42" t="n">
        <v>0</v>
      </c>
      <c r="AA93" s="60" t="n">
        <v>418.14</v>
      </c>
      <c r="AB93" s="60" t="n">
        <v>1544.11</v>
      </c>
      <c r="AC93" s="32" t="n">
        <v>90</v>
      </c>
      <c r="AE93" s="42" t="s">
        <v>11513</v>
      </c>
    </row>
    <row r="94" customFormat="false" ht="12.75" hidden="true" customHeight="true" outlineLevel="0" collapsed="false">
      <c r="A94" s="55" t="s">
        <v>11855</v>
      </c>
      <c r="B94" s="55" t="s">
        <v>197</v>
      </c>
      <c r="C94" s="55" t="s">
        <v>11856</v>
      </c>
      <c r="D94" s="32" t="n">
        <v>75017</v>
      </c>
      <c r="E94" s="32" t="s">
        <v>55</v>
      </c>
      <c r="F94" s="32" t="s">
        <v>11857</v>
      </c>
      <c r="G94" s="55" t="s">
        <v>11858</v>
      </c>
      <c r="H94" s="55" t="s">
        <v>11859</v>
      </c>
      <c r="I94" s="32" t="n">
        <v>3</v>
      </c>
      <c r="J94" s="32" t="n">
        <v>0</v>
      </c>
      <c r="K94" s="43" t="e">
        <f aca="false">VLOOKUP(A94,#REF!,2, )</f>
        <v>#VALUE!</v>
      </c>
      <c r="L94" s="32" t="n">
        <v>1</v>
      </c>
      <c r="M94" s="32" t="n">
        <v>1</v>
      </c>
      <c r="N94" s="32" t="n">
        <v>2</v>
      </c>
      <c r="O94" s="42" t="s">
        <v>11367</v>
      </c>
      <c r="P94" s="41" t="n">
        <v>44696</v>
      </c>
      <c r="R94" s="60" t="n">
        <v>741</v>
      </c>
      <c r="S94" s="60" t="n">
        <v>1969</v>
      </c>
      <c r="T94" s="42" t="n">
        <v>69</v>
      </c>
      <c r="U94" s="60" t="n">
        <v>636</v>
      </c>
      <c r="V94" s="60" t="n">
        <v>1757</v>
      </c>
      <c r="W94" s="42" t="n">
        <v>83</v>
      </c>
      <c r="X94" s="60" t="n">
        <v>552</v>
      </c>
      <c r="Y94" s="60" t="n">
        <v>1518</v>
      </c>
      <c r="Z94" s="42" t="n">
        <v>96</v>
      </c>
      <c r="AA94" s="60" t="n">
        <v>970.07</v>
      </c>
      <c r="AB94" s="60" t="n">
        <v>1525.77</v>
      </c>
      <c r="AC94" s="32" t="n">
        <v>91</v>
      </c>
      <c r="AD94" s="42" t="s">
        <v>11397</v>
      </c>
    </row>
    <row r="95" customFormat="false" ht="12.75" hidden="false" customHeight="true" outlineLevel="0" collapsed="false">
      <c r="A95" s="68" t="s">
        <v>11860</v>
      </c>
      <c r="B95" s="69" t="s">
        <v>173</v>
      </c>
      <c r="C95" s="68" t="s">
        <v>11861</v>
      </c>
      <c r="D95" s="70" t="n">
        <v>75116</v>
      </c>
      <c r="E95" s="70" t="s">
        <v>55</v>
      </c>
      <c r="F95" s="70" t="s">
        <v>11862</v>
      </c>
      <c r="G95" s="68" t="s">
        <v>11863</v>
      </c>
      <c r="H95" s="68" t="s">
        <v>11864</v>
      </c>
      <c r="I95" s="32" t="n">
        <v>4</v>
      </c>
      <c r="J95" s="32" t="n">
        <v>3</v>
      </c>
      <c r="K95" s="43" t="e">
        <f aca="false">VLOOKUP(A95,#REF!,2, )</f>
        <v>#VALUE!</v>
      </c>
      <c r="L95" s="32" t="n">
        <v>1</v>
      </c>
      <c r="M95" s="32" t="n">
        <v>1</v>
      </c>
      <c r="N95" s="32" t="n">
        <v>0</v>
      </c>
      <c r="O95" s="42" t="s">
        <v>11865</v>
      </c>
      <c r="P95" s="39" t="n">
        <v>45292.4166666667</v>
      </c>
      <c r="R95" s="60" t="n">
        <v>1366</v>
      </c>
      <c r="S95" s="60" t="n">
        <v>1769</v>
      </c>
      <c r="T95" s="42" t="n">
        <v>78</v>
      </c>
      <c r="U95" s="60" t="n">
        <v>1132</v>
      </c>
      <c r="V95" s="60" t="n">
        <v>1904</v>
      </c>
      <c r="W95" s="42" t="n">
        <v>67</v>
      </c>
      <c r="X95" s="60" t="n">
        <v>1115</v>
      </c>
      <c r="Y95" s="60" t="n">
        <v>1475</v>
      </c>
      <c r="Z95" s="42" t="n">
        <v>105</v>
      </c>
      <c r="AA95" s="60" t="n">
        <v>1349.16</v>
      </c>
      <c r="AB95" s="60" t="n">
        <v>1517.36</v>
      </c>
      <c r="AC95" s="32" t="n">
        <v>92</v>
      </c>
      <c r="AD95" s="42" t="s">
        <v>11417</v>
      </c>
    </row>
    <row r="96" customFormat="false" ht="12.75" hidden="true" customHeight="true" outlineLevel="0" collapsed="false">
      <c r="A96" s="55" t="s">
        <v>11866</v>
      </c>
      <c r="B96" s="55" t="s">
        <v>173</v>
      </c>
      <c r="C96" s="55" t="s">
        <v>11867</v>
      </c>
      <c r="D96" s="32" t="n">
        <v>75116</v>
      </c>
      <c r="E96" s="32" t="s">
        <v>55</v>
      </c>
      <c r="F96" s="32" t="s">
        <v>11868</v>
      </c>
      <c r="G96" s="55" t="s">
        <v>11869</v>
      </c>
      <c r="H96" s="55" t="s">
        <v>11870</v>
      </c>
      <c r="I96" s="32" t="n">
        <v>4</v>
      </c>
      <c r="J96" s="32" t="n">
        <v>0</v>
      </c>
      <c r="K96" s="43" t="e">
        <f aca="false">VLOOKUP(A96,#REF!,2, )</f>
        <v>#VALUE!</v>
      </c>
      <c r="L96" s="32" t="n">
        <v>1</v>
      </c>
      <c r="M96" s="32" t="n">
        <v>1</v>
      </c>
      <c r="N96" s="32" t="n">
        <v>0</v>
      </c>
      <c r="O96" s="42" t="s">
        <v>11367</v>
      </c>
      <c r="P96" s="41"/>
      <c r="R96" s="60" t="n">
        <v>1004</v>
      </c>
      <c r="S96" s="60" t="n">
        <v>1551</v>
      </c>
      <c r="T96" s="42" t="n">
        <v>99</v>
      </c>
      <c r="U96" s="60" t="n">
        <v>886</v>
      </c>
      <c r="V96" s="60" t="n">
        <v>1090</v>
      </c>
      <c r="W96" s="42" t="n">
        <v>0</v>
      </c>
      <c r="X96" s="60" t="n">
        <v>769</v>
      </c>
      <c r="Y96" s="60" t="n">
        <v>1302</v>
      </c>
      <c r="Z96" s="42" t="n">
        <v>0</v>
      </c>
      <c r="AA96" s="60" t="n">
        <v>869.72</v>
      </c>
      <c r="AB96" s="60" t="n">
        <v>1516.33</v>
      </c>
      <c r="AC96" s="32" t="n">
        <v>93</v>
      </c>
      <c r="AD96" s="42" t="s">
        <v>11634</v>
      </c>
      <c r="AE96" s="42" t="s">
        <v>11390</v>
      </c>
    </row>
    <row r="97" customFormat="false" ht="12.75" hidden="true" customHeight="true" outlineLevel="0" collapsed="false">
      <c r="A97" s="55" t="s">
        <v>11871</v>
      </c>
      <c r="B97" s="55" t="s">
        <v>99</v>
      </c>
      <c r="C97" s="55" t="s">
        <v>11872</v>
      </c>
      <c r="D97" s="32" t="n">
        <v>75015</v>
      </c>
      <c r="E97" s="32" t="s">
        <v>55</v>
      </c>
      <c r="F97" s="32" t="s">
        <v>11873</v>
      </c>
      <c r="G97" s="55" t="s">
        <v>11874</v>
      </c>
      <c r="H97" s="55" t="s">
        <v>11875</v>
      </c>
      <c r="I97" s="32" t="n">
        <v>6</v>
      </c>
      <c r="J97" s="32" t="n">
        <v>0</v>
      </c>
      <c r="K97" s="43" t="e">
        <f aca="false">VLOOKUP(A97,#REF!,2, )</f>
        <v>#VALUE!</v>
      </c>
      <c r="L97" s="32" t="n">
        <v>1</v>
      </c>
      <c r="M97" s="32" t="n">
        <v>0</v>
      </c>
      <c r="N97" s="32" t="n">
        <v>0</v>
      </c>
      <c r="O97" s="42" t="s">
        <v>11367</v>
      </c>
      <c r="P97" s="41"/>
      <c r="R97" s="60" t="n">
        <v>84</v>
      </c>
      <c r="S97" s="60" t="n">
        <v>1886</v>
      </c>
      <c r="T97" s="42" t="n">
        <v>74</v>
      </c>
      <c r="U97" s="60" t="n">
        <v>84</v>
      </c>
      <c r="V97" s="60" t="n">
        <v>1118</v>
      </c>
      <c r="W97" s="42" t="n">
        <v>0</v>
      </c>
      <c r="X97" s="60" t="n">
        <v>84</v>
      </c>
      <c r="Y97" s="60" t="n">
        <v>1053</v>
      </c>
      <c r="Z97" s="42" t="n">
        <v>0</v>
      </c>
      <c r="AA97" s="60" t="n">
        <v>301.06</v>
      </c>
      <c r="AB97" s="60" t="n">
        <v>1506.65</v>
      </c>
      <c r="AC97" s="32" t="n">
        <v>94</v>
      </c>
      <c r="AD97" s="42" t="s">
        <v>11397</v>
      </c>
      <c r="AE97" s="42" t="s">
        <v>11704</v>
      </c>
    </row>
    <row r="98" customFormat="false" ht="17.25" hidden="true" customHeight="true" outlineLevel="0" collapsed="false">
      <c r="A98" s="55" t="s">
        <v>11876</v>
      </c>
      <c r="B98" s="55" t="s">
        <v>197</v>
      </c>
      <c r="C98" s="55" t="s">
        <v>11877</v>
      </c>
      <c r="D98" s="32" t="n">
        <v>75008</v>
      </c>
      <c r="E98" s="32" t="s">
        <v>55</v>
      </c>
      <c r="F98" s="32" t="s">
        <v>11878</v>
      </c>
      <c r="G98" s="55" t="s">
        <v>11879</v>
      </c>
      <c r="H98" s="55" t="s">
        <v>11880</v>
      </c>
      <c r="I98" s="32" t="n">
        <v>8</v>
      </c>
      <c r="J98" s="32" t="n">
        <v>0</v>
      </c>
      <c r="K98" s="43" t="e">
        <f aca="false">VLOOKUP(A98,#REF!,2, )</f>
        <v>#VALUE!</v>
      </c>
      <c r="L98" s="32" t="n">
        <v>1</v>
      </c>
      <c r="M98" s="32" t="n">
        <v>0</v>
      </c>
      <c r="N98" s="32" t="n">
        <v>1</v>
      </c>
      <c r="O98" s="42" t="s">
        <v>11367</v>
      </c>
      <c r="P98" s="41" t="n">
        <v>44681</v>
      </c>
      <c r="R98" s="60" t="n">
        <v>273</v>
      </c>
      <c r="S98" s="60" t="n">
        <v>672</v>
      </c>
      <c r="T98" s="42" t="n">
        <v>0</v>
      </c>
      <c r="U98" s="60" t="n">
        <v>251</v>
      </c>
      <c r="V98" s="60" t="n">
        <v>648</v>
      </c>
      <c r="W98" s="42" t="n">
        <v>0</v>
      </c>
      <c r="X98" s="60" t="n">
        <v>251</v>
      </c>
      <c r="Y98" s="60" t="n">
        <v>554</v>
      </c>
      <c r="Z98" s="42" t="n">
        <v>0</v>
      </c>
      <c r="AA98" s="60" t="n">
        <v>250.89</v>
      </c>
      <c r="AB98" s="60" t="n">
        <v>1502.95</v>
      </c>
      <c r="AC98" s="32" t="n">
        <v>95</v>
      </c>
      <c r="AD98" s="42" t="s">
        <v>11417</v>
      </c>
    </row>
    <row r="99" customFormat="false" ht="12.75" hidden="false" customHeight="true" outlineLevel="0" collapsed="false">
      <c r="A99" s="68" t="s">
        <v>11881</v>
      </c>
      <c r="B99" s="69" t="s">
        <v>233</v>
      </c>
      <c r="C99" s="68" t="s">
        <v>11882</v>
      </c>
      <c r="D99" s="70" t="n">
        <v>75015</v>
      </c>
      <c r="E99" s="70" t="s">
        <v>55</v>
      </c>
      <c r="F99" s="70" t="s">
        <v>11883</v>
      </c>
      <c r="G99" s="68" t="s">
        <v>11884</v>
      </c>
      <c r="H99" s="68" t="s">
        <v>11885</v>
      </c>
      <c r="I99" s="32" t="n">
        <v>7</v>
      </c>
      <c r="J99" s="32" t="n">
        <v>3</v>
      </c>
      <c r="K99" s="43" t="e">
        <f aca="false">VLOOKUP(A99,#REF!,2, )</f>
        <v>#VALUE!</v>
      </c>
      <c r="L99" s="32" t="n">
        <v>1</v>
      </c>
      <c r="M99" s="32" t="n">
        <v>0</v>
      </c>
      <c r="N99" s="32" t="n">
        <v>0</v>
      </c>
      <c r="O99" s="42" t="s">
        <v>11367</v>
      </c>
      <c r="R99" s="60" t="n">
        <v>385</v>
      </c>
      <c r="S99" s="60" t="n">
        <v>2224</v>
      </c>
      <c r="T99" s="42" t="n">
        <v>51</v>
      </c>
      <c r="U99" s="60" t="n">
        <v>268</v>
      </c>
      <c r="V99" s="60" t="n">
        <v>2646</v>
      </c>
      <c r="W99" s="42" t="n">
        <v>27</v>
      </c>
      <c r="X99" s="60" t="n">
        <v>251</v>
      </c>
      <c r="Y99" s="60" t="n">
        <v>2801</v>
      </c>
      <c r="Z99" s="42" t="n">
        <v>23</v>
      </c>
      <c r="AA99" s="60" t="n">
        <v>685.75</v>
      </c>
      <c r="AB99" s="60" t="n">
        <v>1488.18</v>
      </c>
      <c r="AC99" s="32" t="n">
        <v>96</v>
      </c>
      <c r="AD99" s="42" t="s">
        <v>11683</v>
      </c>
      <c r="AE99" s="42" t="s">
        <v>11384</v>
      </c>
    </row>
    <row r="100" customFormat="false" ht="17.25" hidden="false" customHeight="true" outlineLevel="0" collapsed="false">
      <c r="A100" s="55" t="s">
        <v>11886</v>
      </c>
      <c r="B100" s="55" t="s">
        <v>233</v>
      </c>
      <c r="C100" s="55" t="s">
        <v>11887</v>
      </c>
      <c r="D100" s="32" t="n">
        <v>75015</v>
      </c>
      <c r="E100" s="32" t="s">
        <v>55</v>
      </c>
      <c r="F100" s="32" t="s">
        <v>11888</v>
      </c>
      <c r="G100" s="55" t="s">
        <v>11889</v>
      </c>
      <c r="H100" s="55" t="s">
        <v>11890</v>
      </c>
      <c r="I100" s="32" t="n">
        <v>10</v>
      </c>
      <c r="J100" s="32" t="n">
        <v>0</v>
      </c>
      <c r="K100" s="43" t="e">
        <f aca="false">VLOOKUP(A100,#REF!,2, )</f>
        <v>#VALUE!</v>
      </c>
      <c r="L100" s="32" t="n">
        <v>0</v>
      </c>
      <c r="M100" s="32" t="n">
        <v>0</v>
      </c>
      <c r="N100" s="32" t="n">
        <v>0</v>
      </c>
      <c r="O100" s="42" t="s">
        <v>11367</v>
      </c>
      <c r="P100" s="41"/>
      <c r="R100" s="60" t="n">
        <v>843</v>
      </c>
      <c r="S100" s="60" t="n">
        <v>1508</v>
      </c>
      <c r="T100" s="42" t="n">
        <v>105</v>
      </c>
      <c r="U100" s="60" t="n">
        <v>1487</v>
      </c>
      <c r="V100" s="60" t="n">
        <v>1705</v>
      </c>
      <c r="W100" s="42" t="n">
        <v>91</v>
      </c>
      <c r="X100" s="60" t="n">
        <v>1472</v>
      </c>
      <c r="Y100" s="60" t="n">
        <v>1749</v>
      </c>
      <c r="Z100" s="42" t="n">
        <v>77</v>
      </c>
      <c r="AA100" s="60" t="n">
        <v>953.33</v>
      </c>
      <c r="AB100" s="60" t="n">
        <v>1476.14</v>
      </c>
      <c r="AC100" s="32" t="n">
        <v>97</v>
      </c>
      <c r="AD100" s="42" t="s">
        <v>11375</v>
      </c>
    </row>
    <row r="101" customFormat="false" ht="12.75" hidden="true" customHeight="true" outlineLevel="0" collapsed="false">
      <c r="A101" s="55" t="s">
        <v>11891</v>
      </c>
      <c r="B101" s="55" t="s">
        <v>572</v>
      </c>
      <c r="C101" s="55" t="s">
        <v>11892</v>
      </c>
      <c r="D101" s="32" t="n">
        <v>75008</v>
      </c>
      <c r="E101" s="32" t="s">
        <v>55</v>
      </c>
      <c r="F101" s="32" t="s">
        <v>11893</v>
      </c>
      <c r="G101" s="55" t="s">
        <v>11894</v>
      </c>
      <c r="H101" s="55" t="s">
        <v>11895</v>
      </c>
      <c r="I101" s="32" t="n">
        <v>5</v>
      </c>
      <c r="J101" s="32" t="n">
        <v>0</v>
      </c>
      <c r="K101" s="43" t="e">
        <f aca="false">VLOOKUP(A101,#REF!,2, )</f>
        <v>#VALUE!</v>
      </c>
      <c r="L101" s="32" t="n">
        <v>1</v>
      </c>
      <c r="M101" s="32" t="n">
        <v>0</v>
      </c>
      <c r="N101" s="32" t="n">
        <v>0</v>
      </c>
      <c r="O101" s="42" t="s">
        <v>11896</v>
      </c>
      <c r="P101" s="41" t="n">
        <v>45131.625</v>
      </c>
      <c r="R101" s="60" t="n">
        <v>597</v>
      </c>
      <c r="S101" s="60" t="n">
        <v>1091</v>
      </c>
      <c r="T101" s="42" t="n">
        <v>0</v>
      </c>
      <c r="U101" s="60" t="n">
        <v>815</v>
      </c>
      <c r="V101" s="60" t="n">
        <v>1147</v>
      </c>
      <c r="W101" s="42" t="n">
        <v>0</v>
      </c>
      <c r="X101" s="60" t="n">
        <v>815</v>
      </c>
      <c r="Y101" s="60" t="n">
        <v>1377</v>
      </c>
      <c r="Z101" s="42" t="n">
        <v>117</v>
      </c>
      <c r="AA101" s="60" t="n">
        <v>625.53</v>
      </c>
      <c r="AB101" s="60" t="n">
        <v>1451.01</v>
      </c>
      <c r="AC101" s="32" t="n">
        <v>98</v>
      </c>
      <c r="AD101" s="42" t="s">
        <v>11897</v>
      </c>
    </row>
    <row r="102" customFormat="false" ht="17.25" hidden="true" customHeight="true" outlineLevel="0" collapsed="false">
      <c r="A102" s="55" t="s">
        <v>11898</v>
      </c>
      <c r="B102" s="55" t="s">
        <v>435</v>
      </c>
      <c r="C102" s="55" t="s">
        <v>11899</v>
      </c>
      <c r="D102" s="32" t="n">
        <v>75116</v>
      </c>
      <c r="E102" s="32" t="s">
        <v>55</v>
      </c>
      <c r="F102" s="32" t="s">
        <v>11900</v>
      </c>
      <c r="G102" s="55" t="s">
        <v>11901</v>
      </c>
      <c r="H102" s="55" t="s">
        <v>11902</v>
      </c>
      <c r="I102" s="32" t="n">
        <v>5</v>
      </c>
      <c r="J102" s="32" t="n">
        <v>0</v>
      </c>
      <c r="K102" s="43" t="e">
        <f aca="false">VLOOKUP(A102,#REF!,2, )</f>
        <v>#VALUE!</v>
      </c>
      <c r="L102" s="32" t="n">
        <v>1</v>
      </c>
      <c r="M102" s="32" t="n">
        <v>1</v>
      </c>
      <c r="N102" s="32" t="n">
        <v>0</v>
      </c>
      <c r="O102" s="42" t="s">
        <v>11367</v>
      </c>
      <c r="P102" s="41"/>
      <c r="R102" s="60" t="n">
        <v>1048</v>
      </c>
      <c r="S102" s="60" t="n">
        <v>2240</v>
      </c>
      <c r="T102" s="42" t="n">
        <v>48</v>
      </c>
      <c r="U102" s="60" t="n">
        <v>1104</v>
      </c>
      <c r="V102" s="60" t="n">
        <v>1674</v>
      </c>
      <c r="W102" s="42" t="n">
        <v>97</v>
      </c>
      <c r="X102" s="60" t="n">
        <v>769</v>
      </c>
      <c r="Y102" s="60" t="n">
        <v>487</v>
      </c>
      <c r="Z102" s="42" t="n">
        <v>0</v>
      </c>
      <c r="AA102" s="60" t="n">
        <v>869.72</v>
      </c>
      <c r="AB102" s="60" t="n">
        <v>1447.59</v>
      </c>
      <c r="AC102" s="32" t="n">
        <v>99</v>
      </c>
      <c r="AD102" s="42" t="s">
        <v>11397</v>
      </c>
    </row>
    <row r="103" customFormat="false" ht="12.75" hidden="true" customHeight="true" outlineLevel="0" collapsed="false">
      <c r="A103" s="55" t="s">
        <v>11903</v>
      </c>
      <c r="B103" s="55" t="s">
        <v>572</v>
      </c>
      <c r="C103" s="55" t="s">
        <v>11904</v>
      </c>
      <c r="D103" s="32" t="n">
        <v>75008</v>
      </c>
      <c r="E103" s="32" t="s">
        <v>55</v>
      </c>
      <c r="F103" s="32" t="s">
        <v>11905</v>
      </c>
      <c r="G103" s="55" t="s">
        <v>11906</v>
      </c>
      <c r="H103" s="55" t="s">
        <v>11907</v>
      </c>
      <c r="I103" s="32" t="n">
        <v>4</v>
      </c>
      <c r="J103" s="32" t="n">
        <v>0</v>
      </c>
      <c r="K103" s="43" t="e">
        <f aca="false">VLOOKUP(A103,#REF!,2, )</f>
        <v>#VALUE!</v>
      </c>
      <c r="L103" s="32" t="n">
        <v>1</v>
      </c>
      <c r="M103" s="32" t="n">
        <v>0</v>
      </c>
      <c r="N103" s="32" t="n">
        <v>0</v>
      </c>
      <c r="O103" s="42" t="s">
        <v>11367</v>
      </c>
      <c r="P103" s="41"/>
      <c r="R103" s="60" t="n">
        <v>407</v>
      </c>
      <c r="S103" s="60" t="n">
        <v>1394</v>
      </c>
      <c r="T103" s="42" t="n">
        <v>113</v>
      </c>
      <c r="U103" s="60" t="n">
        <v>624</v>
      </c>
      <c r="V103" s="60" t="n">
        <v>1292</v>
      </c>
      <c r="W103" s="42" t="n">
        <v>0</v>
      </c>
      <c r="X103" s="60" t="n">
        <v>624</v>
      </c>
      <c r="Y103" s="60" t="n">
        <v>1343</v>
      </c>
      <c r="Z103" s="42" t="n">
        <v>0</v>
      </c>
      <c r="AA103" s="60" t="n">
        <v>434.86</v>
      </c>
      <c r="AB103" s="60" t="n">
        <v>1446.58</v>
      </c>
      <c r="AC103" s="32" t="n">
        <v>100</v>
      </c>
      <c r="AE103" s="42" t="s">
        <v>11473</v>
      </c>
    </row>
    <row r="104" customFormat="false" ht="12.75" hidden="true" customHeight="true" outlineLevel="0" collapsed="false">
      <c r="A104" s="55" t="s">
        <v>11908</v>
      </c>
      <c r="B104" s="55" t="s">
        <v>77</v>
      </c>
      <c r="C104" s="55" t="s">
        <v>11909</v>
      </c>
      <c r="D104" s="32" t="n">
        <v>92200</v>
      </c>
      <c r="E104" s="32" t="s">
        <v>11393</v>
      </c>
      <c r="F104" s="32" t="s">
        <v>11910</v>
      </c>
      <c r="G104" s="55" t="s">
        <v>11911</v>
      </c>
      <c r="H104" s="55" t="s">
        <v>11912</v>
      </c>
      <c r="I104" s="32" t="n">
        <v>6</v>
      </c>
      <c r="J104" s="32" t="n">
        <v>0</v>
      </c>
      <c r="K104" s="43" t="e">
        <f aca="false">VLOOKUP(A104,#REF!,2, )</f>
        <v>#VALUE!</v>
      </c>
      <c r="L104" s="32" t="n">
        <v>1</v>
      </c>
      <c r="M104" s="32" t="n">
        <v>0</v>
      </c>
      <c r="N104" s="32" t="n">
        <v>0</v>
      </c>
      <c r="O104" s="42" t="s">
        <v>11367</v>
      </c>
      <c r="P104" s="41"/>
      <c r="R104" s="60" t="n">
        <v>468</v>
      </c>
      <c r="S104" s="60" t="n">
        <v>2621</v>
      </c>
      <c r="T104" s="42" t="n">
        <v>30</v>
      </c>
      <c r="U104" s="60" t="n">
        <v>307</v>
      </c>
      <c r="V104" s="60" t="n">
        <v>1753</v>
      </c>
      <c r="W104" s="42" t="n">
        <v>84</v>
      </c>
      <c r="X104" s="60" t="n">
        <v>307</v>
      </c>
      <c r="Y104" s="60" t="n">
        <v>1750</v>
      </c>
      <c r="Z104" s="42" t="n">
        <v>76</v>
      </c>
      <c r="AA104" s="60" t="n">
        <v>561.97</v>
      </c>
      <c r="AB104" s="60" t="n">
        <v>1432.37</v>
      </c>
      <c r="AC104" s="32" t="n">
        <v>101</v>
      </c>
      <c r="AD104" s="42" t="s">
        <v>11375</v>
      </c>
      <c r="AE104" s="42" t="s">
        <v>11473</v>
      </c>
    </row>
    <row r="105" customFormat="false" ht="12.75" hidden="true" customHeight="true" outlineLevel="0" collapsed="false">
      <c r="A105" s="55" t="s">
        <v>11913</v>
      </c>
      <c r="B105" s="55" t="s">
        <v>173</v>
      </c>
      <c r="C105" s="55" t="s">
        <v>11914</v>
      </c>
      <c r="D105" s="32" t="n">
        <v>75116</v>
      </c>
      <c r="E105" s="32" t="s">
        <v>55</v>
      </c>
      <c r="F105" s="32" t="s">
        <v>11915</v>
      </c>
      <c r="G105" s="55" t="s">
        <v>11916</v>
      </c>
      <c r="H105" s="55" t="s">
        <v>11917</v>
      </c>
      <c r="I105" s="32" t="n">
        <v>8</v>
      </c>
      <c r="J105" s="32" t="n">
        <v>0</v>
      </c>
      <c r="K105" s="43" t="e">
        <f aca="false">VLOOKUP(A105,#REF!,2, )</f>
        <v>#VALUE!</v>
      </c>
      <c r="L105" s="32" t="n">
        <v>1</v>
      </c>
      <c r="M105" s="32" t="n">
        <v>0</v>
      </c>
      <c r="N105" s="32" t="n">
        <v>0</v>
      </c>
      <c r="O105" s="42" t="s">
        <v>11367</v>
      </c>
      <c r="P105" s="41"/>
      <c r="T105" s="42" t="n">
        <v>0</v>
      </c>
      <c r="U105" s="60" t="n">
        <v>558</v>
      </c>
      <c r="V105" s="60" t="n">
        <v>404</v>
      </c>
      <c r="W105" s="42" t="n">
        <v>0</v>
      </c>
      <c r="X105" s="60" t="n">
        <v>1115</v>
      </c>
      <c r="Y105" s="60" t="n">
        <v>935</v>
      </c>
      <c r="Z105" s="42" t="n">
        <v>0</v>
      </c>
      <c r="AA105" s="60" t="n">
        <v>1784</v>
      </c>
      <c r="AB105" s="60" t="n">
        <v>1424.46</v>
      </c>
      <c r="AC105" s="32" t="n">
        <v>102</v>
      </c>
    </row>
    <row r="106" customFormat="false" ht="12.75" hidden="true" customHeight="true" outlineLevel="0" collapsed="false">
      <c r="A106" s="55" t="s">
        <v>11918</v>
      </c>
      <c r="B106" s="55" t="s">
        <v>119</v>
      </c>
      <c r="C106" s="55" t="s">
        <v>11919</v>
      </c>
      <c r="D106" s="32" t="n">
        <v>75007</v>
      </c>
      <c r="E106" s="32" t="s">
        <v>55</v>
      </c>
      <c r="F106" s="32" t="s">
        <v>11920</v>
      </c>
      <c r="G106" s="55" t="s">
        <v>11921</v>
      </c>
      <c r="H106" s="55" t="s">
        <v>11922</v>
      </c>
      <c r="I106" s="32" t="n">
        <v>2</v>
      </c>
      <c r="J106" s="32" t="n">
        <v>0</v>
      </c>
      <c r="K106" s="43" t="e">
        <f aca="false">VLOOKUP(A106,#REF!,2, )</f>
        <v>#VALUE!</v>
      </c>
      <c r="L106" s="32" t="n">
        <v>1</v>
      </c>
      <c r="M106" s="32" t="n">
        <v>1</v>
      </c>
      <c r="N106" s="32" t="n">
        <v>2</v>
      </c>
      <c r="O106" s="42" t="s">
        <v>11367</v>
      </c>
      <c r="P106" s="41" t="n">
        <v>44676</v>
      </c>
      <c r="R106" s="60" t="n">
        <v>970</v>
      </c>
      <c r="S106" s="60" t="n">
        <v>917</v>
      </c>
      <c r="T106" s="42" t="n">
        <v>0</v>
      </c>
      <c r="U106" s="60" t="n">
        <v>435</v>
      </c>
      <c r="V106" s="60" t="n">
        <v>831</v>
      </c>
      <c r="W106" s="42" t="n">
        <v>0</v>
      </c>
      <c r="X106" s="60" t="n">
        <v>435</v>
      </c>
      <c r="Y106" s="60" t="n">
        <v>842</v>
      </c>
      <c r="Z106" s="42" t="n">
        <v>0</v>
      </c>
      <c r="AA106" s="60" t="n">
        <v>992.35</v>
      </c>
      <c r="AB106" s="60" t="n">
        <v>1397.49</v>
      </c>
      <c r="AC106" s="32" t="n">
        <v>103</v>
      </c>
      <c r="AD106" s="42" t="s">
        <v>11923</v>
      </c>
      <c r="AE106" s="42" t="s">
        <v>11390</v>
      </c>
    </row>
    <row r="107" customFormat="false" ht="12.75" hidden="true" customHeight="true" outlineLevel="0" collapsed="false">
      <c r="A107" s="55" t="s">
        <v>11924</v>
      </c>
      <c r="B107" s="55" t="s">
        <v>51</v>
      </c>
      <c r="C107" s="55" t="s">
        <v>3340</v>
      </c>
      <c r="D107" s="32" t="n">
        <v>75015</v>
      </c>
      <c r="E107" s="32" t="s">
        <v>55</v>
      </c>
      <c r="F107" s="32" t="s">
        <v>11925</v>
      </c>
      <c r="G107" s="55" t="s">
        <v>11926</v>
      </c>
      <c r="H107" s="55" t="s">
        <v>11927</v>
      </c>
      <c r="I107" s="32" t="n">
        <v>10</v>
      </c>
      <c r="J107" s="32" t="n">
        <v>0</v>
      </c>
      <c r="K107" s="43" t="e">
        <f aca="false">VLOOKUP(A107,#REF!,2, )</f>
        <v>#VALUE!</v>
      </c>
      <c r="L107" s="32" t="n">
        <v>0</v>
      </c>
      <c r="M107" s="32" t="n">
        <v>0</v>
      </c>
      <c r="N107" s="32" t="n">
        <v>0</v>
      </c>
      <c r="O107" s="42" t="s">
        <v>11928</v>
      </c>
      <c r="P107" s="41" t="n">
        <v>45314.625</v>
      </c>
      <c r="S107" s="60" t="n">
        <v>1012</v>
      </c>
      <c r="T107" s="42" t="n">
        <v>0</v>
      </c>
      <c r="V107" s="60" t="n">
        <v>1574</v>
      </c>
      <c r="W107" s="42" t="n">
        <v>106</v>
      </c>
      <c r="Y107" s="60" t="n">
        <v>1598</v>
      </c>
      <c r="Z107" s="42" t="n">
        <v>87</v>
      </c>
      <c r="AA107" s="60" t="n">
        <v>83.63</v>
      </c>
      <c r="AB107" s="60" t="n">
        <v>1393.19</v>
      </c>
      <c r="AC107" s="32" t="n">
        <v>104</v>
      </c>
      <c r="AD107" s="42" t="s">
        <v>11360</v>
      </c>
    </row>
    <row r="108" customFormat="false" ht="12.75" hidden="true" customHeight="true" outlineLevel="0" collapsed="false">
      <c r="A108" s="55" t="s">
        <v>11929</v>
      </c>
      <c r="B108" s="55" t="s">
        <v>173</v>
      </c>
      <c r="C108" s="55" t="s">
        <v>11930</v>
      </c>
      <c r="D108" s="32" t="n">
        <v>75116</v>
      </c>
      <c r="E108" s="32" t="s">
        <v>55</v>
      </c>
      <c r="F108" s="32" t="s">
        <v>11931</v>
      </c>
      <c r="G108" s="55" t="s">
        <v>11932</v>
      </c>
      <c r="H108" s="55" t="s">
        <v>11933</v>
      </c>
      <c r="I108" s="32" t="n">
        <v>9</v>
      </c>
      <c r="J108" s="32" t="n">
        <v>0</v>
      </c>
      <c r="K108" s="43" t="e">
        <f aca="false">VLOOKUP(A108,#REF!,2, )</f>
        <v>#VALUE!</v>
      </c>
      <c r="L108" s="32" t="n">
        <v>1</v>
      </c>
      <c r="M108" s="32" t="n">
        <v>0</v>
      </c>
      <c r="N108" s="32" t="n">
        <v>0</v>
      </c>
      <c r="O108" s="42" t="s">
        <v>11367</v>
      </c>
      <c r="P108" s="41"/>
      <c r="R108" s="60" t="n">
        <v>474</v>
      </c>
      <c r="S108" s="60" t="n">
        <v>910</v>
      </c>
      <c r="T108" s="42" t="n">
        <v>0</v>
      </c>
      <c r="U108" s="60" t="n">
        <v>457</v>
      </c>
      <c r="V108" s="60" t="n">
        <v>978</v>
      </c>
      <c r="W108" s="42" t="n">
        <v>0</v>
      </c>
      <c r="X108" s="60" t="n">
        <v>167</v>
      </c>
      <c r="Y108" s="60" t="n">
        <v>706</v>
      </c>
      <c r="Z108" s="42" t="n">
        <v>0</v>
      </c>
      <c r="AA108" s="60" t="n">
        <v>167.26</v>
      </c>
      <c r="AB108" s="60" t="n">
        <v>1389.29</v>
      </c>
      <c r="AC108" s="32" t="n">
        <v>105</v>
      </c>
      <c r="AD108" s="42" t="s">
        <v>11683</v>
      </c>
      <c r="AE108" s="42" t="s">
        <v>11384</v>
      </c>
    </row>
    <row r="109" customFormat="false" ht="17.25" hidden="true" customHeight="true" outlineLevel="0" collapsed="false">
      <c r="A109" s="55" t="s">
        <v>11934</v>
      </c>
      <c r="B109" s="55" t="s">
        <v>99</v>
      </c>
      <c r="C109" s="55" t="s">
        <v>11935</v>
      </c>
      <c r="D109" s="32" t="n">
        <v>75015</v>
      </c>
      <c r="E109" s="32" t="s">
        <v>55</v>
      </c>
      <c r="F109" s="32" t="s">
        <v>11936</v>
      </c>
      <c r="G109" s="55" t="s">
        <v>11937</v>
      </c>
      <c r="H109" s="55" t="s">
        <v>11938</v>
      </c>
      <c r="I109" s="32" t="n">
        <v>6</v>
      </c>
      <c r="J109" s="32" t="n">
        <v>0</v>
      </c>
      <c r="K109" s="43" t="e">
        <f aca="false">VLOOKUP(A109,#REF!,2, )</f>
        <v>#VALUE!</v>
      </c>
      <c r="L109" s="32" t="n">
        <v>1</v>
      </c>
      <c r="M109" s="32" t="n">
        <v>1</v>
      </c>
      <c r="N109" s="32" t="n">
        <v>2</v>
      </c>
      <c r="O109" s="42" t="s">
        <v>11367</v>
      </c>
      <c r="P109" s="41" t="n">
        <v>44703</v>
      </c>
      <c r="R109" s="60" t="n">
        <v>981</v>
      </c>
      <c r="S109" s="60" t="n">
        <v>1349</v>
      </c>
      <c r="T109" s="42" t="n">
        <v>119</v>
      </c>
      <c r="U109" s="60" t="n">
        <v>1037</v>
      </c>
      <c r="V109" s="60" t="n">
        <v>1475</v>
      </c>
      <c r="W109" s="42" t="n">
        <v>114</v>
      </c>
      <c r="X109" s="60" t="n">
        <v>769</v>
      </c>
      <c r="Y109" s="60" t="n">
        <v>1418</v>
      </c>
      <c r="Z109" s="42" t="n">
        <v>114</v>
      </c>
      <c r="AA109" s="60" t="n">
        <v>1087.15</v>
      </c>
      <c r="AB109" s="60" t="n">
        <v>1382.51</v>
      </c>
      <c r="AC109" s="32" t="n">
        <v>106</v>
      </c>
      <c r="AE109" s="42" t="s">
        <v>11473</v>
      </c>
    </row>
    <row r="110" customFormat="false" ht="17.25" hidden="true" customHeight="true" outlineLevel="0" collapsed="false">
      <c r="A110" s="55" t="s">
        <v>11939</v>
      </c>
      <c r="B110" s="55" t="s">
        <v>435</v>
      </c>
      <c r="C110" s="55" t="s">
        <v>11940</v>
      </c>
      <c r="D110" s="32" t="n">
        <v>75016</v>
      </c>
      <c r="E110" s="32" t="s">
        <v>55</v>
      </c>
      <c r="F110" s="32" t="s">
        <v>11941</v>
      </c>
      <c r="G110" s="55" t="s">
        <v>11942</v>
      </c>
      <c r="H110" s="55" t="s">
        <v>11943</v>
      </c>
      <c r="I110" s="32" t="n">
        <v>9</v>
      </c>
      <c r="J110" s="32" t="n">
        <v>0</v>
      </c>
      <c r="K110" s="43" t="e">
        <f aca="false">VLOOKUP(A110,#REF!,2, )</f>
        <v>#VALUE!</v>
      </c>
      <c r="L110" s="32" t="n">
        <v>1</v>
      </c>
      <c r="M110" s="32" t="n">
        <v>0</v>
      </c>
      <c r="N110" s="32" t="n">
        <v>0</v>
      </c>
      <c r="O110" s="42" t="s">
        <v>11367</v>
      </c>
      <c r="P110" s="41"/>
      <c r="R110" s="60" t="n">
        <v>1187</v>
      </c>
      <c r="S110" s="60" t="n">
        <v>1684</v>
      </c>
      <c r="T110" s="42" t="n">
        <v>89</v>
      </c>
      <c r="U110" s="60" t="n">
        <v>836</v>
      </c>
      <c r="V110" s="60" t="n">
        <v>1440</v>
      </c>
      <c r="W110" s="42" t="n">
        <v>116</v>
      </c>
      <c r="X110" s="60" t="n">
        <v>518</v>
      </c>
      <c r="Y110" s="60" t="n">
        <v>1360</v>
      </c>
      <c r="Z110" s="42" t="n">
        <v>0</v>
      </c>
      <c r="AA110" s="60" t="n">
        <v>992.36</v>
      </c>
      <c r="AB110" s="60" t="n">
        <v>1370.21</v>
      </c>
      <c r="AC110" s="32" t="n">
        <v>107</v>
      </c>
      <c r="AD110" s="42" t="s">
        <v>11375</v>
      </c>
      <c r="AE110" s="42" t="s">
        <v>11473</v>
      </c>
    </row>
    <row r="111" customFormat="false" ht="12.75" hidden="true" customHeight="true" outlineLevel="0" collapsed="false">
      <c r="A111" s="55" t="s">
        <v>11944</v>
      </c>
      <c r="B111" s="55" t="s">
        <v>51</v>
      </c>
      <c r="C111" s="55" t="s">
        <v>11945</v>
      </c>
      <c r="D111" s="32" t="n">
        <v>75015</v>
      </c>
      <c r="E111" s="32" t="s">
        <v>55</v>
      </c>
      <c r="F111" s="32" t="s">
        <v>11946</v>
      </c>
      <c r="G111" s="55" t="s">
        <v>11947</v>
      </c>
      <c r="H111" s="55" t="s">
        <v>11948</v>
      </c>
      <c r="I111" s="32" t="n">
        <v>8</v>
      </c>
      <c r="J111" s="32" t="n">
        <v>0</v>
      </c>
      <c r="K111" s="43" t="e">
        <f aca="false">VLOOKUP(A111,#REF!,2, )</f>
        <v>#VALUE!</v>
      </c>
      <c r="L111" s="32" t="n">
        <v>1</v>
      </c>
      <c r="M111" s="32" t="n">
        <v>1</v>
      </c>
      <c r="N111" s="32" t="n">
        <v>0</v>
      </c>
      <c r="O111" s="42" t="s">
        <v>11367</v>
      </c>
      <c r="P111" s="41"/>
      <c r="R111" s="60" t="n">
        <v>435</v>
      </c>
      <c r="S111" s="60" t="n">
        <v>1452</v>
      </c>
      <c r="T111" s="42" t="n">
        <v>110</v>
      </c>
      <c r="U111" s="60" t="n">
        <v>680</v>
      </c>
      <c r="V111" s="60" t="n">
        <v>1163</v>
      </c>
      <c r="W111" s="42" t="n">
        <v>0</v>
      </c>
      <c r="X111" s="60" t="n">
        <v>708</v>
      </c>
      <c r="Y111" s="60" t="n">
        <v>1025</v>
      </c>
      <c r="Z111" s="42" t="n">
        <v>0</v>
      </c>
      <c r="AA111" s="60" t="n">
        <v>1087.15</v>
      </c>
      <c r="AB111" s="60" t="n">
        <v>1359.12</v>
      </c>
      <c r="AC111" s="32" t="n">
        <v>108</v>
      </c>
      <c r="AD111" s="42" t="s">
        <v>11949</v>
      </c>
      <c r="AE111" s="42" t="s">
        <v>11950</v>
      </c>
    </row>
    <row r="112" customFormat="false" ht="12.75" hidden="true" customHeight="true" outlineLevel="0" collapsed="false">
      <c r="A112" s="55" t="s">
        <v>11951</v>
      </c>
      <c r="B112" s="55" t="s">
        <v>197</v>
      </c>
      <c r="C112" s="55" t="s">
        <v>11952</v>
      </c>
      <c r="D112" s="32" t="n">
        <v>75017</v>
      </c>
      <c r="E112" s="32" t="s">
        <v>55</v>
      </c>
      <c r="F112" s="32" t="s">
        <v>11953</v>
      </c>
      <c r="G112" s="55" t="s">
        <v>11954</v>
      </c>
      <c r="H112" s="55" t="s">
        <v>11955</v>
      </c>
      <c r="I112" s="32" t="n">
        <v>7</v>
      </c>
      <c r="J112" s="32" t="n">
        <v>0</v>
      </c>
      <c r="K112" s="43" t="e">
        <f aca="false">VLOOKUP(A112,#REF!,2, )</f>
        <v>#VALUE!</v>
      </c>
      <c r="L112" s="32" t="n">
        <v>1</v>
      </c>
      <c r="M112" s="32" t="n">
        <v>0</v>
      </c>
      <c r="N112" s="32" t="n">
        <v>0</v>
      </c>
      <c r="O112" s="42" t="s">
        <v>11367</v>
      </c>
      <c r="P112" s="41"/>
      <c r="S112" s="60" t="n">
        <v>1188</v>
      </c>
      <c r="T112" s="42" t="n">
        <v>0</v>
      </c>
      <c r="U112" s="60" t="n">
        <v>167</v>
      </c>
      <c r="V112" s="60" t="n">
        <v>1825</v>
      </c>
      <c r="W112" s="42" t="n">
        <v>76</v>
      </c>
      <c r="X112" s="60" t="n">
        <v>167</v>
      </c>
      <c r="Y112" s="60" t="n">
        <v>1871</v>
      </c>
      <c r="Z112" s="42" t="n">
        <v>65</v>
      </c>
      <c r="AA112" s="60" t="n">
        <v>250.89</v>
      </c>
      <c r="AB112" s="60" t="n">
        <v>1348.8</v>
      </c>
      <c r="AC112" s="32" t="n">
        <v>109</v>
      </c>
      <c r="AD112" s="42" t="s">
        <v>11683</v>
      </c>
    </row>
    <row r="113" customFormat="false" ht="12.75" hidden="true" customHeight="true" outlineLevel="0" collapsed="false">
      <c r="A113" s="55" t="s">
        <v>11956</v>
      </c>
      <c r="B113" s="55" t="s">
        <v>99</v>
      </c>
      <c r="C113" s="55" t="s">
        <v>11957</v>
      </c>
      <c r="D113" s="32" t="n">
        <v>75015</v>
      </c>
      <c r="E113" s="32" t="s">
        <v>55</v>
      </c>
      <c r="F113" s="32" t="s">
        <v>11958</v>
      </c>
      <c r="G113" s="55" t="s">
        <v>11959</v>
      </c>
      <c r="H113" s="55" t="s">
        <v>11960</v>
      </c>
      <c r="I113" s="32" t="n">
        <v>9</v>
      </c>
      <c r="J113" s="32" t="n">
        <v>0</v>
      </c>
      <c r="K113" s="43" t="e">
        <f aca="false">VLOOKUP(A113,#REF!,2, )</f>
        <v>#VALUE!</v>
      </c>
      <c r="L113" s="32" t="n">
        <v>0</v>
      </c>
      <c r="M113" s="32" t="n">
        <v>0</v>
      </c>
      <c r="N113" s="32" t="n">
        <v>0</v>
      </c>
      <c r="O113" s="42" t="s">
        <v>11367</v>
      </c>
      <c r="P113" s="41"/>
      <c r="S113" s="60" t="n">
        <v>603</v>
      </c>
      <c r="T113" s="42" t="n">
        <v>0</v>
      </c>
      <c r="V113" s="60" t="n">
        <v>496</v>
      </c>
      <c r="W113" s="42" t="n">
        <v>0</v>
      </c>
      <c r="Y113" s="60" t="n">
        <v>383</v>
      </c>
      <c r="Z113" s="42" t="n">
        <v>0</v>
      </c>
      <c r="AA113" s="60" t="n">
        <v>301.06</v>
      </c>
      <c r="AB113" s="60" t="n">
        <v>1331.85</v>
      </c>
      <c r="AC113" s="32" t="n">
        <v>110</v>
      </c>
      <c r="AD113" s="42" t="s">
        <v>11472</v>
      </c>
    </row>
    <row r="114" customFormat="false" ht="12.75" hidden="true" customHeight="true" outlineLevel="0" collapsed="false">
      <c r="A114" s="55" t="s">
        <v>11961</v>
      </c>
      <c r="B114" s="55" t="s">
        <v>119</v>
      </c>
      <c r="C114" s="55" t="s">
        <v>11962</v>
      </c>
      <c r="D114" s="32" t="n">
        <v>75007</v>
      </c>
      <c r="E114" s="32" t="s">
        <v>55</v>
      </c>
      <c r="F114" s="32" t="s">
        <v>11963</v>
      </c>
      <c r="G114" s="55" t="s">
        <v>11964</v>
      </c>
      <c r="H114" s="55" t="s">
        <v>11965</v>
      </c>
      <c r="I114" s="32" t="n">
        <v>5</v>
      </c>
      <c r="J114" s="32" t="n">
        <v>0</v>
      </c>
      <c r="K114" s="43" t="e">
        <f aca="false">VLOOKUP(A114,#REF!,2, )</f>
        <v>#VALUE!</v>
      </c>
      <c r="L114" s="32" t="n">
        <v>1</v>
      </c>
      <c r="M114" s="32" t="n">
        <v>0</v>
      </c>
      <c r="N114" s="32" t="n">
        <v>0</v>
      </c>
      <c r="O114" s="42" t="s">
        <v>11367</v>
      </c>
      <c r="P114" s="41"/>
      <c r="R114" s="60" t="n">
        <v>217</v>
      </c>
      <c r="S114" s="60" t="n">
        <v>1333</v>
      </c>
      <c r="T114" s="42" t="n">
        <v>120</v>
      </c>
      <c r="U114" s="60" t="n">
        <v>725</v>
      </c>
      <c r="V114" s="60" t="n">
        <v>923</v>
      </c>
      <c r="W114" s="42" t="n">
        <v>0</v>
      </c>
      <c r="X114" s="60" t="n">
        <v>725</v>
      </c>
      <c r="Y114" s="60" t="n">
        <v>928</v>
      </c>
      <c r="Z114" s="42" t="n">
        <v>0</v>
      </c>
      <c r="AA114" s="60" t="n">
        <v>590.96</v>
      </c>
      <c r="AB114" s="60" t="n">
        <v>1323.27</v>
      </c>
      <c r="AC114" s="32" t="n">
        <v>111</v>
      </c>
      <c r="AD114" s="42" t="s">
        <v>11501</v>
      </c>
      <c r="AE114" s="42" t="s">
        <v>11473</v>
      </c>
    </row>
    <row r="115" customFormat="false" ht="12.75" hidden="true" customHeight="true" outlineLevel="0" collapsed="false">
      <c r="A115" s="55" t="s">
        <v>11966</v>
      </c>
      <c r="B115" s="55" t="s">
        <v>295</v>
      </c>
      <c r="C115" s="55" t="s">
        <v>11967</v>
      </c>
      <c r="D115" s="32" t="n">
        <v>92300</v>
      </c>
      <c r="E115" s="32" t="s">
        <v>11355</v>
      </c>
      <c r="F115" s="32" t="s">
        <v>11968</v>
      </c>
      <c r="G115" s="55" t="s">
        <v>11969</v>
      </c>
      <c r="H115" s="55" t="s">
        <v>11970</v>
      </c>
      <c r="I115" s="32" t="n">
        <v>5</v>
      </c>
      <c r="J115" s="32" t="n">
        <v>0</v>
      </c>
      <c r="K115" s="43" t="e">
        <f aca="false">VLOOKUP(A115,#REF!,2, )</f>
        <v>#VALUE!</v>
      </c>
      <c r="L115" s="32" t="n">
        <v>1</v>
      </c>
      <c r="M115" s="32" t="n">
        <v>0</v>
      </c>
      <c r="N115" s="32" t="n">
        <v>0</v>
      </c>
      <c r="O115" s="42" t="s">
        <v>11367</v>
      </c>
      <c r="P115" s="41"/>
      <c r="S115" s="60" t="n">
        <v>1614</v>
      </c>
      <c r="T115" s="42" t="n">
        <v>93</v>
      </c>
      <c r="U115" s="60" t="n">
        <v>217</v>
      </c>
      <c r="V115" s="60" t="n">
        <v>1548</v>
      </c>
      <c r="W115" s="42" t="n">
        <v>110</v>
      </c>
      <c r="X115" s="60" t="n">
        <v>217</v>
      </c>
      <c r="Y115" s="60" t="n">
        <v>1308</v>
      </c>
      <c r="Z115" s="42" t="n">
        <v>0</v>
      </c>
      <c r="AA115" s="60" t="n">
        <v>217.43</v>
      </c>
      <c r="AB115" s="60" t="n">
        <v>1297.28</v>
      </c>
      <c r="AC115" s="32" t="n">
        <v>112</v>
      </c>
      <c r="AD115" s="42" t="s">
        <v>11397</v>
      </c>
    </row>
    <row r="116" customFormat="false" ht="12.75" hidden="false" customHeight="true" outlineLevel="0" collapsed="false">
      <c r="A116" s="55" t="s">
        <v>11971</v>
      </c>
      <c r="B116" s="55" t="s">
        <v>295</v>
      </c>
      <c r="C116" s="55" t="s">
        <v>11972</v>
      </c>
      <c r="D116" s="32" t="n">
        <v>92300</v>
      </c>
      <c r="E116" s="32" t="s">
        <v>11355</v>
      </c>
      <c r="F116" s="32" t="s">
        <v>11973</v>
      </c>
      <c r="G116" s="55" t="s">
        <v>11974</v>
      </c>
      <c r="H116" s="55" t="s">
        <v>11975</v>
      </c>
      <c r="I116" s="32" t="n">
        <v>5</v>
      </c>
      <c r="J116" s="32" t="n">
        <v>0</v>
      </c>
      <c r="K116" s="43" t="e">
        <f aca="false">VLOOKUP(A116,#REF!,2, )</f>
        <v>#VALUE!</v>
      </c>
      <c r="L116" s="32" t="n">
        <v>1</v>
      </c>
      <c r="M116" s="32" t="n">
        <v>1</v>
      </c>
      <c r="N116" s="32" t="n">
        <v>0</v>
      </c>
      <c r="O116" s="42" t="s">
        <v>11367</v>
      </c>
      <c r="P116" s="41"/>
      <c r="R116" s="60" t="n">
        <v>859</v>
      </c>
      <c r="S116" s="60" t="n">
        <v>1509</v>
      </c>
      <c r="T116" s="42" t="n">
        <v>104</v>
      </c>
      <c r="U116" s="60" t="n">
        <v>468</v>
      </c>
      <c r="V116" s="60" t="n">
        <v>1776</v>
      </c>
      <c r="W116" s="42" t="n">
        <v>80</v>
      </c>
      <c r="X116" s="60" t="n">
        <v>558</v>
      </c>
      <c r="Y116" s="60" t="n">
        <v>1460</v>
      </c>
      <c r="Z116" s="42" t="n">
        <v>108</v>
      </c>
      <c r="AA116" s="60" t="n">
        <v>557.5</v>
      </c>
      <c r="AB116" s="60" t="n">
        <v>1273.58</v>
      </c>
      <c r="AC116" s="32" t="n">
        <v>113</v>
      </c>
      <c r="AD116" s="42" t="s">
        <v>11411</v>
      </c>
    </row>
    <row r="117" customFormat="false" ht="17.25" hidden="false" customHeight="true" outlineLevel="0" collapsed="false">
      <c r="A117" s="71" t="s">
        <v>11976</v>
      </c>
      <c r="B117" s="72" t="s">
        <v>387</v>
      </c>
      <c r="C117" s="71" t="s">
        <v>11977</v>
      </c>
      <c r="D117" s="73" t="n">
        <v>75016</v>
      </c>
      <c r="E117" s="73" t="s">
        <v>55</v>
      </c>
      <c r="F117" s="73" t="s">
        <v>11978</v>
      </c>
      <c r="G117" s="71" t="s">
        <v>11979</v>
      </c>
      <c r="H117" s="71" t="s">
        <v>11980</v>
      </c>
      <c r="I117" s="32" t="n">
        <v>7</v>
      </c>
      <c r="J117" s="32" t="n">
        <v>0</v>
      </c>
      <c r="K117" s="43" t="e">
        <f aca="false">VLOOKUP(A117,#REF!,2, )</f>
        <v>#VALUE!</v>
      </c>
      <c r="L117" s="32" t="n">
        <v>1</v>
      </c>
      <c r="M117" s="32" t="n">
        <v>0</v>
      </c>
      <c r="N117" s="32" t="n">
        <v>2</v>
      </c>
      <c r="O117" s="42" t="s">
        <v>11367</v>
      </c>
      <c r="P117" s="41" t="n">
        <v>44717</v>
      </c>
      <c r="R117" s="60" t="n">
        <v>297</v>
      </c>
      <c r="S117" s="60" t="n">
        <v>1021</v>
      </c>
      <c r="T117" s="42" t="n">
        <v>0</v>
      </c>
      <c r="U117" s="60" t="n">
        <v>254</v>
      </c>
      <c r="V117" s="60" t="n">
        <v>1576</v>
      </c>
      <c r="W117" s="42" t="n">
        <v>105</v>
      </c>
      <c r="X117" s="60" t="n">
        <v>175</v>
      </c>
      <c r="Y117" s="60" t="n">
        <v>1690</v>
      </c>
      <c r="Z117" s="42" t="n">
        <v>81</v>
      </c>
      <c r="AA117" s="60" t="n">
        <v>252.42</v>
      </c>
      <c r="AB117" s="60" t="n">
        <v>1268.27</v>
      </c>
      <c r="AC117" s="32" t="n">
        <v>114</v>
      </c>
      <c r="AD117" s="42" t="s">
        <v>11560</v>
      </c>
    </row>
    <row r="118" customFormat="false" ht="12.75" hidden="false" customHeight="true" outlineLevel="0" collapsed="false">
      <c r="A118" s="71" t="s">
        <v>11981</v>
      </c>
      <c r="B118" s="72" t="s">
        <v>99</v>
      </c>
      <c r="C118" s="71" t="s">
        <v>11982</v>
      </c>
      <c r="D118" s="73" t="n">
        <v>75015</v>
      </c>
      <c r="E118" s="73" t="s">
        <v>55</v>
      </c>
      <c r="F118" s="73" t="s">
        <v>11983</v>
      </c>
      <c r="G118" s="71" t="s">
        <v>11984</v>
      </c>
      <c r="H118" s="71" t="s">
        <v>11985</v>
      </c>
      <c r="I118" s="32" t="n">
        <v>7</v>
      </c>
      <c r="J118" s="32" t="n">
        <v>0</v>
      </c>
      <c r="K118" s="43" t="e">
        <f aca="false">VLOOKUP(A118,#REF!,2, )</f>
        <v>#VALUE!</v>
      </c>
      <c r="L118" s="32" t="n">
        <v>1</v>
      </c>
      <c r="M118" s="32" t="n">
        <v>0</v>
      </c>
      <c r="N118" s="32" t="n">
        <v>0</v>
      </c>
      <c r="O118" s="42" t="s">
        <v>11367</v>
      </c>
      <c r="P118" s="41"/>
      <c r="R118" s="60" t="n">
        <v>190</v>
      </c>
      <c r="S118" s="60" t="n">
        <v>992</v>
      </c>
      <c r="T118" s="42" t="n">
        <v>0</v>
      </c>
      <c r="U118" s="60" t="n">
        <v>84</v>
      </c>
      <c r="V118" s="60" t="n">
        <v>963</v>
      </c>
      <c r="W118" s="42" t="n">
        <v>0</v>
      </c>
      <c r="X118" s="60" t="n">
        <v>167</v>
      </c>
      <c r="Y118" s="60" t="n">
        <v>1140</v>
      </c>
      <c r="Z118" s="42" t="n">
        <v>0</v>
      </c>
      <c r="AA118" s="60" t="n">
        <v>250.89</v>
      </c>
      <c r="AB118" s="60" t="n">
        <v>1266.73</v>
      </c>
      <c r="AC118" s="32" t="n">
        <v>115</v>
      </c>
      <c r="AD118" s="42" t="s">
        <v>11360</v>
      </c>
    </row>
    <row r="119" customFormat="false" ht="12.75" hidden="true" customHeight="true" outlineLevel="0" collapsed="false">
      <c r="A119" s="55" t="s">
        <v>11986</v>
      </c>
      <c r="B119" s="55" t="s">
        <v>173</v>
      </c>
      <c r="C119" s="55" t="s">
        <v>11987</v>
      </c>
      <c r="D119" s="32" t="n">
        <v>75116</v>
      </c>
      <c r="E119" s="32" t="s">
        <v>55</v>
      </c>
      <c r="F119" s="32" t="s">
        <v>11988</v>
      </c>
      <c r="G119" s="55" t="s">
        <v>11989</v>
      </c>
      <c r="H119" s="55" t="s">
        <v>11990</v>
      </c>
      <c r="I119" s="32" t="n">
        <v>6</v>
      </c>
      <c r="J119" s="32" t="n">
        <v>0</v>
      </c>
      <c r="K119" s="43" t="e">
        <f aca="false">VLOOKUP(A119,#REF!,2, )</f>
        <v>#VALUE!</v>
      </c>
      <c r="L119" s="32" t="n">
        <v>1</v>
      </c>
      <c r="M119" s="32" t="n">
        <v>1</v>
      </c>
      <c r="N119" s="32" t="n">
        <v>1</v>
      </c>
      <c r="O119" s="42" t="s">
        <v>11367</v>
      </c>
      <c r="P119" s="41" t="n">
        <v>44573</v>
      </c>
      <c r="R119" s="60" t="n">
        <v>847</v>
      </c>
      <c r="S119" s="60" t="n">
        <v>728</v>
      </c>
      <c r="T119" s="42" t="n">
        <v>0</v>
      </c>
      <c r="U119" s="60" t="n">
        <v>741</v>
      </c>
      <c r="V119" s="60" t="n">
        <v>923</v>
      </c>
      <c r="W119" s="42" t="n">
        <v>0</v>
      </c>
      <c r="X119" s="60" t="n">
        <v>440</v>
      </c>
      <c r="Y119" s="60" t="n">
        <v>667</v>
      </c>
      <c r="Z119" s="42" t="n">
        <v>0</v>
      </c>
      <c r="AA119" s="60" t="n">
        <v>334.52</v>
      </c>
      <c r="AB119" s="60" t="n">
        <v>1258.29</v>
      </c>
      <c r="AC119" s="32" t="n">
        <v>116</v>
      </c>
    </row>
    <row r="120" customFormat="false" ht="12.75" hidden="true" customHeight="true" outlineLevel="0" collapsed="false">
      <c r="A120" s="55" t="s">
        <v>11991</v>
      </c>
      <c r="B120" s="55" t="s">
        <v>99</v>
      </c>
      <c r="C120" s="55" t="s">
        <v>11992</v>
      </c>
      <c r="D120" s="32" t="n">
        <v>75015</v>
      </c>
      <c r="E120" s="32" t="s">
        <v>55</v>
      </c>
      <c r="F120" s="32" t="s">
        <v>11993</v>
      </c>
      <c r="G120" s="55" t="s">
        <v>11994</v>
      </c>
      <c r="H120" s="55" t="s">
        <v>11995</v>
      </c>
      <c r="I120" s="32" t="n">
        <v>7</v>
      </c>
      <c r="J120" s="32" t="n">
        <v>0</v>
      </c>
      <c r="K120" s="43" t="e">
        <f aca="false">VLOOKUP(A120,#REF!,2, )</f>
        <v>#VALUE!</v>
      </c>
      <c r="L120" s="32" t="n">
        <v>1</v>
      </c>
      <c r="M120" s="32" t="n">
        <v>1</v>
      </c>
      <c r="N120" s="32" t="n">
        <v>2</v>
      </c>
      <c r="O120" s="42" t="s">
        <v>11367</v>
      </c>
      <c r="P120" s="41" t="n">
        <v>44674</v>
      </c>
      <c r="R120" s="60" t="n">
        <v>513</v>
      </c>
      <c r="S120" s="60" t="n">
        <v>1128</v>
      </c>
      <c r="T120" s="42" t="n">
        <v>0</v>
      </c>
      <c r="U120" s="60" t="n">
        <v>948</v>
      </c>
      <c r="V120" s="60" t="n">
        <v>1197</v>
      </c>
      <c r="W120" s="42" t="n">
        <v>0</v>
      </c>
      <c r="X120" s="60" t="n">
        <v>613</v>
      </c>
      <c r="Y120" s="60" t="n">
        <v>1098</v>
      </c>
      <c r="Z120" s="42" t="n">
        <v>0</v>
      </c>
      <c r="AA120" s="60" t="n">
        <v>652.29</v>
      </c>
      <c r="AB120" s="60" t="n">
        <v>1250.13</v>
      </c>
      <c r="AC120" s="32" t="n">
        <v>117</v>
      </c>
      <c r="AD120" s="42" t="s">
        <v>11656</v>
      </c>
    </row>
    <row r="121" customFormat="false" ht="12.75" hidden="true" customHeight="true" outlineLevel="0" collapsed="false">
      <c r="A121" s="55" t="s">
        <v>11996</v>
      </c>
      <c r="B121" s="55" t="s">
        <v>119</v>
      </c>
      <c r="C121" s="55" t="s">
        <v>11997</v>
      </c>
      <c r="D121" s="32" t="n">
        <v>75007</v>
      </c>
      <c r="E121" s="32" t="s">
        <v>55</v>
      </c>
      <c r="F121" s="32" t="s">
        <v>11998</v>
      </c>
      <c r="G121" s="55" t="s">
        <v>11999</v>
      </c>
      <c r="H121" s="55" t="s">
        <v>12000</v>
      </c>
      <c r="I121" s="32" t="n">
        <v>6</v>
      </c>
      <c r="J121" s="32" t="n">
        <v>0</v>
      </c>
      <c r="K121" s="43" t="e">
        <f aca="false">VLOOKUP(A121,#REF!,2, )</f>
        <v>#VALUE!</v>
      </c>
      <c r="L121" s="32" t="n">
        <v>1</v>
      </c>
      <c r="M121" s="32" t="n">
        <v>1</v>
      </c>
      <c r="N121" s="32" t="n">
        <v>1</v>
      </c>
      <c r="O121" s="42" t="s">
        <v>11367</v>
      </c>
      <c r="P121" s="41" t="n">
        <v>44613</v>
      </c>
      <c r="R121" s="60" t="n">
        <v>513</v>
      </c>
      <c r="S121" s="60" t="n">
        <v>1612</v>
      </c>
      <c r="T121" s="42" t="n">
        <v>95</v>
      </c>
      <c r="U121" s="60" t="n">
        <v>491</v>
      </c>
      <c r="V121" s="60" t="n">
        <v>1365</v>
      </c>
      <c r="W121" s="42" t="n">
        <v>0</v>
      </c>
      <c r="X121" s="60" t="n">
        <v>156</v>
      </c>
      <c r="Y121" s="60" t="n">
        <v>1306</v>
      </c>
      <c r="Z121" s="42" t="n">
        <v>0</v>
      </c>
      <c r="AA121" s="60" t="n">
        <v>167.26</v>
      </c>
      <c r="AB121" s="60" t="n">
        <v>1245.41</v>
      </c>
      <c r="AC121" s="32" t="n">
        <v>118</v>
      </c>
      <c r="AD121" s="42" t="s">
        <v>11501</v>
      </c>
      <c r="AE121" s="42" t="s">
        <v>11376</v>
      </c>
    </row>
    <row r="122" customFormat="false" ht="17.25" hidden="true" customHeight="true" outlineLevel="0" collapsed="false">
      <c r="A122" s="55" t="s">
        <v>12001</v>
      </c>
      <c r="B122" s="55" t="s">
        <v>99</v>
      </c>
      <c r="C122" s="55" t="s">
        <v>12002</v>
      </c>
      <c r="D122" s="32" t="n">
        <v>75015</v>
      </c>
      <c r="E122" s="32" t="s">
        <v>55</v>
      </c>
      <c r="F122" s="32" t="s">
        <v>12003</v>
      </c>
      <c r="G122" s="55" t="s">
        <v>12004</v>
      </c>
      <c r="H122" s="55" t="s">
        <v>12005</v>
      </c>
      <c r="I122" s="32" t="n">
        <v>9</v>
      </c>
      <c r="J122" s="32" t="n">
        <v>0</v>
      </c>
      <c r="K122" s="43" t="e">
        <f aca="false">VLOOKUP(A122,#REF!,2, )</f>
        <v>#VALUE!</v>
      </c>
      <c r="L122" s="32" t="n">
        <v>1</v>
      </c>
      <c r="M122" s="32" t="n">
        <v>0</v>
      </c>
      <c r="N122" s="32" t="n">
        <v>0</v>
      </c>
      <c r="O122" s="42" t="s">
        <v>11367</v>
      </c>
      <c r="P122" s="41"/>
      <c r="R122" s="60" t="n">
        <v>600</v>
      </c>
      <c r="S122" s="60" t="n">
        <v>1184</v>
      </c>
      <c r="T122" s="42" t="n">
        <v>0</v>
      </c>
      <c r="U122" s="60" t="n">
        <v>210</v>
      </c>
      <c r="V122" s="60" t="n">
        <v>888</v>
      </c>
      <c r="W122" s="42" t="n">
        <v>0</v>
      </c>
      <c r="X122" s="60" t="n">
        <v>210</v>
      </c>
      <c r="Y122" s="60" t="n">
        <v>762</v>
      </c>
      <c r="Z122" s="42" t="n">
        <v>0</v>
      </c>
      <c r="AA122" s="60" t="n">
        <v>434.86</v>
      </c>
      <c r="AB122" s="60" t="n">
        <v>1229.11</v>
      </c>
      <c r="AC122" s="32" t="n">
        <v>119</v>
      </c>
      <c r="AD122" s="42" t="s">
        <v>11759</v>
      </c>
      <c r="AE122" s="42" t="s">
        <v>11384</v>
      </c>
    </row>
    <row r="123" customFormat="false" ht="17.25" hidden="true" customHeight="true" outlineLevel="0" collapsed="false">
      <c r="A123" s="55" t="s">
        <v>12006</v>
      </c>
      <c r="B123" s="55" t="s">
        <v>233</v>
      </c>
      <c r="C123" s="55" t="s">
        <v>12007</v>
      </c>
      <c r="D123" s="32" t="n">
        <v>75015</v>
      </c>
      <c r="E123" s="32" t="s">
        <v>55</v>
      </c>
      <c r="F123" s="32" t="s">
        <v>12008</v>
      </c>
      <c r="G123" s="55" t="s">
        <v>12009</v>
      </c>
      <c r="H123" s="55" t="s">
        <v>12010</v>
      </c>
      <c r="I123" s="32" t="n">
        <v>5</v>
      </c>
      <c r="J123" s="32" t="n">
        <v>0</v>
      </c>
      <c r="K123" s="43" t="e">
        <f aca="false">VLOOKUP(A123,#REF!,2, )</f>
        <v>#VALUE!</v>
      </c>
      <c r="L123" s="32" t="n">
        <v>1</v>
      </c>
      <c r="M123" s="32" t="n">
        <v>1</v>
      </c>
      <c r="N123" s="32" t="n">
        <v>0</v>
      </c>
      <c r="O123" s="42" t="s">
        <v>11367</v>
      </c>
      <c r="P123" s="41"/>
      <c r="R123" s="60" t="n">
        <v>886</v>
      </c>
      <c r="S123" s="60" t="n">
        <v>1614</v>
      </c>
      <c r="T123" s="42" t="n">
        <v>94</v>
      </c>
      <c r="U123" s="60" t="n">
        <v>769</v>
      </c>
      <c r="V123" s="60" t="n">
        <v>1334</v>
      </c>
      <c r="W123" s="42" t="n">
        <v>0</v>
      </c>
      <c r="X123" s="60" t="n">
        <v>652</v>
      </c>
      <c r="Y123" s="60" t="n">
        <v>997</v>
      </c>
      <c r="Z123" s="42" t="n">
        <v>0</v>
      </c>
      <c r="AA123" s="60" t="n">
        <v>652.29</v>
      </c>
      <c r="AB123" s="60" t="n">
        <v>1226.17</v>
      </c>
      <c r="AC123" s="32" t="n">
        <v>120</v>
      </c>
      <c r="AD123" s="42" t="s">
        <v>11411</v>
      </c>
    </row>
    <row r="124" customFormat="false" ht="12.75" hidden="true" customHeight="true" outlineLevel="0" collapsed="false">
      <c r="A124" s="55" t="s">
        <v>12011</v>
      </c>
      <c r="B124" s="55" t="s">
        <v>119</v>
      </c>
      <c r="C124" s="55" t="s">
        <v>12012</v>
      </c>
      <c r="D124" s="32" t="n">
        <v>75007</v>
      </c>
      <c r="E124" s="32" t="s">
        <v>55</v>
      </c>
      <c r="F124" s="32" t="s">
        <v>12013</v>
      </c>
      <c r="G124" s="55" t="s">
        <v>12014</v>
      </c>
      <c r="H124" s="55" t="s">
        <v>12015</v>
      </c>
      <c r="I124" s="32" t="n">
        <v>3</v>
      </c>
      <c r="J124" s="32" t="n">
        <v>0</v>
      </c>
      <c r="K124" s="43" t="e">
        <f aca="false">VLOOKUP(A124,#REF!,2, )</f>
        <v>#VALUE!</v>
      </c>
      <c r="L124" s="32" t="n">
        <v>1</v>
      </c>
      <c r="M124" s="32" t="n">
        <v>1</v>
      </c>
      <c r="N124" s="32" t="n">
        <v>2</v>
      </c>
      <c r="O124" s="42" t="s">
        <v>12016</v>
      </c>
      <c r="P124" s="41" t="n">
        <v>45293.4375</v>
      </c>
      <c r="R124" s="60" t="n">
        <v>629</v>
      </c>
      <c r="S124" s="60" t="n">
        <v>1210</v>
      </c>
      <c r="T124" s="42" t="n">
        <v>0</v>
      </c>
      <c r="U124" s="60" t="n">
        <v>796</v>
      </c>
      <c r="V124" s="60" t="n">
        <v>1384</v>
      </c>
      <c r="W124" s="42" t="n">
        <v>120</v>
      </c>
      <c r="X124" s="60" t="n">
        <v>851</v>
      </c>
      <c r="Y124" s="60" t="n">
        <v>1483</v>
      </c>
      <c r="Z124" s="42" t="n">
        <v>103</v>
      </c>
      <c r="AA124" s="60" t="n">
        <v>791.68</v>
      </c>
      <c r="AB124" s="60" t="n">
        <v>1206.96</v>
      </c>
      <c r="AD124" s="42" t="s">
        <v>11560</v>
      </c>
      <c r="AE124" s="42" t="s">
        <v>11376</v>
      </c>
    </row>
    <row r="125" customFormat="false" ht="12.75" hidden="true" customHeight="true" outlineLevel="0" collapsed="false">
      <c r="A125" s="55" t="s">
        <v>12017</v>
      </c>
      <c r="B125" s="55" t="s">
        <v>119</v>
      </c>
      <c r="C125" s="55" t="s">
        <v>12018</v>
      </c>
      <c r="D125" s="32" t="n">
        <v>75007</v>
      </c>
      <c r="E125" s="32" t="s">
        <v>55</v>
      </c>
      <c r="F125" s="32" t="s">
        <v>12019</v>
      </c>
      <c r="G125" s="55" t="s">
        <v>12020</v>
      </c>
      <c r="H125" s="55" t="s">
        <v>12021</v>
      </c>
      <c r="I125" s="32" t="n">
        <v>4</v>
      </c>
      <c r="J125" s="32" t="n">
        <v>0</v>
      </c>
      <c r="K125" s="43" t="e">
        <f aca="false">VLOOKUP(A125,#REF!,2, )</f>
        <v>#VALUE!</v>
      </c>
      <c r="L125" s="32" t="n">
        <v>1</v>
      </c>
      <c r="M125" s="32" t="n">
        <v>0</v>
      </c>
      <c r="N125" s="32" t="n">
        <v>2</v>
      </c>
      <c r="O125" s="42" t="s">
        <v>12022</v>
      </c>
      <c r="P125" s="41" t="n">
        <v>45336.375</v>
      </c>
      <c r="R125" s="60" t="n">
        <v>985</v>
      </c>
      <c r="S125" s="60" t="n">
        <v>1288</v>
      </c>
      <c r="T125" s="42" t="n">
        <v>0</v>
      </c>
      <c r="U125" s="60" t="n">
        <v>1724</v>
      </c>
      <c r="V125" s="60" t="n">
        <v>1695</v>
      </c>
      <c r="W125" s="42" t="n">
        <v>93</v>
      </c>
      <c r="X125" s="60" t="n">
        <v>1477</v>
      </c>
      <c r="Y125" s="60" t="n">
        <v>1574</v>
      </c>
      <c r="Z125" s="42" t="n">
        <v>91</v>
      </c>
      <c r="AA125" s="60" t="n">
        <v>1169.64</v>
      </c>
      <c r="AB125" s="60" t="n">
        <v>1193.04</v>
      </c>
      <c r="AD125" s="42" t="s">
        <v>11466</v>
      </c>
    </row>
    <row r="126" customFormat="false" ht="12.75" hidden="true" customHeight="true" outlineLevel="0" collapsed="false">
      <c r="A126" s="55" t="s">
        <v>12023</v>
      </c>
      <c r="B126" s="55" t="s">
        <v>435</v>
      </c>
      <c r="C126" s="55" t="s">
        <v>12024</v>
      </c>
      <c r="D126" s="32" t="n">
        <v>75116</v>
      </c>
      <c r="E126" s="32" t="s">
        <v>55</v>
      </c>
      <c r="F126" s="32" t="s">
        <v>12025</v>
      </c>
      <c r="G126" s="55" t="s">
        <v>12026</v>
      </c>
      <c r="H126" s="55" t="s">
        <v>12027</v>
      </c>
      <c r="I126" s="32" t="n">
        <v>7</v>
      </c>
      <c r="J126" s="32" t="n">
        <v>0</v>
      </c>
      <c r="K126" s="43" t="e">
        <f aca="false">VLOOKUP(A126,#REF!,2, )</f>
        <v>#VALUE!</v>
      </c>
      <c r="L126" s="32" t="n">
        <v>1</v>
      </c>
      <c r="M126" s="32" t="n">
        <v>0</v>
      </c>
      <c r="N126" s="32" t="n">
        <v>0</v>
      </c>
      <c r="O126" s="42" t="s">
        <v>11367</v>
      </c>
      <c r="P126" s="41"/>
      <c r="R126" s="60" t="n">
        <v>714</v>
      </c>
      <c r="S126" s="60" t="n">
        <v>1278</v>
      </c>
      <c r="T126" s="42" t="n">
        <v>0</v>
      </c>
      <c r="U126" s="60" t="n">
        <v>552</v>
      </c>
      <c r="V126" s="60" t="n">
        <v>1193</v>
      </c>
      <c r="W126" s="42" t="n">
        <v>0</v>
      </c>
      <c r="X126" s="60" t="n">
        <v>435</v>
      </c>
      <c r="Y126" s="60" t="n">
        <v>1034</v>
      </c>
      <c r="Z126" s="42" t="n">
        <v>0</v>
      </c>
      <c r="AA126" s="60" t="n">
        <v>942.19</v>
      </c>
      <c r="AB126" s="60" t="n">
        <v>1192.28</v>
      </c>
      <c r="AD126" s="42" t="s">
        <v>11397</v>
      </c>
    </row>
    <row r="127" customFormat="false" ht="12.75" hidden="true" customHeight="true" outlineLevel="0" collapsed="false">
      <c r="A127" s="55" t="s">
        <v>12028</v>
      </c>
      <c r="B127" s="55" t="s">
        <v>197</v>
      </c>
      <c r="C127" s="55" t="s">
        <v>12029</v>
      </c>
      <c r="D127" s="32" t="n">
        <v>75017</v>
      </c>
      <c r="E127" s="32" t="s">
        <v>55</v>
      </c>
      <c r="F127" s="32" t="s">
        <v>12030</v>
      </c>
      <c r="G127" s="55" t="s">
        <v>12031</v>
      </c>
      <c r="H127" s="55" t="s">
        <v>12032</v>
      </c>
      <c r="I127" s="32" t="n">
        <v>8</v>
      </c>
      <c r="J127" s="32" t="n">
        <v>0</v>
      </c>
      <c r="K127" s="43" t="e">
        <f aca="false">VLOOKUP(A127,#REF!,2, )</f>
        <v>#VALUE!</v>
      </c>
      <c r="L127" s="32" t="n">
        <v>1</v>
      </c>
      <c r="M127" s="32" t="n">
        <v>0</v>
      </c>
      <c r="N127" s="32" t="n">
        <v>0</v>
      </c>
      <c r="O127" s="42" t="s">
        <v>11367</v>
      </c>
      <c r="P127" s="41"/>
      <c r="S127" s="60" t="n">
        <v>353</v>
      </c>
      <c r="T127" s="42" t="n">
        <v>0</v>
      </c>
      <c r="U127" s="60" t="n">
        <v>84</v>
      </c>
      <c r="V127" s="60" t="n">
        <v>471</v>
      </c>
      <c r="W127" s="42" t="n">
        <v>0</v>
      </c>
      <c r="X127" s="60" t="n">
        <v>84</v>
      </c>
      <c r="Y127" s="60" t="n">
        <v>687</v>
      </c>
      <c r="Z127" s="42" t="n">
        <v>0</v>
      </c>
      <c r="AA127" s="60" t="n">
        <v>83.63</v>
      </c>
      <c r="AB127" s="60" t="n">
        <v>1191.23</v>
      </c>
      <c r="AD127" s="42" t="s">
        <v>11417</v>
      </c>
    </row>
    <row r="128" customFormat="false" ht="12.75" hidden="true" customHeight="true" outlineLevel="0" collapsed="false">
      <c r="A128" s="55" t="s">
        <v>12033</v>
      </c>
      <c r="B128" s="55" t="s">
        <v>295</v>
      </c>
      <c r="C128" s="55" t="s">
        <v>12034</v>
      </c>
      <c r="D128" s="32" t="n">
        <v>92300</v>
      </c>
      <c r="E128" s="32" t="s">
        <v>11355</v>
      </c>
      <c r="F128" s="32" t="s">
        <v>12035</v>
      </c>
      <c r="G128" s="55" t="s">
        <v>12036</v>
      </c>
      <c r="H128" s="55" t="s">
        <v>12037</v>
      </c>
      <c r="I128" s="32" t="n">
        <v>8</v>
      </c>
      <c r="J128" s="32" t="n">
        <v>0</v>
      </c>
      <c r="K128" s="43" t="e">
        <f aca="false">VLOOKUP(A128,#REF!,2, )</f>
        <v>#VALUE!</v>
      </c>
      <c r="L128" s="32" t="n">
        <v>1</v>
      </c>
      <c r="M128" s="32" t="n">
        <v>0</v>
      </c>
      <c r="N128" s="32" t="n">
        <v>0</v>
      </c>
      <c r="O128" s="42" t="s">
        <v>11367</v>
      </c>
      <c r="P128" s="41"/>
      <c r="R128" s="60" t="n">
        <v>-201</v>
      </c>
      <c r="S128" s="60" t="n">
        <v>1204</v>
      </c>
      <c r="T128" s="42" t="n">
        <v>0</v>
      </c>
      <c r="U128" s="60" t="n">
        <v>-201</v>
      </c>
      <c r="V128" s="60" t="n">
        <v>1206</v>
      </c>
      <c r="W128" s="42" t="n">
        <v>0</v>
      </c>
      <c r="X128" s="60" t="n">
        <v>-201</v>
      </c>
      <c r="Y128" s="60" t="n">
        <v>830</v>
      </c>
      <c r="Z128" s="42" t="n">
        <v>0</v>
      </c>
      <c r="AA128" s="60" t="n">
        <v>83.63</v>
      </c>
      <c r="AB128" s="60" t="n">
        <v>1186.33</v>
      </c>
      <c r="AD128" s="42" t="s">
        <v>11501</v>
      </c>
      <c r="AE128" s="42" t="s">
        <v>11384</v>
      </c>
    </row>
    <row r="129" customFormat="false" ht="12.75" hidden="true" customHeight="true" outlineLevel="0" collapsed="false">
      <c r="A129" s="55" t="s">
        <v>12038</v>
      </c>
      <c r="B129" s="55" t="s">
        <v>387</v>
      </c>
      <c r="C129" s="55" t="s">
        <v>12039</v>
      </c>
      <c r="D129" s="32" t="n">
        <v>75016</v>
      </c>
      <c r="E129" s="32" t="s">
        <v>55</v>
      </c>
      <c r="F129" s="32" t="s">
        <v>12040</v>
      </c>
      <c r="G129" s="55" t="s">
        <v>12041</v>
      </c>
      <c r="H129" s="55" t="s">
        <v>12042</v>
      </c>
      <c r="I129" s="32" t="n">
        <v>7</v>
      </c>
      <c r="J129" s="32" t="n">
        <v>0</v>
      </c>
      <c r="K129" s="43" t="e">
        <f aca="false">VLOOKUP(A129,#REF!,2, )</f>
        <v>#VALUE!</v>
      </c>
      <c r="L129" s="32" t="n">
        <v>1</v>
      </c>
      <c r="M129" s="32" t="n">
        <v>0</v>
      </c>
      <c r="N129" s="32" t="n">
        <v>0</v>
      </c>
      <c r="O129" s="42" t="s">
        <v>11500</v>
      </c>
      <c r="P129" s="41" t="n">
        <v>45125.4375</v>
      </c>
      <c r="R129" s="60" t="n">
        <v>357</v>
      </c>
      <c r="S129" s="60" t="n">
        <v>1010</v>
      </c>
      <c r="T129" s="42" t="n">
        <v>0</v>
      </c>
      <c r="U129" s="60" t="n">
        <v>574</v>
      </c>
      <c r="V129" s="60" t="n">
        <v>1130</v>
      </c>
      <c r="W129" s="42" t="n">
        <v>0</v>
      </c>
      <c r="X129" s="60" t="n">
        <v>574</v>
      </c>
      <c r="Y129" s="60" t="n">
        <v>2194</v>
      </c>
      <c r="Z129" s="42" t="n">
        <v>50</v>
      </c>
      <c r="AA129" s="60" t="n">
        <v>217.43</v>
      </c>
      <c r="AB129" s="60" t="n">
        <v>1183.32</v>
      </c>
      <c r="AD129" s="42" t="s">
        <v>11375</v>
      </c>
    </row>
    <row r="130" customFormat="false" ht="12.75" hidden="true" customHeight="true" outlineLevel="0" collapsed="false">
      <c r="A130" s="55" t="s">
        <v>12043</v>
      </c>
      <c r="B130" s="55" t="s">
        <v>51</v>
      </c>
      <c r="C130" s="55" t="s">
        <v>12044</v>
      </c>
      <c r="D130" s="32" t="n">
        <v>75015</v>
      </c>
      <c r="E130" s="32" t="s">
        <v>55</v>
      </c>
      <c r="F130" s="32" t="s">
        <v>12045</v>
      </c>
      <c r="G130" s="55" t="s">
        <v>12046</v>
      </c>
      <c r="H130" s="55" t="s">
        <v>12047</v>
      </c>
      <c r="I130" s="32" t="n">
        <v>8</v>
      </c>
      <c r="J130" s="32" t="n">
        <v>0</v>
      </c>
      <c r="K130" s="43" t="e">
        <f aca="false">VLOOKUP(A130,#REF!,2, )</f>
        <v>#VALUE!</v>
      </c>
      <c r="L130" s="32" t="n">
        <v>1</v>
      </c>
      <c r="M130" s="32" t="n">
        <v>0</v>
      </c>
      <c r="N130" s="32" t="n">
        <v>0</v>
      </c>
      <c r="O130" s="42" t="s">
        <v>11367</v>
      </c>
      <c r="P130" s="41"/>
      <c r="S130" s="60" t="n">
        <v>915</v>
      </c>
      <c r="T130" s="42" t="n">
        <v>0</v>
      </c>
      <c r="U130" s="60" t="n">
        <v>84</v>
      </c>
      <c r="V130" s="60" t="n">
        <v>794</v>
      </c>
      <c r="W130" s="42" t="n">
        <v>0</v>
      </c>
      <c r="X130" s="60" t="n">
        <v>167</v>
      </c>
      <c r="Y130" s="60" t="n">
        <v>953</v>
      </c>
      <c r="Z130" s="42" t="n">
        <v>0</v>
      </c>
      <c r="AA130" s="60" t="n">
        <v>334.52</v>
      </c>
      <c r="AB130" s="60" t="n">
        <v>1177.37</v>
      </c>
      <c r="AD130" s="42" t="s">
        <v>11375</v>
      </c>
      <c r="AE130" s="42" t="s">
        <v>11473</v>
      </c>
    </row>
    <row r="131" customFormat="false" ht="12.75" hidden="true" customHeight="true" outlineLevel="0" collapsed="false">
      <c r="A131" s="55" t="s">
        <v>12048</v>
      </c>
      <c r="B131" s="55" t="s">
        <v>233</v>
      </c>
      <c r="C131" s="55" t="s">
        <v>12049</v>
      </c>
      <c r="D131" s="32" t="n">
        <v>75015</v>
      </c>
      <c r="E131" s="32" t="s">
        <v>55</v>
      </c>
      <c r="F131" s="32" t="s">
        <v>12050</v>
      </c>
      <c r="G131" s="55" t="s">
        <v>12051</v>
      </c>
      <c r="H131" s="55" t="s">
        <v>12052</v>
      </c>
      <c r="I131" s="32" t="n">
        <v>5</v>
      </c>
      <c r="J131" s="32" t="n">
        <v>0</v>
      </c>
      <c r="K131" s="43" t="e">
        <f aca="false">VLOOKUP(A131,#REF!,2, )</f>
        <v>#VALUE!</v>
      </c>
      <c r="L131" s="32" t="n">
        <v>1</v>
      </c>
      <c r="M131" s="32" t="n">
        <v>0</v>
      </c>
      <c r="N131" s="32" t="n">
        <v>0</v>
      </c>
      <c r="O131" s="42" t="s">
        <v>11367</v>
      </c>
      <c r="P131" s="41"/>
      <c r="R131" s="60" t="n">
        <v>190</v>
      </c>
      <c r="S131" s="60" t="n">
        <v>2541</v>
      </c>
      <c r="T131" s="42" t="n">
        <v>36</v>
      </c>
      <c r="U131" s="60" t="n">
        <v>357</v>
      </c>
      <c r="V131" s="60" t="n">
        <v>1655</v>
      </c>
      <c r="W131" s="42" t="n">
        <v>100</v>
      </c>
      <c r="X131" s="60" t="n">
        <v>385</v>
      </c>
      <c r="Y131" s="60" t="n">
        <v>2762</v>
      </c>
      <c r="Z131" s="42" t="n">
        <v>25</v>
      </c>
      <c r="AA131" s="60" t="n">
        <v>674.58</v>
      </c>
      <c r="AB131" s="60" t="n">
        <v>1172.03</v>
      </c>
      <c r="AD131" s="42" t="s">
        <v>11423</v>
      </c>
    </row>
    <row r="132" customFormat="false" ht="17.25" hidden="true" customHeight="true" outlineLevel="0" collapsed="false">
      <c r="A132" s="55" t="s">
        <v>12053</v>
      </c>
      <c r="B132" s="55" t="s">
        <v>99</v>
      </c>
      <c r="C132" s="55" t="s">
        <v>12054</v>
      </c>
      <c r="D132" s="32" t="n">
        <v>75015</v>
      </c>
      <c r="E132" s="32" t="s">
        <v>55</v>
      </c>
      <c r="F132" s="32" t="s">
        <v>12055</v>
      </c>
      <c r="G132" s="55" t="s">
        <v>12056</v>
      </c>
      <c r="H132" s="55" t="s">
        <v>12057</v>
      </c>
      <c r="I132" s="32" t="n">
        <v>7</v>
      </c>
      <c r="J132" s="32" t="n">
        <v>0</v>
      </c>
      <c r="K132" s="43" t="e">
        <f aca="false">VLOOKUP(A132,#REF!,2, )</f>
        <v>#VALUE!</v>
      </c>
      <c r="L132" s="32" t="n">
        <v>1</v>
      </c>
      <c r="M132" s="32" t="n">
        <v>1</v>
      </c>
      <c r="N132" s="32" t="n">
        <v>2</v>
      </c>
      <c r="O132" s="42" t="s">
        <v>11367</v>
      </c>
      <c r="P132" s="41" t="n">
        <v>44724</v>
      </c>
      <c r="R132" s="60" t="n">
        <v>417</v>
      </c>
      <c r="S132" s="60" t="n">
        <v>1366</v>
      </c>
      <c r="T132" s="42" t="n">
        <v>116</v>
      </c>
      <c r="U132" s="60" t="n">
        <v>624</v>
      </c>
      <c r="V132" s="60" t="n">
        <v>1202</v>
      </c>
      <c r="W132" s="42" t="n">
        <v>0</v>
      </c>
      <c r="X132" s="60" t="n">
        <v>659</v>
      </c>
      <c r="Y132" s="60" t="n">
        <v>1323</v>
      </c>
      <c r="Z132" s="42" t="n">
        <v>0</v>
      </c>
      <c r="AA132" s="60" t="n">
        <v>988.41</v>
      </c>
      <c r="AB132" s="60" t="n">
        <v>1169.51</v>
      </c>
      <c r="AD132" s="42" t="s">
        <v>11634</v>
      </c>
      <c r="AE132" s="42" t="s">
        <v>11376</v>
      </c>
    </row>
    <row r="133" customFormat="false" ht="12.75" hidden="true" customHeight="true" outlineLevel="0" collapsed="false">
      <c r="A133" s="55" t="s">
        <v>12058</v>
      </c>
      <c r="B133" s="55" t="s">
        <v>387</v>
      </c>
      <c r="C133" s="55" t="s">
        <v>12059</v>
      </c>
      <c r="D133" s="32" t="n">
        <v>75016</v>
      </c>
      <c r="E133" s="32" t="s">
        <v>55</v>
      </c>
      <c r="F133" s="32" t="s">
        <v>12060</v>
      </c>
      <c r="G133" s="55" t="s">
        <v>12061</v>
      </c>
      <c r="H133" s="55" t="s">
        <v>12062</v>
      </c>
      <c r="I133" s="32" t="n">
        <v>8</v>
      </c>
      <c r="J133" s="32" t="n">
        <v>0</v>
      </c>
      <c r="K133" s="43" t="e">
        <f aca="false">VLOOKUP(A133,#REF!,2, )</f>
        <v>#VALUE!</v>
      </c>
      <c r="L133" s="32" t="n">
        <v>0</v>
      </c>
      <c r="M133" s="32" t="n">
        <v>0</v>
      </c>
      <c r="N133" s="32" t="n">
        <v>0</v>
      </c>
      <c r="O133" s="42" t="s">
        <v>11367</v>
      </c>
      <c r="P133" s="41"/>
      <c r="R133" s="60" t="n">
        <v>190</v>
      </c>
      <c r="S133" s="60" t="n">
        <v>2231</v>
      </c>
      <c r="T133" s="42" t="n">
        <v>50</v>
      </c>
      <c r="U133" s="60" t="n">
        <v>273</v>
      </c>
      <c r="V133" s="60" t="n">
        <v>2671</v>
      </c>
      <c r="W133" s="42" t="n">
        <v>26</v>
      </c>
      <c r="X133" s="60" t="n">
        <v>251</v>
      </c>
      <c r="Y133" s="60" t="n">
        <v>2697</v>
      </c>
      <c r="Z133" s="42" t="n">
        <v>29</v>
      </c>
      <c r="AA133" s="60" t="n">
        <v>1036.97</v>
      </c>
      <c r="AB133" s="60" t="n">
        <v>1142.75</v>
      </c>
      <c r="AD133" s="42" t="s">
        <v>11375</v>
      </c>
    </row>
    <row r="134" customFormat="false" ht="17.25" hidden="true" customHeight="true" outlineLevel="0" collapsed="false">
      <c r="A134" s="55" t="s">
        <v>12063</v>
      </c>
      <c r="B134" s="55" t="s">
        <v>77</v>
      </c>
      <c r="C134" s="55" t="s">
        <v>12064</v>
      </c>
      <c r="D134" s="32" t="n">
        <v>92200</v>
      </c>
      <c r="E134" s="32" t="s">
        <v>11393</v>
      </c>
      <c r="F134" s="32" t="s">
        <v>12065</v>
      </c>
      <c r="G134" s="55" t="s">
        <v>12066</v>
      </c>
      <c r="H134" s="55" t="s">
        <v>12067</v>
      </c>
      <c r="I134" s="32" t="n">
        <v>6</v>
      </c>
      <c r="J134" s="32" t="n">
        <v>0</v>
      </c>
      <c r="K134" s="43" t="e">
        <f aca="false">VLOOKUP(A134,#REF!,2, )</f>
        <v>#VALUE!</v>
      </c>
      <c r="L134" s="32" t="n">
        <v>1</v>
      </c>
      <c r="M134" s="32" t="n">
        <v>0</v>
      </c>
      <c r="N134" s="32" t="n">
        <v>0</v>
      </c>
      <c r="O134" s="42" t="s">
        <v>11367</v>
      </c>
      <c r="P134" s="41"/>
      <c r="R134" s="60" t="n">
        <v>1004</v>
      </c>
      <c r="S134" s="60" t="n">
        <v>1553</v>
      </c>
      <c r="T134" s="42" t="n">
        <v>98</v>
      </c>
      <c r="U134" s="60" t="n">
        <v>624</v>
      </c>
      <c r="V134" s="60" t="n">
        <v>1588</v>
      </c>
      <c r="W134" s="42" t="n">
        <v>104</v>
      </c>
      <c r="X134" s="60" t="n">
        <v>290</v>
      </c>
      <c r="Y134" s="60" t="n">
        <v>1286</v>
      </c>
      <c r="Z134" s="42" t="n">
        <v>0</v>
      </c>
      <c r="AA134" s="60" t="n">
        <v>0</v>
      </c>
      <c r="AB134" s="60" t="n">
        <v>1131.57</v>
      </c>
      <c r="AD134" s="42" t="s">
        <v>11683</v>
      </c>
      <c r="AE134" s="42" t="s">
        <v>11513</v>
      </c>
    </row>
    <row r="135" customFormat="false" ht="12.75" hidden="true" customHeight="true" outlineLevel="0" collapsed="false">
      <c r="A135" s="55" t="s">
        <v>12068</v>
      </c>
      <c r="B135" s="55" t="s">
        <v>387</v>
      </c>
      <c r="C135" s="55" t="s">
        <v>12069</v>
      </c>
      <c r="D135" s="32" t="n">
        <v>75016</v>
      </c>
      <c r="E135" s="32" t="s">
        <v>55</v>
      </c>
      <c r="F135" s="32" t="s">
        <v>12070</v>
      </c>
      <c r="G135" s="55" t="s">
        <v>12071</v>
      </c>
      <c r="H135" s="55" t="s">
        <v>12072</v>
      </c>
      <c r="I135" s="32" t="n">
        <v>7</v>
      </c>
      <c r="J135" s="32" t="n">
        <v>0</v>
      </c>
      <c r="K135" s="43" t="e">
        <f aca="false">VLOOKUP(A135,#REF!,2, )</f>
        <v>#VALUE!</v>
      </c>
      <c r="L135" s="32" t="n">
        <v>1</v>
      </c>
      <c r="M135" s="32" t="n">
        <v>0</v>
      </c>
      <c r="N135" s="32" t="n">
        <v>0</v>
      </c>
      <c r="O135" s="42" t="s">
        <v>12073</v>
      </c>
      <c r="P135" s="41" t="n">
        <v>45257.6041666667</v>
      </c>
      <c r="R135" s="60" t="n">
        <v>1628</v>
      </c>
      <c r="S135" s="60" t="n">
        <v>1373</v>
      </c>
      <c r="T135" s="42" t="n">
        <v>115</v>
      </c>
      <c r="U135" s="60" t="n">
        <v>1946</v>
      </c>
      <c r="V135" s="60" t="n">
        <v>1368</v>
      </c>
      <c r="W135" s="42" t="n">
        <v>0</v>
      </c>
      <c r="X135" s="60" t="n">
        <v>1277</v>
      </c>
      <c r="Y135" s="60" t="n">
        <v>1385</v>
      </c>
      <c r="Z135" s="42" t="n">
        <v>116</v>
      </c>
      <c r="AA135" s="60" t="n">
        <v>869.71</v>
      </c>
      <c r="AB135" s="60" t="n">
        <v>1128.87</v>
      </c>
      <c r="AD135" s="42" t="s">
        <v>11634</v>
      </c>
      <c r="AE135" s="42" t="s">
        <v>11384</v>
      </c>
    </row>
    <row r="136" customFormat="false" ht="12.75" hidden="true" customHeight="true" outlineLevel="0" collapsed="false">
      <c r="A136" s="55" t="s">
        <v>12074</v>
      </c>
      <c r="B136" s="55" t="s">
        <v>173</v>
      </c>
      <c r="C136" s="55" t="s">
        <v>12075</v>
      </c>
      <c r="D136" s="32" t="n">
        <v>75116</v>
      </c>
      <c r="E136" s="32" t="s">
        <v>55</v>
      </c>
      <c r="F136" s="32" t="s">
        <v>12076</v>
      </c>
      <c r="G136" s="55" t="s">
        <v>12077</v>
      </c>
      <c r="H136" s="55" t="s">
        <v>12078</v>
      </c>
      <c r="I136" s="32" t="n">
        <v>5</v>
      </c>
      <c r="J136" s="32" t="n">
        <v>0</v>
      </c>
      <c r="K136" s="43" t="e">
        <f aca="false">VLOOKUP(A136,#REF!,2, )</f>
        <v>#VALUE!</v>
      </c>
      <c r="L136" s="32" t="n">
        <v>1</v>
      </c>
      <c r="M136" s="32" t="n">
        <v>1</v>
      </c>
      <c r="N136" s="32" t="n">
        <v>0</v>
      </c>
      <c r="O136" s="42" t="s">
        <v>11367</v>
      </c>
      <c r="P136" s="41"/>
      <c r="R136" s="60" t="n">
        <v>652</v>
      </c>
      <c r="S136" s="60" t="n">
        <v>1169</v>
      </c>
      <c r="T136" s="42" t="n">
        <v>0</v>
      </c>
      <c r="U136" s="60" t="n">
        <v>357</v>
      </c>
      <c r="V136" s="60" t="n">
        <v>1438</v>
      </c>
      <c r="W136" s="42" t="n">
        <v>117</v>
      </c>
      <c r="X136" s="60" t="n">
        <v>301</v>
      </c>
      <c r="Y136" s="60" t="n">
        <v>1194</v>
      </c>
      <c r="Z136" s="42" t="n">
        <v>0</v>
      </c>
      <c r="AA136" s="60" t="n">
        <v>434.86</v>
      </c>
      <c r="AB136" s="60" t="n">
        <v>1127</v>
      </c>
      <c r="AD136" s="42" t="s">
        <v>11417</v>
      </c>
      <c r="AE136" s="42" t="s">
        <v>11704</v>
      </c>
    </row>
    <row r="137" customFormat="false" ht="17.25" hidden="true" customHeight="true" outlineLevel="0" collapsed="false">
      <c r="A137" s="55" t="s">
        <v>12079</v>
      </c>
      <c r="B137" s="55" t="s">
        <v>572</v>
      </c>
      <c r="C137" s="55" t="s">
        <v>12080</v>
      </c>
      <c r="D137" s="32" t="n">
        <v>75008</v>
      </c>
      <c r="E137" s="32" t="s">
        <v>55</v>
      </c>
      <c r="F137" s="32" t="s">
        <v>12081</v>
      </c>
      <c r="G137" s="55" t="s">
        <v>12082</v>
      </c>
      <c r="H137" s="55" t="s">
        <v>12083</v>
      </c>
      <c r="I137" s="32" t="n">
        <v>8</v>
      </c>
      <c r="J137" s="32" t="n">
        <v>0</v>
      </c>
      <c r="K137" s="43" t="e">
        <f aca="false">VLOOKUP(A137,#REF!,2, )</f>
        <v>#VALUE!</v>
      </c>
      <c r="L137" s="32" t="n">
        <v>0</v>
      </c>
      <c r="M137" s="32" t="n">
        <v>0</v>
      </c>
      <c r="N137" s="32" t="n">
        <v>0</v>
      </c>
      <c r="O137" s="42" t="s">
        <v>11367</v>
      </c>
      <c r="P137" s="41"/>
      <c r="R137" s="60" t="n">
        <v>379</v>
      </c>
      <c r="S137" s="60" t="n">
        <v>415</v>
      </c>
      <c r="T137" s="42" t="n">
        <v>0</v>
      </c>
      <c r="U137" s="60" t="n">
        <v>597</v>
      </c>
      <c r="V137" s="60" t="n">
        <v>728</v>
      </c>
      <c r="W137" s="42" t="n">
        <v>0</v>
      </c>
      <c r="X137" s="60" t="n">
        <v>217</v>
      </c>
      <c r="Y137" s="60" t="n">
        <v>549</v>
      </c>
      <c r="Z137" s="42" t="n">
        <v>0</v>
      </c>
      <c r="AA137" s="60" t="n">
        <v>217.43</v>
      </c>
      <c r="AB137" s="60" t="n">
        <v>1115.18</v>
      </c>
      <c r="AD137" s="42" t="s">
        <v>11360</v>
      </c>
    </row>
    <row r="138" customFormat="false" ht="17.25" hidden="true" customHeight="true" outlineLevel="0" collapsed="false">
      <c r="A138" s="55" t="s">
        <v>12084</v>
      </c>
      <c r="B138" s="55" t="s">
        <v>387</v>
      </c>
      <c r="C138" s="55" t="s">
        <v>12085</v>
      </c>
      <c r="D138" s="32" t="n">
        <v>75016</v>
      </c>
      <c r="E138" s="32" t="s">
        <v>55</v>
      </c>
      <c r="F138" s="32" t="s">
        <v>12086</v>
      </c>
      <c r="G138" s="55" t="s">
        <v>12087</v>
      </c>
      <c r="H138" s="55" t="s">
        <v>12088</v>
      </c>
      <c r="I138" s="32" t="n">
        <v>7</v>
      </c>
      <c r="J138" s="32" t="n">
        <v>3</v>
      </c>
      <c r="K138" s="43" t="e">
        <f aca="false">VLOOKUP(A138,#REF!,2, )</f>
        <v>#VALUE!</v>
      </c>
      <c r="L138" s="32" t="n">
        <v>1</v>
      </c>
      <c r="M138" s="32" t="n">
        <v>0</v>
      </c>
      <c r="N138" s="32" t="n">
        <v>2</v>
      </c>
      <c r="O138" s="42" t="s">
        <v>12089</v>
      </c>
      <c r="P138" s="39" t="n">
        <v>45236.3958333333</v>
      </c>
      <c r="S138" s="60" t="n">
        <v>1365</v>
      </c>
      <c r="T138" s="42" t="n">
        <v>117</v>
      </c>
      <c r="V138" s="60" t="n">
        <v>2357</v>
      </c>
      <c r="W138" s="42" t="n">
        <v>39</v>
      </c>
      <c r="Y138" s="60" t="n">
        <v>2169</v>
      </c>
      <c r="Z138" s="42" t="n">
        <v>51</v>
      </c>
      <c r="AA138" s="60" t="n">
        <v>0</v>
      </c>
      <c r="AB138" s="60" t="n">
        <v>1111.58</v>
      </c>
      <c r="AD138" s="42" t="s">
        <v>11472</v>
      </c>
    </row>
    <row r="139" customFormat="false" ht="12.75" hidden="true" customHeight="true" outlineLevel="0" collapsed="false">
      <c r="A139" s="55" t="s">
        <v>12090</v>
      </c>
      <c r="B139" s="55" t="s">
        <v>387</v>
      </c>
      <c r="C139" s="55" t="s">
        <v>12091</v>
      </c>
      <c r="D139" s="32" t="n">
        <v>75016</v>
      </c>
      <c r="E139" s="32" t="s">
        <v>55</v>
      </c>
      <c r="F139" s="32" t="s">
        <v>12092</v>
      </c>
      <c r="G139" s="55" t="s">
        <v>12093</v>
      </c>
      <c r="H139" s="55" t="s">
        <v>12094</v>
      </c>
      <c r="I139" s="32" t="n">
        <v>7</v>
      </c>
      <c r="J139" s="32" t="n">
        <v>0</v>
      </c>
      <c r="K139" s="43" t="e">
        <f aca="false">VLOOKUP(A139,#REF!,2, )</f>
        <v>#VALUE!</v>
      </c>
      <c r="L139" s="32" t="n">
        <v>1</v>
      </c>
      <c r="M139" s="32" t="n">
        <v>1</v>
      </c>
      <c r="N139" s="32" t="n">
        <v>2</v>
      </c>
      <c r="O139" s="42" t="s">
        <v>11367</v>
      </c>
      <c r="P139" s="41" t="n">
        <v>44682</v>
      </c>
      <c r="R139" s="60" t="n">
        <v>853</v>
      </c>
      <c r="S139" s="60" t="n">
        <v>1352</v>
      </c>
      <c r="T139" s="42" t="n">
        <v>118</v>
      </c>
      <c r="U139" s="60" t="n">
        <v>1132</v>
      </c>
      <c r="V139" s="60" t="n">
        <v>1821</v>
      </c>
      <c r="W139" s="42" t="n">
        <v>77</v>
      </c>
      <c r="X139" s="60" t="n">
        <v>518</v>
      </c>
      <c r="Y139" s="60" t="n">
        <v>1360</v>
      </c>
      <c r="Z139" s="42" t="n">
        <v>120</v>
      </c>
      <c r="AA139" s="60" t="n">
        <v>384.68</v>
      </c>
      <c r="AB139" s="60" t="n">
        <v>1108.08</v>
      </c>
      <c r="AD139" s="42" t="s">
        <v>11501</v>
      </c>
      <c r="AE139" s="42" t="s">
        <v>11513</v>
      </c>
    </row>
    <row r="140" customFormat="false" ht="12.75" hidden="true" customHeight="true" outlineLevel="0" collapsed="false">
      <c r="A140" s="55" t="s">
        <v>12095</v>
      </c>
      <c r="B140" s="55" t="s">
        <v>119</v>
      </c>
      <c r="C140" s="55" t="s">
        <v>12096</v>
      </c>
      <c r="D140" s="32" t="n">
        <v>75007</v>
      </c>
      <c r="E140" s="32" t="s">
        <v>55</v>
      </c>
      <c r="F140" s="32" t="s">
        <v>12097</v>
      </c>
      <c r="G140" s="55" t="s">
        <v>12098</v>
      </c>
      <c r="H140" s="55" t="s">
        <v>12099</v>
      </c>
      <c r="I140" s="32" t="n">
        <v>4</v>
      </c>
      <c r="J140" s="32" t="n">
        <v>0</v>
      </c>
      <c r="K140" s="43" t="e">
        <f aca="false">VLOOKUP(A140,#REF!,2, )</f>
        <v>#VALUE!</v>
      </c>
      <c r="L140" s="32" t="n">
        <v>1</v>
      </c>
      <c r="M140" s="32" t="n">
        <v>1</v>
      </c>
      <c r="N140" s="32" t="n">
        <v>2</v>
      </c>
      <c r="O140" s="42" t="s">
        <v>11367</v>
      </c>
      <c r="P140" s="41" t="n">
        <v>44697</v>
      </c>
      <c r="R140" s="60" t="n">
        <v>84</v>
      </c>
      <c r="S140" s="60" t="n">
        <v>739</v>
      </c>
      <c r="T140" s="42" t="n">
        <v>0</v>
      </c>
      <c r="U140" s="60" t="n">
        <v>167</v>
      </c>
      <c r="V140" s="60" t="n">
        <v>748</v>
      </c>
      <c r="W140" s="42" t="n">
        <v>0</v>
      </c>
      <c r="X140" s="60" t="n">
        <v>167</v>
      </c>
      <c r="Y140" s="60" t="n">
        <v>708</v>
      </c>
      <c r="Z140" s="42" t="n">
        <v>0</v>
      </c>
      <c r="AA140" s="60" t="n">
        <v>167.26</v>
      </c>
      <c r="AB140" s="60" t="n">
        <v>1106.82</v>
      </c>
      <c r="AD140" s="42" t="s">
        <v>11683</v>
      </c>
      <c r="AE140" s="42" t="s">
        <v>11473</v>
      </c>
    </row>
    <row r="141" customFormat="false" ht="12.75" hidden="true" customHeight="true" outlineLevel="0" collapsed="false">
      <c r="A141" s="55" t="s">
        <v>12100</v>
      </c>
      <c r="B141" s="55" t="s">
        <v>51</v>
      </c>
      <c r="C141" s="55" t="s">
        <v>12101</v>
      </c>
      <c r="D141" s="32" t="n">
        <v>75015</v>
      </c>
      <c r="E141" s="32" t="s">
        <v>55</v>
      </c>
      <c r="F141" s="32" t="s">
        <v>12102</v>
      </c>
      <c r="G141" s="55" t="s">
        <v>12103</v>
      </c>
      <c r="H141" s="55" t="s">
        <v>12104</v>
      </c>
      <c r="I141" s="32" t="n">
        <v>8</v>
      </c>
      <c r="J141" s="32" t="n">
        <v>0</v>
      </c>
      <c r="K141" s="43" t="e">
        <f aca="false">VLOOKUP(A141,#REF!,2, )</f>
        <v>#VALUE!</v>
      </c>
      <c r="L141" s="32" t="n">
        <v>0</v>
      </c>
      <c r="M141" s="32" t="n">
        <v>0</v>
      </c>
      <c r="N141" s="32" t="n">
        <v>0</v>
      </c>
      <c r="O141" s="42" t="s">
        <v>11367</v>
      </c>
      <c r="P141" s="41"/>
      <c r="R141" s="60" t="n">
        <v>82</v>
      </c>
      <c r="S141" s="60" t="n">
        <v>1502</v>
      </c>
      <c r="T141" s="42" t="n">
        <v>106</v>
      </c>
      <c r="U141" s="60" t="n">
        <v>41</v>
      </c>
      <c r="V141" s="60" t="n">
        <v>2035</v>
      </c>
      <c r="W141" s="42" t="n">
        <v>61</v>
      </c>
      <c r="Y141" s="60" t="n">
        <v>1758</v>
      </c>
      <c r="Z141" s="42" t="n">
        <v>74</v>
      </c>
      <c r="AA141" s="60" t="n">
        <v>0</v>
      </c>
      <c r="AB141" s="60" t="n">
        <v>1100.4</v>
      </c>
      <c r="AD141" s="42" t="s">
        <v>11634</v>
      </c>
    </row>
    <row r="142" customFormat="false" ht="17.25" hidden="true" customHeight="true" outlineLevel="0" collapsed="false">
      <c r="A142" s="55" t="s">
        <v>12105</v>
      </c>
      <c r="B142" s="55" t="s">
        <v>99</v>
      </c>
      <c r="C142" s="55" t="s">
        <v>12106</v>
      </c>
      <c r="D142" s="32" t="n">
        <v>75015</v>
      </c>
      <c r="E142" s="32" t="s">
        <v>55</v>
      </c>
      <c r="F142" s="32" t="s">
        <v>12107</v>
      </c>
      <c r="G142" s="55" t="s">
        <v>12108</v>
      </c>
      <c r="H142" s="55" t="s">
        <v>12109</v>
      </c>
      <c r="I142" s="32" t="n">
        <v>8</v>
      </c>
      <c r="J142" s="32" t="n">
        <v>0</v>
      </c>
      <c r="K142" s="43" t="e">
        <f aca="false">VLOOKUP(A142,#REF!,2, )</f>
        <v>#VALUE!</v>
      </c>
      <c r="L142" s="32" t="n">
        <v>1</v>
      </c>
      <c r="M142" s="32" t="n">
        <v>1</v>
      </c>
      <c r="N142" s="32" t="n">
        <v>2</v>
      </c>
      <c r="O142" s="42" t="s">
        <v>11367</v>
      </c>
      <c r="P142" s="41" t="n">
        <v>44671</v>
      </c>
      <c r="R142" s="60" t="n">
        <v>190</v>
      </c>
      <c r="S142" s="60" t="n">
        <v>1055</v>
      </c>
      <c r="T142" s="42" t="n">
        <v>0</v>
      </c>
      <c r="U142" s="60" t="n">
        <v>440</v>
      </c>
      <c r="V142" s="60" t="n">
        <v>1186</v>
      </c>
      <c r="W142" s="42" t="n">
        <v>0</v>
      </c>
      <c r="X142" s="60" t="n">
        <v>418</v>
      </c>
      <c r="Y142" s="60" t="n">
        <v>1286</v>
      </c>
      <c r="Z142" s="42" t="n">
        <v>0</v>
      </c>
      <c r="AA142" s="60" t="n">
        <v>635.57</v>
      </c>
      <c r="AB142" s="60" t="n">
        <v>1095.12</v>
      </c>
      <c r="AE142" s="42" t="s">
        <v>11513</v>
      </c>
    </row>
    <row r="143" customFormat="false" ht="12.75" hidden="true" customHeight="true" outlineLevel="0" collapsed="false">
      <c r="A143" s="55" t="s">
        <v>12110</v>
      </c>
      <c r="B143" s="55" t="s">
        <v>119</v>
      </c>
      <c r="C143" s="55" t="s">
        <v>12111</v>
      </c>
      <c r="D143" s="32" t="n">
        <v>75007</v>
      </c>
      <c r="E143" s="32" t="s">
        <v>55</v>
      </c>
      <c r="F143" s="32" t="s">
        <v>12112</v>
      </c>
      <c r="G143" s="55" t="s">
        <v>12113</v>
      </c>
      <c r="H143" s="55" t="s">
        <v>12114</v>
      </c>
      <c r="I143" s="32" t="n">
        <v>10</v>
      </c>
      <c r="J143" s="32" t="n">
        <v>0</v>
      </c>
      <c r="K143" s="43" t="e">
        <f aca="false">VLOOKUP(A143,#REF!,2, )</f>
        <v>#VALUE!</v>
      </c>
      <c r="L143" s="32" t="n">
        <v>0</v>
      </c>
      <c r="M143" s="32" t="n">
        <v>0</v>
      </c>
      <c r="N143" s="32" t="n">
        <v>0</v>
      </c>
      <c r="O143" s="42" t="s">
        <v>11367</v>
      </c>
      <c r="P143" s="41"/>
      <c r="T143" s="42" t="n">
        <v>0</v>
      </c>
      <c r="U143" s="60" t="n">
        <v>435</v>
      </c>
      <c r="V143" s="60" t="n">
        <v>409</v>
      </c>
      <c r="W143" s="42" t="n">
        <v>0</v>
      </c>
      <c r="X143" s="60" t="n">
        <v>435</v>
      </c>
      <c r="Y143" s="60" t="n">
        <v>409</v>
      </c>
      <c r="Z143" s="42" t="n">
        <v>0</v>
      </c>
      <c r="AA143" s="60" t="n">
        <v>992.36</v>
      </c>
      <c r="AB143" s="60" t="n">
        <v>1092.63</v>
      </c>
      <c r="AD143" s="42" t="s">
        <v>11375</v>
      </c>
    </row>
    <row r="144" customFormat="false" ht="12.75" hidden="true" customHeight="true" outlineLevel="0" collapsed="false">
      <c r="A144" s="55" t="s">
        <v>12115</v>
      </c>
      <c r="B144" s="55" t="s">
        <v>173</v>
      </c>
      <c r="C144" s="55" t="s">
        <v>12116</v>
      </c>
      <c r="D144" s="32" t="n">
        <v>75116</v>
      </c>
      <c r="E144" s="32" t="s">
        <v>55</v>
      </c>
      <c r="F144" s="32" t="s">
        <v>12117</v>
      </c>
      <c r="G144" s="55" t="s">
        <v>12118</v>
      </c>
      <c r="H144" s="55" t="s">
        <v>12119</v>
      </c>
      <c r="I144" s="32" t="n">
        <v>4</v>
      </c>
      <c r="J144" s="32" t="n">
        <v>0</v>
      </c>
      <c r="K144" s="43" t="e">
        <f aca="false">VLOOKUP(A144,#REF!,2, )</f>
        <v>#VALUE!</v>
      </c>
      <c r="L144" s="32" t="n">
        <v>1</v>
      </c>
      <c r="M144" s="32" t="n">
        <v>0</v>
      </c>
      <c r="N144" s="32" t="n">
        <v>0</v>
      </c>
      <c r="O144" s="42" t="s">
        <v>11367</v>
      </c>
      <c r="P144" s="41"/>
      <c r="R144" s="60" t="n">
        <v>569</v>
      </c>
      <c r="S144" s="60" t="n">
        <v>1098</v>
      </c>
      <c r="T144" s="42" t="n">
        <v>0</v>
      </c>
      <c r="U144" s="60" t="n">
        <v>630</v>
      </c>
      <c r="V144" s="60" t="n">
        <v>1036</v>
      </c>
      <c r="W144" s="42" t="n">
        <v>0</v>
      </c>
      <c r="X144" s="60" t="n">
        <v>630</v>
      </c>
      <c r="Y144" s="60" t="n">
        <v>1149</v>
      </c>
      <c r="Z144" s="42" t="n">
        <v>0</v>
      </c>
      <c r="AA144" s="60" t="n">
        <v>250.88</v>
      </c>
      <c r="AB144" s="60" t="n">
        <v>1084.41</v>
      </c>
      <c r="AD144" s="42" t="s">
        <v>11360</v>
      </c>
      <c r="AE144" s="42" t="s">
        <v>11513</v>
      </c>
    </row>
    <row r="145" customFormat="false" ht="12.75" hidden="true" customHeight="true" outlineLevel="0" collapsed="false">
      <c r="A145" s="55" t="s">
        <v>12120</v>
      </c>
      <c r="B145" s="55" t="s">
        <v>173</v>
      </c>
      <c r="C145" s="55" t="s">
        <v>12121</v>
      </c>
      <c r="D145" s="32" t="n">
        <v>75116</v>
      </c>
      <c r="E145" s="32" t="s">
        <v>55</v>
      </c>
      <c r="F145" s="32" t="s">
        <v>12122</v>
      </c>
      <c r="G145" s="55" t="s">
        <v>12123</v>
      </c>
      <c r="H145" s="55" t="s">
        <v>12124</v>
      </c>
      <c r="I145" s="32" t="n">
        <v>5</v>
      </c>
      <c r="J145" s="32" t="n">
        <v>0</v>
      </c>
      <c r="K145" s="43" t="e">
        <f aca="false">VLOOKUP(A145,#REF!,2, )</f>
        <v>#VALUE!</v>
      </c>
      <c r="L145" s="32" t="n">
        <v>1</v>
      </c>
      <c r="M145" s="32" t="n">
        <v>1</v>
      </c>
      <c r="N145" s="32" t="n">
        <v>0</v>
      </c>
      <c r="O145" s="42" t="s">
        <v>11367</v>
      </c>
      <c r="P145" s="41"/>
      <c r="R145" s="60" t="n">
        <v>84</v>
      </c>
      <c r="S145" s="60" t="n">
        <v>979</v>
      </c>
      <c r="T145" s="42" t="n">
        <v>0</v>
      </c>
      <c r="U145" s="60" t="n">
        <v>251</v>
      </c>
      <c r="V145" s="60" t="n">
        <v>1216</v>
      </c>
      <c r="W145" s="42" t="n">
        <v>0</v>
      </c>
      <c r="X145" s="60" t="n">
        <v>251</v>
      </c>
      <c r="Y145" s="60" t="n">
        <v>1137</v>
      </c>
      <c r="Z145" s="42" t="n">
        <v>0</v>
      </c>
      <c r="AA145" s="60" t="n">
        <v>250.89</v>
      </c>
      <c r="AB145" s="60" t="n">
        <v>1072.41</v>
      </c>
      <c r="AD145" s="42" t="s">
        <v>11411</v>
      </c>
    </row>
    <row r="146" customFormat="false" ht="12.75" hidden="true" customHeight="true" outlineLevel="0" collapsed="false">
      <c r="A146" s="55" t="s">
        <v>12125</v>
      </c>
      <c r="B146" s="55" t="s">
        <v>173</v>
      </c>
      <c r="C146" s="55" t="s">
        <v>12126</v>
      </c>
      <c r="D146" s="32" t="n">
        <v>75116</v>
      </c>
      <c r="E146" s="32" t="s">
        <v>55</v>
      </c>
      <c r="F146" s="32" t="s">
        <v>12127</v>
      </c>
      <c r="G146" s="55" t="s">
        <v>12128</v>
      </c>
      <c r="H146" s="55" t="s">
        <v>12129</v>
      </c>
      <c r="I146" s="32" t="n">
        <v>5</v>
      </c>
      <c r="J146" s="32" t="n">
        <v>0</v>
      </c>
      <c r="K146" s="43" t="e">
        <f aca="false">VLOOKUP(A146,#REF!,2, )</f>
        <v>#VALUE!</v>
      </c>
      <c r="L146" s="32" t="n">
        <v>1</v>
      </c>
      <c r="M146" s="32" t="n">
        <v>0</v>
      </c>
      <c r="N146" s="32" t="n">
        <v>0</v>
      </c>
      <c r="O146" s="42" t="s">
        <v>12130</v>
      </c>
      <c r="P146" s="41" t="n">
        <v>45129.4583333333</v>
      </c>
      <c r="R146" s="60" t="n">
        <v>652</v>
      </c>
      <c r="S146" s="60" t="n">
        <v>1157</v>
      </c>
      <c r="T146" s="42" t="n">
        <v>0</v>
      </c>
      <c r="U146" s="60" t="n">
        <v>741</v>
      </c>
      <c r="V146" s="60" t="n">
        <v>1077</v>
      </c>
      <c r="W146" s="42" t="n">
        <v>0</v>
      </c>
      <c r="X146" s="60" t="n">
        <v>552</v>
      </c>
      <c r="Y146" s="60" t="n">
        <v>854</v>
      </c>
      <c r="Z146" s="42" t="n">
        <v>0</v>
      </c>
      <c r="AA146" s="60" t="n">
        <v>819.54</v>
      </c>
      <c r="AB146" s="60" t="n">
        <v>1053.17</v>
      </c>
      <c r="AD146" s="42" t="s">
        <v>11397</v>
      </c>
    </row>
    <row r="147" customFormat="false" ht="12.75" hidden="true" customHeight="true" outlineLevel="0" collapsed="false">
      <c r="A147" s="55" t="s">
        <v>12131</v>
      </c>
      <c r="B147" s="55" t="s">
        <v>197</v>
      </c>
      <c r="C147" s="55" t="s">
        <v>12132</v>
      </c>
      <c r="D147" s="32" t="n">
        <v>75017</v>
      </c>
      <c r="E147" s="32" t="s">
        <v>55</v>
      </c>
      <c r="F147" s="32" t="s">
        <v>12133</v>
      </c>
      <c r="G147" s="55" t="s">
        <v>12134</v>
      </c>
      <c r="H147" s="55" t="s">
        <v>12135</v>
      </c>
      <c r="I147" s="32" t="n">
        <v>5</v>
      </c>
      <c r="J147" s="32" t="n">
        <v>0</v>
      </c>
      <c r="K147" s="43" t="e">
        <f aca="false">VLOOKUP(A147,#REF!,2, )</f>
        <v>#VALUE!</v>
      </c>
      <c r="L147" s="32" t="n">
        <v>1</v>
      </c>
      <c r="M147" s="32" t="n">
        <v>0</v>
      </c>
      <c r="N147" s="32" t="n">
        <v>0</v>
      </c>
      <c r="O147" s="42" t="s">
        <v>11367</v>
      </c>
      <c r="P147" s="41"/>
      <c r="R147" s="60" t="n">
        <v>84</v>
      </c>
      <c r="S147" s="60" t="n">
        <v>2028</v>
      </c>
      <c r="T147" s="42" t="n">
        <v>65</v>
      </c>
      <c r="U147" s="60" t="n">
        <v>167</v>
      </c>
      <c r="V147" s="60" t="n">
        <v>1833</v>
      </c>
      <c r="W147" s="42" t="n">
        <v>75</v>
      </c>
      <c r="X147" s="60" t="n">
        <v>251</v>
      </c>
      <c r="Y147" s="60" t="n">
        <v>1452</v>
      </c>
      <c r="Z147" s="42" t="n">
        <v>109</v>
      </c>
      <c r="AA147" s="60" t="n">
        <v>551.94</v>
      </c>
      <c r="AB147" s="60" t="n">
        <v>1031.86</v>
      </c>
      <c r="AD147" s="42" t="s">
        <v>12136</v>
      </c>
    </row>
    <row r="148" customFormat="false" ht="17.25" hidden="true" customHeight="true" outlineLevel="0" collapsed="false">
      <c r="A148" s="55" t="s">
        <v>12137</v>
      </c>
      <c r="B148" s="55" t="s">
        <v>233</v>
      </c>
      <c r="C148" s="55" t="s">
        <v>12138</v>
      </c>
      <c r="D148" s="32" t="n">
        <v>75015</v>
      </c>
      <c r="E148" s="32" t="s">
        <v>55</v>
      </c>
      <c r="F148" s="32" t="s">
        <v>12139</v>
      </c>
      <c r="G148" s="55" t="s">
        <v>12140</v>
      </c>
      <c r="H148" s="55" t="s">
        <v>12141</v>
      </c>
      <c r="I148" s="32" t="n">
        <v>9</v>
      </c>
      <c r="J148" s="32" t="n">
        <v>0</v>
      </c>
      <c r="K148" s="43" t="e">
        <f aca="false">VLOOKUP(A148,#REF!,2, )</f>
        <v>#VALUE!</v>
      </c>
      <c r="L148" s="32" t="n">
        <v>0</v>
      </c>
      <c r="M148" s="32" t="n">
        <v>0</v>
      </c>
      <c r="N148" s="32" t="n">
        <v>0</v>
      </c>
      <c r="O148" s="42" t="s">
        <v>11367</v>
      </c>
      <c r="P148" s="41"/>
      <c r="R148" s="60" t="n">
        <v>522</v>
      </c>
      <c r="S148" s="60" t="n">
        <v>716</v>
      </c>
      <c r="T148" s="42" t="n">
        <v>0</v>
      </c>
      <c r="U148" s="60" t="n">
        <v>562</v>
      </c>
      <c r="V148" s="60" t="n">
        <v>2064</v>
      </c>
      <c r="W148" s="42" t="n">
        <v>56</v>
      </c>
      <c r="X148" s="60" t="n">
        <v>803</v>
      </c>
      <c r="Y148" s="60" t="n">
        <v>2146</v>
      </c>
      <c r="Z148" s="42" t="n">
        <v>52</v>
      </c>
      <c r="AA148" s="60" t="n">
        <v>622.17</v>
      </c>
      <c r="AB148" s="60" t="n">
        <v>1029.26</v>
      </c>
      <c r="AD148" s="42" t="s">
        <v>12142</v>
      </c>
    </row>
    <row r="149" customFormat="false" ht="17.25" hidden="true" customHeight="true" outlineLevel="0" collapsed="false">
      <c r="A149" s="55" t="s">
        <v>12143</v>
      </c>
      <c r="B149" s="55" t="s">
        <v>572</v>
      </c>
      <c r="C149" s="55" t="s">
        <v>12144</v>
      </c>
      <c r="D149" s="32" t="n">
        <v>75008</v>
      </c>
      <c r="E149" s="32" t="s">
        <v>55</v>
      </c>
      <c r="F149" s="32" t="s">
        <v>12145</v>
      </c>
      <c r="G149" s="55" t="s">
        <v>12146</v>
      </c>
      <c r="H149" s="55" t="s">
        <v>12147</v>
      </c>
      <c r="I149" s="32" t="n">
        <v>7</v>
      </c>
      <c r="J149" s="32" t="n">
        <v>0</v>
      </c>
      <c r="K149" s="43" t="e">
        <f aca="false">VLOOKUP(A149,#REF!,2, )</f>
        <v>#VALUE!</v>
      </c>
      <c r="L149" s="32" t="n">
        <v>1</v>
      </c>
      <c r="M149" s="32" t="n">
        <v>0</v>
      </c>
      <c r="N149" s="32" t="n">
        <v>0</v>
      </c>
      <c r="O149" s="42" t="s">
        <v>11367</v>
      </c>
      <c r="P149" s="41"/>
      <c r="S149" s="60" t="n">
        <v>447</v>
      </c>
      <c r="T149" s="42" t="n">
        <v>0</v>
      </c>
      <c r="V149" s="60" t="n">
        <v>511</v>
      </c>
      <c r="W149" s="42" t="n">
        <v>0</v>
      </c>
      <c r="X149" s="60" t="n">
        <v>217</v>
      </c>
      <c r="Y149" s="60" t="n">
        <v>1023</v>
      </c>
      <c r="Z149" s="42" t="n">
        <v>0</v>
      </c>
      <c r="AA149" s="60" t="n">
        <v>217.43</v>
      </c>
      <c r="AB149" s="60" t="n">
        <v>1022.88</v>
      </c>
      <c r="AD149" s="42" t="s">
        <v>11897</v>
      </c>
    </row>
    <row r="150" customFormat="false" ht="12.75" hidden="true" customHeight="true" outlineLevel="0" collapsed="false">
      <c r="A150" s="55" t="s">
        <v>12148</v>
      </c>
      <c r="B150" s="55" t="s">
        <v>51</v>
      </c>
      <c r="C150" s="55" t="s">
        <v>12149</v>
      </c>
      <c r="D150" s="32" t="n">
        <v>75015</v>
      </c>
      <c r="E150" s="32" t="s">
        <v>55</v>
      </c>
      <c r="F150" s="32" t="s">
        <v>12150</v>
      </c>
      <c r="G150" s="55" t="s">
        <v>12151</v>
      </c>
      <c r="H150" s="55" t="s">
        <v>12152</v>
      </c>
      <c r="I150" s="32" t="n">
        <v>7</v>
      </c>
      <c r="J150" s="32" t="n">
        <v>0</v>
      </c>
      <c r="K150" s="43" t="e">
        <f aca="false">VLOOKUP(A150,#REF!,2, )</f>
        <v>#VALUE!</v>
      </c>
      <c r="L150" s="32" t="n">
        <v>1</v>
      </c>
      <c r="M150" s="32" t="n">
        <v>0</v>
      </c>
      <c r="N150" s="32" t="n">
        <v>0</v>
      </c>
      <c r="O150" s="42" t="s">
        <v>11367</v>
      </c>
      <c r="P150" s="41"/>
      <c r="R150" s="60" t="n">
        <v>920</v>
      </c>
      <c r="S150" s="60" t="n">
        <v>1543</v>
      </c>
      <c r="T150" s="42" t="n">
        <v>100</v>
      </c>
      <c r="U150" s="60" t="n">
        <v>730</v>
      </c>
      <c r="V150" s="60" t="n">
        <v>1173</v>
      </c>
      <c r="W150" s="42" t="n">
        <v>0</v>
      </c>
      <c r="X150" s="60" t="n">
        <v>396</v>
      </c>
      <c r="Y150" s="60" t="n">
        <v>926</v>
      </c>
      <c r="Z150" s="42" t="n">
        <v>0</v>
      </c>
      <c r="AA150" s="60" t="n">
        <v>774.93</v>
      </c>
      <c r="AB150" s="60" t="n">
        <v>1022.44</v>
      </c>
      <c r="AD150" s="42" t="s">
        <v>11375</v>
      </c>
    </row>
    <row r="151" customFormat="false" ht="12.75" hidden="true" customHeight="true" outlineLevel="0" collapsed="false">
      <c r="A151" s="55" t="s">
        <v>12153</v>
      </c>
      <c r="B151" s="55" t="s">
        <v>572</v>
      </c>
      <c r="C151" s="55" t="s">
        <v>12154</v>
      </c>
      <c r="D151" s="32" t="n">
        <v>75008</v>
      </c>
      <c r="E151" s="32" t="s">
        <v>55</v>
      </c>
      <c r="F151" s="32" t="s">
        <v>12155</v>
      </c>
      <c r="G151" s="55" t="s">
        <v>12156</v>
      </c>
      <c r="H151" s="55" t="s">
        <v>12157</v>
      </c>
      <c r="I151" s="32" t="n">
        <v>7</v>
      </c>
      <c r="J151" s="32" t="n">
        <v>0</v>
      </c>
      <c r="K151" s="43" t="e">
        <f aca="false">VLOOKUP(A151,#REF!,2, )</f>
        <v>#VALUE!</v>
      </c>
      <c r="L151" s="32" t="n">
        <v>0</v>
      </c>
      <c r="M151" s="32" t="n">
        <v>0</v>
      </c>
      <c r="N151" s="32" t="n">
        <v>0</v>
      </c>
      <c r="O151" s="42" t="s">
        <v>11367</v>
      </c>
      <c r="P151" s="41"/>
      <c r="S151" s="60" t="n">
        <v>897</v>
      </c>
      <c r="T151" s="42" t="n">
        <v>0</v>
      </c>
      <c r="V151" s="60" t="n">
        <v>1814</v>
      </c>
      <c r="W151" s="42" t="n">
        <v>78</v>
      </c>
      <c r="Y151" s="60" t="n">
        <v>1902</v>
      </c>
      <c r="Z151" s="42" t="n">
        <v>63</v>
      </c>
      <c r="AA151" s="60" t="n">
        <v>0</v>
      </c>
      <c r="AB151" s="60" t="n">
        <v>1021.26</v>
      </c>
      <c r="AD151" s="42" t="s">
        <v>11781</v>
      </c>
    </row>
    <row r="152" customFormat="false" ht="12.75" hidden="true" customHeight="true" outlineLevel="0" collapsed="false">
      <c r="A152" s="55" t="s">
        <v>12158</v>
      </c>
      <c r="B152" s="55" t="s">
        <v>295</v>
      </c>
      <c r="C152" s="55" t="s">
        <v>12159</v>
      </c>
      <c r="D152" s="32" t="n">
        <v>92300</v>
      </c>
      <c r="E152" s="32" t="s">
        <v>11355</v>
      </c>
      <c r="F152" s="32" t="s">
        <v>12160</v>
      </c>
      <c r="G152" s="55" t="s">
        <v>12161</v>
      </c>
      <c r="H152" s="55" t="s">
        <v>12162</v>
      </c>
      <c r="I152" s="32" t="n">
        <v>7</v>
      </c>
      <c r="J152" s="32" t="n">
        <v>0</v>
      </c>
      <c r="K152" s="43" t="e">
        <f aca="false">VLOOKUP(A152,#REF!,2, )</f>
        <v>#VALUE!</v>
      </c>
      <c r="L152" s="32" t="n">
        <v>1</v>
      </c>
      <c r="M152" s="32" t="n">
        <v>1</v>
      </c>
      <c r="N152" s="32" t="n">
        <v>0</v>
      </c>
      <c r="O152" s="42" t="s">
        <v>11367</v>
      </c>
      <c r="P152" s="41"/>
      <c r="R152" s="60" t="n">
        <v>513</v>
      </c>
      <c r="S152" s="60" t="n">
        <v>834</v>
      </c>
      <c r="T152" s="42" t="n">
        <v>0</v>
      </c>
      <c r="U152" s="60" t="n">
        <v>507</v>
      </c>
      <c r="V152" s="60" t="n">
        <v>798</v>
      </c>
      <c r="W152" s="42" t="n">
        <v>0</v>
      </c>
      <c r="X152" s="60" t="n">
        <v>390</v>
      </c>
      <c r="Y152" s="60" t="n">
        <v>811</v>
      </c>
      <c r="Z152" s="42" t="n">
        <v>0</v>
      </c>
      <c r="AA152" s="60" t="n">
        <v>652.29</v>
      </c>
      <c r="AB152" s="60" t="n">
        <v>1020.43</v>
      </c>
      <c r="AE152" s="42" t="s">
        <v>11473</v>
      </c>
    </row>
    <row r="153" customFormat="false" ht="12.75" hidden="true" customHeight="true" outlineLevel="0" collapsed="false">
      <c r="A153" s="55" t="s">
        <v>12163</v>
      </c>
      <c r="B153" s="55" t="s">
        <v>99</v>
      </c>
      <c r="C153" s="55" t="s">
        <v>12164</v>
      </c>
      <c r="D153" s="32" t="n">
        <v>75015</v>
      </c>
      <c r="E153" s="32" t="s">
        <v>55</v>
      </c>
      <c r="F153" s="32" t="s">
        <v>12165</v>
      </c>
      <c r="G153" s="55" t="s">
        <v>12166</v>
      </c>
      <c r="H153" s="55" t="s">
        <v>12167</v>
      </c>
      <c r="I153" s="32" t="n">
        <v>9</v>
      </c>
      <c r="J153" s="32" t="n">
        <v>0</v>
      </c>
      <c r="K153" s="43" t="e">
        <f aca="false">VLOOKUP(A153,#REF!,2, )</f>
        <v>#VALUE!</v>
      </c>
      <c r="L153" s="32" t="n">
        <v>0</v>
      </c>
      <c r="M153" s="32" t="n">
        <v>0</v>
      </c>
      <c r="N153" s="32" t="n">
        <v>0</v>
      </c>
      <c r="O153" s="42" t="s">
        <v>11367</v>
      </c>
      <c r="P153" s="41"/>
      <c r="S153" s="60" t="n">
        <v>1036</v>
      </c>
      <c r="T153" s="42" t="n">
        <v>0</v>
      </c>
      <c r="V153" s="60" t="n">
        <v>1748</v>
      </c>
      <c r="W153" s="42" t="n">
        <v>86</v>
      </c>
      <c r="Y153" s="60" t="n">
        <v>1775</v>
      </c>
      <c r="Z153" s="42" t="n">
        <v>72</v>
      </c>
      <c r="AA153" s="60" t="n">
        <v>0</v>
      </c>
      <c r="AB153" s="60" t="n">
        <v>1018.62</v>
      </c>
      <c r="AD153" s="42" t="s">
        <v>11781</v>
      </c>
    </row>
    <row r="154" customFormat="false" ht="17.25" hidden="true" customHeight="true" outlineLevel="0" collapsed="false">
      <c r="A154" s="55" t="s">
        <v>12168</v>
      </c>
      <c r="B154" s="55" t="s">
        <v>51</v>
      </c>
      <c r="C154" s="55" t="s">
        <v>12169</v>
      </c>
      <c r="D154" s="32" t="n">
        <v>75015</v>
      </c>
      <c r="E154" s="32" t="s">
        <v>55</v>
      </c>
      <c r="F154" s="32" t="s">
        <v>12170</v>
      </c>
      <c r="G154" s="55" t="s">
        <v>12171</v>
      </c>
      <c r="H154" s="55" t="s">
        <v>12172</v>
      </c>
      <c r="I154" s="32" t="n">
        <v>9</v>
      </c>
      <c r="J154" s="32" t="n">
        <v>0</v>
      </c>
      <c r="K154" s="43" t="e">
        <f aca="false">VLOOKUP(A154,#REF!,2, )</f>
        <v>#VALUE!</v>
      </c>
      <c r="L154" s="32" t="n">
        <v>1</v>
      </c>
      <c r="M154" s="32" t="n">
        <v>0</v>
      </c>
      <c r="N154" s="32" t="n">
        <v>0</v>
      </c>
      <c r="O154" s="42" t="s">
        <v>12173</v>
      </c>
      <c r="P154" s="41" t="n">
        <v>45315.625</v>
      </c>
      <c r="S154" s="60" t="n">
        <v>862</v>
      </c>
      <c r="T154" s="42" t="n">
        <v>0</v>
      </c>
      <c r="U154" s="60" t="n">
        <v>84</v>
      </c>
      <c r="V154" s="60" t="n">
        <v>877</v>
      </c>
      <c r="W154" s="42" t="n">
        <v>0</v>
      </c>
      <c r="X154" s="60" t="n">
        <v>84</v>
      </c>
      <c r="Y154" s="60" t="n">
        <v>775</v>
      </c>
      <c r="Z154" s="42" t="n">
        <v>0</v>
      </c>
      <c r="AA154" s="60" t="n">
        <v>468.31</v>
      </c>
      <c r="AB154" s="60" t="n">
        <v>1014.52</v>
      </c>
      <c r="AD154" s="42" t="s">
        <v>11417</v>
      </c>
    </row>
    <row r="155" customFormat="false" ht="12.75" hidden="true" customHeight="true" outlineLevel="0" collapsed="false">
      <c r="A155" s="55" t="s">
        <v>12174</v>
      </c>
      <c r="B155" s="55" t="s">
        <v>233</v>
      </c>
      <c r="C155" s="55" t="s">
        <v>12175</v>
      </c>
      <c r="D155" s="32" t="n">
        <v>75015</v>
      </c>
      <c r="E155" s="32" t="s">
        <v>55</v>
      </c>
      <c r="F155" s="32" t="s">
        <v>12176</v>
      </c>
      <c r="G155" s="55" t="s">
        <v>12177</v>
      </c>
      <c r="H155" s="55" t="s">
        <v>12178</v>
      </c>
      <c r="I155" s="32" t="n">
        <v>8</v>
      </c>
      <c r="J155" s="32" t="n">
        <v>0</v>
      </c>
      <c r="K155" s="43" t="e">
        <f aca="false">VLOOKUP(A155,#REF!,2, )</f>
        <v>#VALUE!</v>
      </c>
      <c r="L155" s="32" t="n">
        <v>1</v>
      </c>
      <c r="M155" s="32" t="n">
        <v>1</v>
      </c>
      <c r="N155" s="32" t="n">
        <v>0</v>
      </c>
      <c r="O155" s="42" t="s">
        <v>11367</v>
      </c>
      <c r="P155" s="41"/>
      <c r="R155" s="60" t="n">
        <v>663</v>
      </c>
      <c r="S155" s="60" t="n">
        <v>1740</v>
      </c>
      <c r="T155" s="42" t="n">
        <v>82</v>
      </c>
      <c r="U155" s="60" t="n">
        <v>431</v>
      </c>
      <c r="V155" s="60" t="n">
        <v>1669</v>
      </c>
      <c r="W155" s="42" t="n">
        <v>99</v>
      </c>
      <c r="X155" s="60" t="n">
        <v>576</v>
      </c>
      <c r="Y155" s="60" t="n">
        <v>1436</v>
      </c>
      <c r="Z155" s="42" t="n">
        <v>110</v>
      </c>
      <c r="AA155" s="60" t="n">
        <v>629.38</v>
      </c>
      <c r="AB155" s="60" t="n">
        <v>1009.45</v>
      </c>
      <c r="AD155" s="42" t="s">
        <v>11634</v>
      </c>
      <c r="AE155" s="42" t="s">
        <v>11390</v>
      </c>
    </row>
    <row r="156" customFormat="false" ht="17.25" hidden="true" customHeight="true" outlineLevel="0" collapsed="false">
      <c r="A156" s="55" t="s">
        <v>12179</v>
      </c>
      <c r="B156" s="55" t="s">
        <v>99</v>
      </c>
      <c r="C156" s="55" t="s">
        <v>12180</v>
      </c>
      <c r="D156" s="32" t="n">
        <v>75015</v>
      </c>
      <c r="E156" s="32" t="s">
        <v>55</v>
      </c>
      <c r="F156" s="32" t="s">
        <v>12181</v>
      </c>
      <c r="G156" s="55" t="s">
        <v>12182</v>
      </c>
      <c r="H156" s="55" t="s">
        <v>12183</v>
      </c>
      <c r="I156" s="32" t="n">
        <v>6</v>
      </c>
      <c r="J156" s="32" t="n">
        <v>0</v>
      </c>
      <c r="K156" s="43" t="e">
        <f aca="false">VLOOKUP(A156,#REF!,2, )</f>
        <v>#VALUE!</v>
      </c>
      <c r="L156" s="32" t="n">
        <v>1</v>
      </c>
      <c r="M156" s="32" t="n">
        <v>1</v>
      </c>
      <c r="N156" s="32" t="n">
        <v>0</v>
      </c>
      <c r="O156" s="42" t="s">
        <v>11367</v>
      </c>
      <c r="P156" s="41"/>
      <c r="R156" s="60" t="n">
        <v>1555</v>
      </c>
      <c r="S156" s="60" t="n">
        <v>986</v>
      </c>
      <c r="T156" s="42" t="n">
        <v>0</v>
      </c>
      <c r="U156" s="60" t="n">
        <v>1059</v>
      </c>
      <c r="V156" s="60" t="n">
        <v>983</v>
      </c>
      <c r="W156" s="42" t="n">
        <v>0</v>
      </c>
      <c r="X156" s="60" t="n">
        <v>987</v>
      </c>
      <c r="Y156" s="60" t="n">
        <v>528</v>
      </c>
      <c r="Z156" s="42" t="n">
        <v>0</v>
      </c>
      <c r="AA156" s="60" t="n">
        <v>869.72</v>
      </c>
      <c r="AB156" s="60" t="n">
        <v>999.4</v>
      </c>
      <c r="AD156" s="42" t="s">
        <v>11397</v>
      </c>
    </row>
    <row r="157" customFormat="false" ht="17.25" hidden="true" customHeight="true" outlineLevel="0" collapsed="false">
      <c r="A157" s="55" t="s">
        <v>12184</v>
      </c>
      <c r="B157" s="55" t="s">
        <v>99</v>
      </c>
      <c r="C157" s="55" t="s">
        <v>12185</v>
      </c>
      <c r="D157" s="32" t="n">
        <v>75015</v>
      </c>
      <c r="E157" s="32" t="s">
        <v>55</v>
      </c>
      <c r="F157" s="32" t="s">
        <v>12186</v>
      </c>
      <c r="G157" s="55" t="s">
        <v>12187</v>
      </c>
      <c r="H157" s="55" t="s">
        <v>12188</v>
      </c>
      <c r="I157" s="32" t="n">
        <v>7</v>
      </c>
      <c r="J157" s="32" t="n">
        <v>3</v>
      </c>
      <c r="K157" s="43" t="e">
        <f aca="false">VLOOKUP(A157,#REF!,2, )</f>
        <v>#VALUE!</v>
      </c>
      <c r="L157" s="32" t="n">
        <v>1</v>
      </c>
      <c r="M157" s="32" t="n">
        <v>1</v>
      </c>
      <c r="N157" s="32" t="n">
        <v>2</v>
      </c>
      <c r="O157" s="42" t="s">
        <v>11367</v>
      </c>
      <c r="P157" s="39" t="n">
        <v>44698</v>
      </c>
      <c r="R157" s="60" t="n">
        <v>987</v>
      </c>
      <c r="S157" s="60" t="n">
        <v>1765</v>
      </c>
      <c r="T157" s="42" t="n">
        <v>79</v>
      </c>
      <c r="U157" s="60" t="n">
        <v>1037</v>
      </c>
      <c r="V157" s="60" t="n">
        <v>2268</v>
      </c>
      <c r="W157" s="42" t="n">
        <v>46</v>
      </c>
      <c r="X157" s="60" t="n">
        <v>658</v>
      </c>
      <c r="Y157" s="60" t="n">
        <v>1776</v>
      </c>
      <c r="Z157" s="42" t="n">
        <v>70</v>
      </c>
      <c r="AA157" s="60" t="n">
        <v>852.99</v>
      </c>
      <c r="AB157" s="60" t="n">
        <v>991.55</v>
      </c>
      <c r="AE157" s="42" t="s">
        <v>11376</v>
      </c>
    </row>
    <row r="158" customFormat="false" ht="12.75" hidden="true" customHeight="true" outlineLevel="0" collapsed="false">
      <c r="A158" s="55" t="s">
        <v>12189</v>
      </c>
      <c r="B158" s="55" t="s">
        <v>99</v>
      </c>
      <c r="C158" s="55" t="s">
        <v>12190</v>
      </c>
      <c r="D158" s="32" t="n">
        <v>75015</v>
      </c>
      <c r="E158" s="32" t="s">
        <v>55</v>
      </c>
      <c r="F158" s="32" t="s">
        <v>12191</v>
      </c>
      <c r="G158" s="55" t="s">
        <v>12192</v>
      </c>
      <c r="H158" s="55" t="s">
        <v>12193</v>
      </c>
      <c r="I158" s="32" t="n">
        <v>8</v>
      </c>
      <c r="J158" s="32" t="n">
        <v>0</v>
      </c>
      <c r="K158" s="43" t="e">
        <f aca="false">VLOOKUP(A158,#REF!,2, )</f>
        <v>#VALUE!</v>
      </c>
      <c r="L158" s="32" t="n">
        <v>1</v>
      </c>
      <c r="M158" s="32" t="n">
        <v>0</v>
      </c>
      <c r="N158" s="32" t="n">
        <v>0</v>
      </c>
      <c r="O158" s="42" t="s">
        <v>11367</v>
      </c>
      <c r="P158" s="41"/>
      <c r="R158" s="60" t="n">
        <v>463</v>
      </c>
      <c r="S158" s="60" t="n">
        <v>841</v>
      </c>
      <c r="T158" s="42" t="n">
        <v>0</v>
      </c>
      <c r="U158" s="60" t="n">
        <v>574</v>
      </c>
      <c r="V158" s="60" t="n">
        <v>1073</v>
      </c>
      <c r="W158" s="42" t="n">
        <v>0</v>
      </c>
      <c r="X158" s="60" t="n">
        <v>385</v>
      </c>
      <c r="Y158" s="60" t="n">
        <v>931</v>
      </c>
      <c r="Z158" s="42" t="n">
        <v>0</v>
      </c>
      <c r="AA158" s="60" t="n">
        <v>685.75</v>
      </c>
      <c r="AB158" s="60" t="n">
        <v>987</v>
      </c>
      <c r="AD158" s="42" t="s">
        <v>11759</v>
      </c>
      <c r="AE158" s="42" t="s">
        <v>11473</v>
      </c>
    </row>
    <row r="159" customFormat="false" ht="12.75" hidden="true" customHeight="true" outlineLevel="0" collapsed="false">
      <c r="A159" s="55" t="s">
        <v>12194</v>
      </c>
      <c r="B159" s="55" t="s">
        <v>387</v>
      </c>
      <c r="C159" s="55" t="s">
        <v>12195</v>
      </c>
      <c r="D159" s="32" t="n">
        <v>75016</v>
      </c>
      <c r="E159" s="32" t="s">
        <v>55</v>
      </c>
      <c r="F159" s="32" t="s">
        <v>12196</v>
      </c>
      <c r="G159" s="55" t="s">
        <v>12197</v>
      </c>
      <c r="H159" s="55" t="s">
        <v>12198</v>
      </c>
      <c r="I159" s="32" t="n">
        <v>8</v>
      </c>
      <c r="J159" s="32" t="n">
        <v>0</v>
      </c>
      <c r="K159" s="43" t="e">
        <f aca="false">VLOOKUP(A159,#REF!,2, )</f>
        <v>#VALUE!</v>
      </c>
      <c r="L159" s="32" t="n">
        <v>1</v>
      </c>
      <c r="M159" s="32" t="n">
        <v>0</v>
      </c>
      <c r="N159" s="32" t="n">
        <v>0</v>
      </c>
      <c r="O159" s="42" t="s">
        <v>11367</v>
      </c>
      <c r="P159" s="41"/>
      <c r="R159" s="60" t="n">
        <v>396</v>
      </c>
      <c r="S159" s="60" t="n">
        <v>837</v>
      </c>
      <c r="T159" s="42" t="n">
        <v>0</v>
      </c>
      <c r="U159" s="60" t="n">
        <v>614</v>
      </c>
      <c r="V159" s="60" t="n">
        <v>1079</v>
      </c>
      <c r="W159" s="42" t="n">
        <v>0</v>
      </c>
      <c r="X159" s="60" t="n">
        <v>424</v>
      </c>
      <c r="Y159" s="60" t="n">
        <v>937</v>
      </c>
      <c r="Z159" s="42" t="n">
        <v>0</v>
      </c>
      <c r="AA159" s="60" t="n">
        <v>652.29</v>
      </c>
      <c r="AB159" s="60" t="n">
        <v>985.52</v>
      </c>
      <c r="AD159" s="42" t="s">
        <v>11466</v>
      </c>
      <c r="AE159" s="42" t="s">
        <v>11384</v>
      </c>
    </row>
    <row r="160" customFormat="false" ht="12.75" hidden="true" customHeight="true" outlineLevel="0" collapsed="false">
      <c r="A160" s="55" t="s">
        <v>12199</v>
      </c>
      <c r="B160" s="55" t="s">
        <v>119</v>
      </c>
      <c r="C160" s="55" t="s">
        <v>12200</v>
      </c>
      <c r="D160" s="32" t="n">
        <v>75007</v>
      </c>
      <c r="E160" s="32" t="s">
        <v>55</v>
      </c>
      <c r="F160" s="32" t="s">
        <v>12201</v>
      </c>
      <c r="G160" s="55" t="s">
        <v>12202</v>
      </c>
      <c r="H160" s="55" t="s">
        <v>12203</v>
      </c>
      <c r="I160" s="32" t="n">
        <v>6</v>
      </c>
      <c r="J160" s="32" t="n">
        <v>0</v>
      </c>
      <c r="K160" s="43" t="e">
        <f aca="false">VLOOKUP(A160,#REF!,2, )</f>
        <v>#VALUE!</v>
      </c>
      <c r="L160" s="32" t="n">
        <v>1</v>
      </c>
      <c r="M160" s="32" t="n">
        <v>0</v>
      </c>
      <c r="N160" s="32" t="n">
        <v>0</v>
      </c>
      <c r="O160" s="42" t="s">
        <v>11367</v>
      </c>
      <c r="P160" s="41"/>
      <c r="R160" s="60" t="n">
        <v>145</v>
      </c>
      <c r="S160" s="60" t="n">
        <v>801</v>
      </c>
      <c r="T160" s="42" t="n">
        <v>0</v>
      </c>
      <c r="U160" s="60" t="n">
        <v>229</v>
      </c>
      <c r="V160" s="60" t="n">
        <v>840</v>
      </c>
      <c r="W160" s="42" t="n">
        <v>0</v>
      </c>
      <c r="X160" s="60" t="n">
        <v>290</v>
      </c>
      <c r="Y160" s="60" t="n">
        <v>1066</v>
      </c>
      <c r="Z160" s="42" t="n">
        <v>0</v>
      </c>
      <c r="AA160" s="60" t="n">
        <v>635.57</v>
      </c>
      <c r="AB160" s="60" t="n">
        <v>982.02</v>
      </c>
      <c r="AE160" s="42" t="s">
        <v>11384</v>
      </c>
    </row>
    <row r="161" customFormat="false" ht="12.75" hidden="true" customHeight="true" outlineLevel="0" collapsed="false">
      <c r="A161" s="55" t="s">
        <v>12204</v>
      </c>
      <c r="B161" s="55" t="s">
        <v>387</v>
      </c>
      <c r="C161" s="55" t="s">
        <v>12205</v>
      </c>
      <c r="D161" s="32" t="n">
        <v>75016</v>
      </c>
      <c r="E161" s="32" t="s">
        <v>55</v>
      </c>
      <c r="F161" s="32" t="s">
        <v>12206</v>
      </c>
      <c r="G161" s="55" t="s">
        <v>12207</v>
      </c>
      <c r="H161" s="55" t="s">
        <v>12208</v>
      </c>
      <c r="I161" s="32" t="n">
        <v>7</v>
      </c>
      <c r="J161" s="32" t="n">
        <v>0</v>
      </c>
      <c r="K161" s="43" t="e">
        <f aca="false">VLOOKUP(A161,#REF!,2, )</f>
        <v>#VALUE!</v>
      </c>
      <c r="L161" s="32" t="n">
        <v>1</v>
      </c>
      <c r="M161" s="32" t="n">
        <v>0</v>
      </c>
      <c r="N161" s="32" t="n">
        <v>0</v>
      </c>
      <c r="O161" s="42" t="s">
        <v>11367</v>
      </c>
      <c r="P161" s="41"/>
      <c r="R161" s="60" t="n">
        <v>1639</v>
      </c>
      <c r="S161" s="60" t="n">
        <v>1777</v>
      </c>
      <c r="T161" s="42" t="n">
        <v>77</v>
      </c>
      <c r="U161" s="60" t="n">
        <v>1628</v>
      </c>
      <c r="V161" s="60" t="n">
        <v>1280</v>
      </c>
      <c r="W161" s="42" t="n">
        <v>0</v>
      </c>
      <c r="X161" s="60" t="n">
        <v>1093</v>
      </c>
      <c r="Y161" s="60" t="n">
        <v>1280</v>
      </c>
      <c r="Z161" s="42" t="n">
        <v>0</v>
      </c>
      <c r="AA161" s="60" t="n">
        <v>557.5</v>
      </c>
      <c r="AB161" s="60" t="n">
        <v>980.8</v>
      </c>
      <c r="AD161" s="42" t="s">
        <v>11375</v>
      </c>
      <c r="AE161" s="42" t="s">
        <v>11384</v>
      </c>
    </row>
    <row r="162" customFormat="false" ht="12.75" hidden="true" customHeight="true" outlineLevel="0" collapsed="false">
      <c r="A162" s="55" t="s">
        <v>12209</v>
      </c>
      <c r="B162" s="55" t="s">
        <v>435</v>
      </c>
      <c r="C162" s="55" t="s">
        <v>12210</v>
      </c>
      <c r="D162" s="32" t="n">
        <v>75016</v>
      </c>
      <c r="E162" s="32" t="s">
        <v>55</v>
      </c>
      <c r="F162" s="32" t="s">
        <v>12211</v>
      </c>
      <c r="G162" s="55" t="s">
        <v>12212</v>
      </c>
      <c r="H162" s="55" t="s">
        <v>12213</v>
      </c>
      <c r="I162" s="32" t="n">
        <v>7</v>
      </c>
      <c r="J162" s="32" t="n">
        <v>0</v>
      </c>
      <c r="K162" s="43" t="e">
        <f aca="false">VLOOKUP(A162,#REF!,2, )</f>
        <v>#VALUE!</v>
      </c>
      <c r="L162" s="32" t="n">
        <v>1</v>
      </c>
      <c r="M162" s="32" t="n">
        <v>0</v>
      </c>
      <c r="N162" s="32" t="n">
        <v>0</v>
      </c>
      <c r="O162" s="42" t="s">
        <v>11367</v>
      </c>
      <c r="P162" s="41"/>
      <c r="R162" s="60" t="n">
        <v>1756</v>
      </c>
      <c r="S162" s="60" t="n">
        <v>938</v>
      </c>
      <c r="T162" s="42" t="n">
        <v>0</v>
      </c>
      <c r="U162" s="60" t="n">
        <v>1539</v>
      </c>
      <c r="V162" s="60" t="n">
        <v>1257</v>
      </c>
      <c r="W162" s="42" t="n">
        <v>0</v>
      </c>
      <c r="X162" s="60" t="n">
        <v>1422</v>
      </c>
      <c r="Y162" s="60" t="n">
        <v>1339</v>
      </c>
      <c r="Z162" s="42" t="n">
        <v>0</v>
      </c>
      <c r="AA162" s="60" t="n">
        <v>1449.52</v>
      </c>
      <c r="AB162" s="60" t="n">
        <v>975.26</v>
      </c>
      <c r="AD162" s="42" t="s">
        <v>11501</v>
      </c>
      <c r="AE162" s="42" t="s">
        <v>11384</v>
      </c>
    </row>
    <row r="163" customFormat="false" ht="12.75" hidden="true" customHeight="true" outlineLevel="0" collapsed="false">
      <c r="A163" s="55" t="s">
        <v>12214</v>
      </c>
      <c r="B163" s="55" t="s">
        <v>197</v>
      </c>
      <c r="C163" s="55" t="s">
        <v>10836</v>
      </c>
      <c r="D163" s="32" t="n">
        <v>75017</v>
      </c>
      <c r="E163" s="32" t="s">
        <v>55</v>
      </c>
      <c r="F163" s="32" t="s">
        <v>12215</v>
      </c>
      <c r="G163" s="55" t="s">
        <v>12216</v>
      </c>
      <c r="H163" s="55" t="s">
        <v>12217</v>
      </c>
      <c r="I163" s="32" t="n">
        <v>9</v>
      </c>
      <c r="J163" s="32" t="n">
        <v>0</v>
      </c>
      <c r="K163" s="43" t="e">
        <f aca="false">VLOOKUP(A163,#REF!,2, )</f>
        <v>#VALUE!</v>
      </c>
      <c r="L163" s="32" t="n">
        <v>1</v>
      </c>
      <c r="M163" s="32" t="n">
        <v>0</v>
      </c>
      <c r="N163" s="32" t="n">
        <v>0</v>
      </c>
      <c r="O163" s="42" t="s">
        <v>11367</v>
      </c>
      <c r="P163" s="41"/>
      <c r="R163" s="60" t="n">
        <v>294</v>
      </c>
      <c r="S163" s="60" t="n">
        <v>786</v>
      </c>
      <c r="T163" s="42" t="n">
        <v>0</v>
      </c>
      <c r="U163" s="60" t="n">
        <v>294</v>
      </c>
      <c r="V163" s="60" t="n">
        <v>956</v>
      </c>
      <c r="W163" s="42" t="n">
        <v>0</v>
      </c>
      <c r="X163" s="60" t="n">
        <v>378</v>
      </c>
      <c r="Y163" s="60" t="n">
        <v>858</v>
      </c>
      <c r="Z163" s="42" t="n">
        <v>0</v>
      </c>
      <c r="AA163" s="60" t="n">
        <v>497.3</v>
      </c>
      <c r="AB163" s="60" t="n">
        <v>967.24</v>
      </c>
      <c r="AD163" s="42" t="s">
        <v>11501</v>
      </c>
      <c r="AE163" s="42" t="s">
        <v>11384</v>
      </c>
    </row>
    <row r="164" customFormat="false" ht="17.25" hidden="true" customHeight="true" outlineLevel="0" collapsed="false">
      <c r="A164" s="55" t="s">
        <v>12218</v>
      </c>
      <c r="B164" s="55" t="s">
        <v>62</v>
      </c>
      <c r="C164" s="55" t="s">
        <v>12219</v>
      </c>
      <c r="D164" s="32" t="n">
        <v>75017</v>
      </c>
      <c r="E164" s="32" t="s">
        <v>55</v>
      </c>
      <c r="F164" s="32" t="s">
        <v>12220</v>
      </c>
      <c r="G164" s="55" t="s">
        <v>12221</v>
      </c>
      <c r="H164" s="55" t="s">
        <v>12222</v>
      </c>
      <c r="I164" s="32" t="n">
        <v>8</v>
      </c>
      <c r="J164" s="32" t="n">
        <v>0</v>
      </c>
      <c r="K164" s="43" t="e">
        <f aca="false">VLOOKUP(A164,#REF!,2, )</f>
        <v>#VALUE!</v>
      </c>
      <c r="L164" s="32" t="n">
        <v>1</v>
      </c>
      <c r="M164" s="32" t="n">
        <v>0</v>
      </c>
      <c r="N164" s="32" t="n">
        <v>0</v>
      </c>
      <c r="O164" s="42" t="s">
        <v>11367</v>
      </c>
      <c r="P164" s="41"/>
      <c r="R164" s="60" t="n">
        <v>379</v>
      </c>
      <c r="S164" s="60" t="n">
        <v>482</v>
      </c>
      <c r="T164" s="42" t="n">
        <v>0</v>
      </c>
      <c r="U164" s="60" t="n">
        <v>359</v>
      </c>
      <c r="V164" s="60" t="n">
        <v>641</v>
      </c>
      <c r="W164" s="42" t="n">
        <v>0</v>
      </c>
      <c r="X164" s="60" t="n">
        <v>442</v>
      </c>
      <c r="Y164" s="60" t="n">
        <v>641</v>
      </c>
      <c r="Z164" s="42" t="n">
        <v>0</v>
      </c>
      <c r="AA164" s="60" t="n">
        <v>793.68</v>
      </c>
      <c r="AB164" s="60" t="n">
        <v>953.32</v>
      </c>
      <c r="AD164" s="42" t="s">
        <v>11360</v>
      </c>
      <c r="AE164" s="42" t="s">
        <v>11384</v>
      </c>
    </row>
    <row r="165" customFormat="false" ht="12.75" hidden="true" customHeight="true" outlineLevel="0" collapsed="false">
      <c r="A165" s="55" t="s">
        <v>12223</v>
      </c>
      <c r="B165" s="55" t="s">
        <v>197</v>
      </c>
      <c r="C165" s="55" t="s">
        <v>12224</v>
      </c>
      <c r="D165" s="32" t="n">
        <v>75017</v>
      </c>
      <c r="E165" s="32" t="s">
        <v>55</v>
      </c>
      <c r="F165" s="32" t="s">
        <v>12225</v>
      </c>
      <c r="G165" s="55" t="s">
        <v>12226</v>
      </c>
      <c r="H165" s="55" t="s">
        <v>12227</v>
      </c>
      <c r="I165" s="32" t="n">
        <v>9</v>
      </c>
      <c r="J165" s="32" t="n">
        <v>0</v>
      </c>
      <c r="K165" s="43" t="e">
        <f aca="false">VLOOKUP(A165,#REF!,2, )</f>
        <v>#VALUE!</v>
      </c>
      <c r="L165" s="32" t="n">
        <v>1</v>
      </c>
      <c r="M165" s="32" t="n">
        <v>0</v>
      </c>
      <c r="N165" s="32" t="n">
        <v>0</v>
      </c>
      <c r="O165" s="42" t="s">
        <v>11367</v>
      </c>
      <c r="P165" s="41"/>
      <c r="R165" s="60" t="n">
        <v>273</v>
      </c>
      <c r="S165" s="60" t="n">
        <v>768</v>
      </c>
      <c r="T165" s="42" t="n">
        <v>0</v>
      </c>
      <c r="U165" s="60" t="n">
        <v>440</v>
      </c>
      <c r="V165" s="60" t="n">
        <v>1162</v>
      </c>
      <c r="W165" s="42" t="n">
        <v>0</v>
      </c>
      <c r="X165" s="60" t="n">
        <v>524</v>
      </c>
      <c r="Y165" s="60" t="n">
        <v>823</v>
      </c>
      <c r="Z165" s="42" t="n">
        <v>0</v>
      </c>
      <c r="AA165" s="60" t="n">
        <v>418.14</v>
      </c>
      <c r="AB165" s="60" t="n">
        <v>947.24</v>
      </c>
      <c r="AD165" s="42" t="s">
        <v>11634</v>
      </c>
      <c r="AE165" s="42" t="s">
        <v>11384</v>
      </c>
    </row>
    <row r="166" customFormat="false" ht="12.75" hidden="true" customHeight="true" outlineLevel="0" collapsed="false">
      <c r="A166" s="55" t="s">
        <v>12228</v>
      </c>
      <c r="B166" s="55" t="s">
        <v>173</v>
      </c>
      <c r="C166" s="55" t="s">
        <v>12229</v>
      </c>
      <c r="D166" s="32" t="n">
        <v>75116</v>
      </c>
      <c r="E166" s="32" t="s">
        <v>55</v>
      </c>
      <c r="F166" s="32" t="s">
        <v>12230</v>
      </c>
      <c r="G166" s="55" t="s">
        <v>12231</v>
      </c>
      <c r="H166" s="55" t="s">
        <v>12232</v>
      </c>
      <c r="I166" s="32" t="n">
        <v>8</v>
      </c>
      <c r="J166" s="32" t="n">
        <v>0</v>
      </c>
      <c r="K166" s="43" t="e">
        <f aca="false">VLOOKUP(A166,#REF!,2, )</f>
        <v>#VALUE!</v>
      </c>
      <c r="L166" s="32" t="n">
        <v>1</v>
      </c>
      <c r="M166" s="32" t="n">
        <v>0</v>
      </c>
      <c r="N166" s="32" t="n">
        <v>0</v>
      </c>
      <c r="O166" s="42" t="s">
        <v>11367</v>
      </c>
      <c r="P166" s="41"/>
      <c r="R166" s="60" t="n">
        <v>273</v>
      </c>
      <c r="S166" s="60" t="n">
        <v>846</v>
      </c>
      <c r="T166" s="42" t="n">
        <v>0</v>
      </c>
      <c r="U166" s="60" t="n">
        <v>84</v>
      </c>
      <c r="V166" s="60" t="n">
        <v>852</v>
      </c>
      <c r="W166" s="42" t="n">
        <v>0</v>
      </c>
      <c r="X166" s="60" t="n">
        <v>167</v>
      </c>
      <c r="Y166" s="60" t="n">
        <v>816</v>
      </c>
      <c r="Z166" s="42" t="n">
        <v>0</v>
      </c>
      <c r="AA166" s="60" t="n">
        <v>167.26</v>
      </c>
      <c r="AB166" s="60" t="n">
        <v>929.98</v>
      </c>
      <c r="AE166" s="42" t="s">
        <v>11384</v>
      </c>
    </row>
    <row r="167" customFormat="false" ht="17.25" hidden="true" customHeight="true" outlineLevel="0" collapsed="false">
      <c r="A167" s="55" t="s">
        <v>12233</v>
      </c>
      <c r="B167" s="55" t="s">
        <v>197</v>
      </c>
      <c r="C167" s="55" t="s">
        <v>12234</v>
      </c>
      <c r="D167" s="32" t="n">
        <v>75017</v>
      </c>
      <c r="E167" s="32" t="s">
        <v>55</v>
      </c>
      <c r="F167" s="32" t="s">
        <v>12235</v>
      </c>
      <c r="G167" s="55" t="s">
        <v>12236</v>
      </c>
      <c r="H167" s="55" t="s">
        <v>12237</v>
      </c>
      <c r="I167" s="32" t="n">
        <v>10</v>
      </c>
      <c r="J167" s="32" t="n">
        <v>0</v>
      </c>
      <c r="K167" s="43" t="e">
        <f aca="false">VLOOKUP(A167,#REF!,2, )</f>
        <v>#VALUE!</v>
      </c>
      <c r="L167" s="32" t="n">
        <v>0</v>
      </c>
      <c r="M167" s="32" t="n">
        <v>0</v>
      </c>
      <c r="N167" s="32" t="n">
        <v>0</v>
      </c>
      <c r="O167" s="42" t="s">
        <v>11367</v>
      </c>
      <c r="P167" s="41"/>
      <c r="S167" s="60" t="n">
        <v>780</v>
      </c>
      <c r="T167" s="42" t="n">
        <v>0</v>
      </c>
      <c r="V167" s="60" t="n">
        <v>1688</v>
      </c>
      <c r="W167" s="42" t="n">
        <v>96</v>
      </c>
      <c r="Y167" s="60" t="n">
        <v>1636</v>
      </c>
      <c r="Z167" s="42" t="n">
        <v>83</v>
      </c>
      <c r="AA167" s="60" t="n">
        <v>0</v>
      </c>
      <c r="AB167" s="60" t="n">
        <v>911.26</v>
      </c>
      <c r="AD167" s="42" t="s">
        <v>11375</v>
      </c>
    </row>
    <row r="168" customFormat="false" ht="12.75" hidden="true" customHeight="true" outlineLevel="0" collapsed="false">
      <c r="A168" s="55" t="s">
        <v>12238</v>
      </c>
      <c r="B168" s="55" t="s">
        <v>435</v>
      </c>
      <c r="C168" s="55" t="s">
        <v>12239</v>
      </c>
      <c r="D168" s="32" t="n">
        <v>75116</v>
      </c>
      <c r="E168" s="32" t="s">
        <v>55</v>
      </c>
      <c r="F168" s="32" t="s">
        <v>12240</v>
      </c>
      <c r="G168" s="55" t="s">
        <v>12241</v>
      </c>
      <c r="H168" s="55" t="s">
        <v>12242</v>
      </c>
      <c r="I168" s="32" t="n">
        <v>7</v>
      </c>
      <c r="J168" s="32" t="n">
        <v>0</v>
      </c>
      <c r="K168" s="43" t="e">
        <f aca="false">VLOOKUP(A168,#REF!,2, )</f>
        <v>#VALUE!</v>
      </c>
      <c r="L168" s="32" t="n">
        <v>1</v>
      </c>
      <c r="M168" s="32" t="n">
        <v>1</v>
      </c>
      <c r="N168" s="32" t="n">
        <v>0</v>
      </c>
      <c r="O168" s="42" t="s">
        <v>11367</v>
      </c>
      <c r="P168" s="41"/>
      <c r="R168" s="60" t="n">
        <v>558</v>
      </c>
      <c r="S168" s="60" t="n">
        <v>777</v>
      </c>
      <c r="T168" s="42" t="n">
        <v>0</v>
      </c>
      <c r="U168" s="60" t="n">
        <v>440</v>
      </c>
      <c r="V168" s="60" t="n">
        <v>775</v>
      </c>
      <c r="W168" s="42" t="n">
        <v>0</v>
      </c>
      <c r="X168" s="60" t="n">
        <v>251</v>
      </c>
      <c r="Y168" s="60" t="n">
        <v>682</v>
      </c>
      <c r="Z168" s="42" t="n">
        <v>0</v>
      </c>
      <c r="AA168" s="60" t="n">
        <v>167.26</v>
      </c>
      <c r="AB168" s="60" t="n">
        <v>898.85</v>
      </c>
      <c r="AD168" s="42" t="s">
        <v>11417</v>
      </c>
    </row>
    <row r="169" customFormat="false" ht="17.25" hidden="true" customHeight="true" outlineLevel="0" collapsed="false">
      <c r="A169" s="55" t="s">
        <v>12243</v>
      </c>
      <c r="B169" s="55" t="s">
        <v>119</v>
      </c>
      <c r="C169" s="55" t="s">
        <v>4450</v>
      </c>
      <c r="D169" s="32" t="n">
        <v>75007</v>
      </c>
      <c r="E169" s="32" t="s">
        <v>55</v>
      </c>
      <c r="F169" s="32" t="s">
        <v>12244</v>
      </c>
      <c r="G169" s="55" t="s">
        <v>12245</v>
      </c>
      <c r="H169" s="55" t="s">
        <v>12246</v>
      </c>
      <c r="I169" s="32" t="n">
        <v>8</v>
      </c>
      <c r="J169" s="32" t="n">
        <v>0</v>
      </c>
      <c r="K169" s="43" t="e">
        <f aca="false">VLOOKUP(A169,#REF!,2, )</f>
        <v>#VALUE!</v>
      </c>
      <c r="L169" s="32" t="n">
        <v>0</v>
      </c>
      <c r="M169" s="32" t="n">
        <v>0</v>
      </c>
      <c r="N169" s="32" t="n">
        <v>0</v>
      </c>
      <c r="O169" s="42" t="s">
        <v>12247</v>
      </c>
      <c r="P169" s="41" t="n">
        <v>45312.6666666667</v>
      </c>
      <c r="S169" s="60" t="n">
        <v>1140</v>
      </c>
      <c r="T169" s="42" t="n">
        <v>0</v>
      </c>
      <c r="V169" s="60" t="n">
        <v>1886</v>
      </c>
      <c r="W169" s="42" t="n">
        <v>70</v>
      </c>
      <c r="Y169" s="60" t="n">
        <v>1952</v>
      </c>
      <c r="Z169" s="42" t="n">
        <v>61</v>
      </c>
      <c r="AA169" s="60" t="n">
        <v>301.06</v>
      </c>
      <c r="AB169" s="60" t="n">
        <v>896.31</v>
      </c>
      <c r="AD169" s="42" t="s">
        <v>12248</v>
      </c>
    </row>
    <row r="170" customFormat="false" ht="12.75" hidden="true" customHeight="true" outlineLevel="0" collapsed="false">
      <c r="A170" s="55" t="s">
        <v>12249</v>
      </c>
      <c r="B170" s="55" t="s">
        <v>572</v>
      </c>
      <c r="C170" s="55" t="s">
        <v>12250</v>
      </c>
      <c r="D170" s="32" t="n">
        <v>75009</v>
      </c>
      <c r="E170" s="32" t="s">
        <v>55</v>
      </c>
      <c r="F170" s="32" t="s">
        <v>12251</v>
      </c>
      <c r="G170" s="55" t="s">
        <v>12252</v>
      </c>
      <c r="H170" s="55" t="s">
        <v>12253</v>
      </c>
      <c r="I170" s="32" t="n">
        <v>4</v>
      </c>
      <c r="J170" s="32" t="n">
        <v>0</v>
      </c>
      <c r="K170" s="43" t="e">
        <f aca="false">VLOOKUP(A170,#REF!,2, )</f>
        <v>#VALUE!</v>
      </c>
      <c r="L170" s="32" t="n">
        <v>1</v>
      </c>
      <c r="M170" s="32" t="n">
        <v>0</v>
      </c>
      <c r="N170" s="32" t="n">
        <v>0</v>
      </c>
      <c r="O170" s="42" t="s">
        <v>11367</v>
      </c>
      <c r="P170" s="41"/>
      <c r="R170" s="60" t="n">
        <v>84</v>
      </c>
      <c r="S170" s="60" t="n">
        <v>688</v>
      </c>
      <c r="T170" s="42" t="n">
        <v>0</v>
      </c>
      <c r="U170" s="60" t="n">
        <v>167</v>
      </c>
      <c r="V170" s="60" t="n">
        <v>800</v>
      </c>
      <c r="W170" s="42" t="n">
        <v>0</v>
      </c>
      <c r="X170" s="60" t="n">
        <v>167</v>
      </c>
      <c r="Y170" s="60" t="n">
        <v>763</v>
      </c>
      <c r="Z170" s="42" t="n">
        <v>0</v>
      </c>
      <c r="AA170" s="60" t="n">
        <v>83.63</v>
      </c>
      <c r="AB170" s="60" t="n">
        <v>887.65</v>
      </c>
      <c r="AD170" s="42" t="s">
        <v>11397</v>
      </c>
    </row>
    <row r="171" customFormat="false" ht="12.75" hidden="true" customHeight="true" outlineLevel="0" collapsed="false">
      <c r="A171" s="55" t="s">
        <v>12254</v>
      </c>
      <c r="B171" s="55" t="s">
        <v>295</v>
      </c>
      <c r="C171" s="55" t="s">
        <v>12255</v>
      </c>
      <c r="D171" s="32" t="n">
        <v>92300</v>
      </c>
      <c r="E171" s="32" t="s">
        <v>11355</v>
      </c>
      <c r="F171" s="32" t="s">
        <v>12256</v>
      </c>
      <c r="G171" s="55" t="s">
        <v>12257</v>
      </c>
      <c r="H171" s="55" t="s">
        <v>12258</v>
      </c>
      <c r="I171" s="32" t="n">
        <v>8</v>
      </c>
      <c r="J171" s="32" t="n">
        <v>0</v>
      </c>
      <c r="K171" s="43" t="e">
        <f aca="false">VLOOKUP(A171,#REF!,2, )</f>
        <v>#VALUE!</v>
      </c>
      <c r="L171" s="32" t="n">
        <v>1</v>
      </c>
      <c r="M171" s="32" t="n">
        <v>0</v>
      </c>
      <c r="N171" s="32" t="n">
        <v>0</v>
      </c>
      <c r="O171" s="42" t="s">
        <v>11367</v>
      </c>
      <c r="P171" s="41"/>
      <c r="R171" s="60" t="n">
        <v>-31</v>
      </c>
      <c r="S171" s="60" t="n">
        <v>1235</v>
      </c>
      <c r="T171" s="42" t="n">
        <v>0</v>
      </c>
      <c r="U171" s="60" t="n">
        <v>186</v>
      </c>
      <c r="V171" s="60" t="n">
        <v>1289</v>
      </c>
      <c r="W171" s="42" t="n">
        <v>0</v>
      </c>
      <c r="X171" s="60" t="n">
        <v>256</v>
      </c>
      <c r="Y171" s="60" t="n">
        <v>1418</v>
      </c>
      <c r="Z171" s="42" t="n">
        <v>113</v>
      </c>
      <c r="AA171" s="60" t="n">
        <v>217.43</v>
      </c>
      <c r="AB171" s="60" t="n">
        <v>873.6</v>
      </c>
      <c r="AD171" s="42" t="s">
        <v>11501</v>
      </c>
      <c r="AE171" s="42" t="s">
        <v>11384</v>
      </c>
    </row>
    <row r="172" customFormat="false" ht="17.25" hidden="true" customHeight="true" outlineLevel="0" collapsed="false">
      <c r="A172" s="55" t="s">
        <v>12259</v>
      </c>
      <c r="B172" s="55" t="s">
        <v>119</v>
      </c>
      <c r="C172" s="55" t="s">
        <v>12260</v>
      </c>
      <c r="D172" s="32" t="n">
        <v>75007</v>
      </c>
      <c r="E172" s="32" t="s">
        <v>55</v>
      </c>
      <c r="F172" s="32" t="s">
        <v>12261</v>
      </c>
      <c r="G172" s="55" t="s">
        <v>12262</v>
      </c>
      <c r="H172" s="55" t="s">
        <v>12263</v>
      </c>
      <c r="I172" s="32" t="n">
        <v>6</v>
      </c>
      <c r="J172" s="32" t="n">
        <v>0</v>
      </c>
      <c r="K172" s="43" t="e">
        <f aca="false">VLOOKUP(A172,#REF!,2, )</f>
        <v>#VALUE!</v>
      </c>
      <c r="L172" s="32" t="n">
        <v>1</v>
      </c>
      <c r="M172" s="32" t="n">
        <v>0</v>
      </c>
      <c r="N172" s="32" t="n">
        <v>0</v>
      </c>
      <c r="O172" s="42" t="s">
        <v>11367</v>
      </c>
      <c r="P172" s="41"/>
      <c r="R172" s="60" t="n">
        <v>870</v>
      </c>
      <c r="S172" s="60" t="n">
        <v>839</v>
      </c>
      <c r="T172" s="42" t="n">
        <v>0</v>
      </c>
      <c r="U172" s="60" t="n">
        <v>1043</v>
      </c>
      <c r="V172" s="60" t="n">
        <v>844</v>
      </c>
      <c r="W172" s="42" t="n">
        <v>0</v>
      </c>
      <c r="X172" s="60" t="n">
        <v>1500</v>
      </c>
      <c r="Y172" s="60" t="n">
        <v>883</v>
      </c>
      <c r="Z172" s="42" t="n">
        <v>0</v>
      </c>
      <c r="AA172" s="60" t="n">
        <v>1343.58</v>
      </c>
      <c r="AB172" s="60" t="n">
        <v>864.17</v>
      </c>
      <c r="AE172" s="42" t="s">
        <v>11473</v>
      </c>
    </row>
    <row r="173" customFormat="false" ht="12.75" hidden="true" customHeight="true" outlineLevel="0" collapsed="false">
      <c r="A173" s="55" t="s">
        <v>12264</v>
      </c>
      <c r="B173" s="55" t="s">
        <v>197</v>
      </c>
      <c r="C173" s="55" t="s">
        <v>12265</v>
      </c>
      <c r="D173" s="32" t="n">
        <v>75017</v>
      </c>
      <c r="E173" s="32" t="s">
        <v>55</v>
      </c>
      <c r="F173" s="32" t="s">
        <v>12266</v>
      </c>
      <c r="G173" s="55" t="s">
        <v>12267</v>
      </c>
      <c r="H173" s="55" t="s">
        <v>12268</v>
      </c>
      <c r="I173" s="32" t="n">
        <v>6</v>
      </c>
      <c r="J173" s="32" t="n">
        <v>0</v>
      </c>
      <c r="K173" s="43" t="e">
        <f aca="false">VLOOKUP(A173,#REF!,2, )</f>
        <v>#VALUE!</v>
      </c>
      <c r="L173" s="32" t="n">
        <v>1</v>
      </c>
      <c r="M173" s="32" t="n">
        <v>0</v>
      </c>
      <c r="N173" s="32" t="n">
        <v>0</v>
      </c>
      <c r="O173" s="42" t="s">
        <v>11367</v>
      </c>
      <c r="P173" s="41"/>
      <c r="S173" s="60" t="n">
        <v>913</v>
      </c>
      <c r="T173" s="42" t="n">
        <v>0</v>
      </c>
      <c r="V173" s="60" t="n">
        <v>901</v>
      </c>
      <c r="W173" s="42" t="n">
        <v>0</v>
      </c>
      <c r="Y173" s="60" t="n">
        <v>854</v>
      </c>
      <c r="Z173" s="42" t="n">
        <v>0</v>
      </c>
      <c r="AA173" s="60" t="n">
        <v>0</v>
      </c>
      <c r="AB173" s="60" t="n">
        <v>863.26</v>
      </c>
      <c r="AD173" s="42" t="s">
        <v>11360</v>
      </c>
      <c r="AE173" s="42" t="s">
        <v>11513</v>
      </c>
    </row>
    <row r="174" customFormat="false" ht="12.75" hidden="true" customHeight="true" outlineLevel="0" collapsed="false">
      <c r="A174" s="55" t="s">
        <v>12269</v>
      </c>
      <c r="B174" s="55" t="s">
        <v>77</v>
      </c>
      <c r="C174" s="55" t="s">
        <v>12270</v>
      </c>
      <c r="D174" s="32" t="n">
        <v>92200</v>
      </c>
      <c r="E174" s="32" t="s">
        <v>11393</v>
      </c>
      <c r="F174" s="32" t="s">
        <v>12271</v>
      </c>
      <c r="G174" s="55" t="s">
        <v>12272</v>
      </c>
      <c r="H174" s="55" t="s">
        <v>12273</v>
      </c>
      <c r="I174" s="32" t="n">
        <v>5</v>
      </c>
      <c r="J174" s="32" t="n">
        <v>0</v>
      </c>
      <c r="K174" s="43" t="e">
        <f aca="false">VLOOKUP(A174,#REF!,2, )</f>
        <v>#VALUE!</v>
      </c>
      <c r="L174" s="32" t="n">
        <v>1</v>
      </c>
      <c r="M174" s="32" t="n">
        <v>0</v>
      </c>
      <c r="N174" s="32" t="n">
        <v>0</v>
      </c>
      <c r="O174" s="42" t="s">
        <v>11367</v>
      </c>
      <c r="P174" s="41"/>
      <c r="R174" s="60" t="n">
        <v>669</v>
      </c>
      <c r="S174" s="60" t="n">
        <v>1805</v>
      </c>
      <c r="T174" s="42" t="n">
        <v>76</v>
      </c>
      <c r="U174" s="60" t="n">
        <v>624</v>
      </c>
      <c r="V174" s="60" t="n">
        <v>1349</v>
      </c>
      <c r="W174" s="42" t="n">
        <v>0</v>
      </c>
      <c r="X174" s="60" t="n">
        <v>624</v>
      </c>
      <c r="Y174" s="60" t="n">
        <v>969</v>
      </c>
      <c r="Z174" s="42" t="n">
        <v>0</v>
      </c>
      <c r="AA174" s="60" t="n">
        <v>724.76</v>
      </c>
      <c r="AB174" s="60" t="n">
        <v>861.8</v>
      </c>
      <c r="AD174" s="42" t="s">
        <v>11423</v>
      </c>
    </row>
    <row r="175" customFormat="false" ht="12.75" hidden="true" customHeight="true" outlineLevel="0" collapsed="false">
      <c r="A175" s="55" t="s">
        <v>12274</v>
      </c>
      <c r="B175" s="55" t="s">
        <v>62</v>
      </c>
      <c r="C175" s="55" t="s">
        <v>12275</v>
      </c>
      <c r="D175" s="32" t="n">
        <v>75017</v>
      </c>
      <c r="E175" s="32" t="s">
        <v>55</v>
      </c>
      <c r="F175" s="32" t="s">
        <v>12276</v>
      </c>
      <c r="G175" s="55" t="s">
        <v>12277</v>
      </c>
      <c r="H175" s="55" t="s">
        <v>12278</v>
      </c>
      <c r="I175" s="32" t="n">
        <v>8</v>
      </c>
      <c r="J175" s="32" t="n">
        <v>0</v>
      </c>
      <c r="K175" s="43" t="e">
        <f aca="false">VLOOKUP(A175,#REF!,2, )</f>
        <v>#VALUE!</v>
      </c>
      <c r="L175" s="32" t="n">
        <v>0</v>
      </c>
      <c r="M175" s="32" t="n">
        <v>0</v>
      </c>
      <c r="N175" s="32" t="n">
        <v>0</v>
      </c>
      <c r="O175" s="42" t="s">
        <v>11367</v>
      </c>
      <c r="P175" s="41"/>
      <c r="R175" s="60" t="n">
        <v>84</v>
      </c>
      <c r="S175" s="60" t="n">
        <v>1325</v>
      </c>
      <c r="T175" s="42" t="n">
        <v>0</v>
      </c>
      <c r="U175" s="60" t="n">
        <v>84</v>
      </c>
      <c r="V175" s="60" t="n">
        <v>1187</v>
      </c>
      <c r="W175" s="42" t="n">
        <v>0</v>
      </c>
      <c r="X175" s="60" t="n">
        <v>84</v>
      </c>
      <c r="Y175" s="60" t="n">
        <v>882</v>
      </c>
      <c r="Z175" s="42" t="n">
        <v>0</v>
      </c>
      <c r="AA175" s="60" t="n">
        <v>83.63</v>
      </c>
      <c r="AB175" s="60" t="n">
        <v>859.78</v>
      </c>
      <c r="AD175" s="42" t="s">
        <v>11501</v>
      </c>
    </row>
    <row r="176" customFormat="false" ht="17.25" hidden="true" customHeight="true" outlineLevel="0" collapsed="false">
      <c r="A176" s="55" t="s">
        <v>12279</v>
      </c>
      <c r="B176" s="55" t="s">
        <v>572</v>
      </c>
      <c r="C176" s="55" t="s">
        <v>12280</v>
      </c>
      <c r="D176" s="32" t="n">
        <v>75008</v>
      </c>
      <c r="E176" s="32" t="s">
        <v>55</v>
      </c>
      <c r="F176" s="32" t="s">
        <v>12281</v>
      </c>
      <c r="G176" s="55" t="s">
        <v>12282</v>
      </c>
      <c r="H176" s="55" t="s">
        <v>12283</v>
      </c>
      <c r="I176" s="32" t="n">
        <v>4</v>
      </c>
      <c r="J176" s="32" t="n">
        <v>0</v>
      </c>
      <c r="K176" s="43" t="e">
        <f aca="false">VLOOKUP(A176,#REF!,2, )</f>
        <v>#VALUE!</v>
      </c>
      <c r="L176" s="32" t="n">
        <v>1</v>
      </c>
      <c r="M176" s="32" t="n">
        <v>0</v>
      </c>
      <c r="N176" s="32" t="n">
        <v>0</v>
      </c>
      <c r="O176" s="42" t="s">
        <v>11367</v>
      </c>
      <c r="P176" s="41"/>
      <c r="R176" s="60" t="n">
        <v>641</v>
      </c>
      <c r="S176" s="60" t="n">
        <v>784</v>
      </c>
      <c r="T176" s="42" t="n">
        <v>0</v>
      </c>
      <c r="U176" s="60" t="n">
        <v>619</v>
      </c>
      <c r="V176" s="60" t="n">
        <v>959</v>
      </c>
      <c r="W176" s="42" t="n">
        <v>0</v>
      </c>
      <c r="X176" s="60" t="n">
        <v>597</v>
      </c>
      <c r="Y176" s="60" t="n">
        <v>889</v>
      </c>
      <c r="Z176" s="42" t="n">
        <v>0</v>
      </c>
      <c r="AA176" s="60" t="n">
        <v>418.13</v>
      </c>
      <c r="AB176" s="60" t="n">
        <v>844.43</v>
      </c>
      <c r="AD176" s="42" t="s">
        <v>11472</v>
      </c>
      <c r="AE176" s="42" t="s">
        <v>11384</v>
      </c>
    </row>
    <row r="177" customFormat="false" ht="17.25" hidden="true" customHeight="true" outlineLevel="0" collapsed="false">
      <c r="A177" s="55" t="s">
        <v>12284</v>
      </c>
      <c r="B177" s="55" t="s">
        <v>99</v>
      </c>
      <c r="C177" s="55" t="s">
        <v>12285</v>
      </c>
      <c r="D177" s="32" t="n">
        <v>75015</v>
      </c>
      <c r="E177" s="32" t="s">
        <v>55</v>
      </c>
      <c r="F177" s="32" t="s">
        <v>12286</v>
      </c>
      <c r="G177" s="55" t="s">
        <v>12287</v>
      </c>
      <c r="H177" s="55" t="s">
        <v>12288</v>
      </c>
      <c r="I177" s="32" t="n">
        <v>8</v>
      </c>
      <c r="J177" s="32" t="n">
        <v>3</v>
      </c>
      <c r="K177" s="43" t="e">
        <f aca="false">VLOOKUP(A177,#REF!,2, )</f>
        <v>#VALUE!</v>
      </c>
      <c r="L177" s="32" t="n">
        <v>1</v>
      </c>
      <c r="M177" s="32" t="n">
        <v>1</v>
      </c>
      <c r="N177" s="32" t="n">
        <v>2</v>
      </c>
      <c r="O177" s="42" t="s">
        <v>11367</v>
      </c>
      <c r="P177" s="39" t="n">
        <v>44681</v>
      </c>
      <c r="R177" s="60" t="n">
        <v>1104</v>
      </c>
      <c r="S177" s="60" t="n">
        <v>2632</v>
      </c>
      <c r="T177" s="42" t="n">
        <v>28</v>
      </c>
      <c r="U177" s="60" t="n">
        <v>435</v>
      </c>
      <c r="V177" s="60" t="n">
        <v>2280</v>
      </c>
      <c r="W177" s="42" t="n">
        <v>44</v>
      </c>
      <c r="X177" s="60" t="n">
        <v>435</v>
      </c>
      <c r="Y177" s="60" t="n">
        <v>2280</v>
      </c>
      <c r="Z177" s="42" t="n">
        <v>47</v>
      </c>
      <c r="AA177" s="60" t="n">
        <v>557.5</v>
      </c>
      <c r="AB177" s="60" t="n">
        <v>839.63</v>
      </c>
      <c r="AE177" s="42" t="s">
        <v>11384</v>
      </c>
    </row>
    <row r="178" customFormat="false" ht="12.75" hidden="true" customHeight="true" outlineLevel="0" collapsed="false">
      <c r="A178" s="55" t="s">
        <v>12289</v>
      </c>
      <c r="B178" s="55" t="s">
        <v>173</v>
      </c>
      <c r="C178" s="55" t="s">
        <v>12290</v>
      </c>
      <c r="D178" s="32" t="n">
        <v>75116</v>
      </c>
      <c r="E178" s="32" t="s">
        <v>55</v>
      </c>
      <c r="F178" s="32" t="s">
        <v>12291</v>
      </c>
      <c r="G178" s="55" t="s">
        <v>12292</v>
      </c>
      <c r="H178" s="55" t="s">
        <v>12293</v>
      </c>
      <c r="I178" s="32" t="n">
        <v>8</v>
      </c>
      <c r="J178" s="32" t="n">
        <v>0</v>
      </c>
      <c r="K178" s="43" t="e">
        <f aca="false">VLOOKUP(A178,#REF!,2, )</f>
        <v>#VALUE!</v>
      </c>
      <c r="L178" s="32" t="n">
        <v>0</v>
      </c>
      <c r="M178" s="32" t="n">
        <v>0</v>
      </c>
      <c r="N178" s="32" t="n">
        <v>0</v>
      </c>
      <c r="O178" s="42" t="s">
        <v>11367</v>
      </c>
      <c r="P178" s="41"/>
      <c r="S178" s="60" t="n">
        <v>684</v>
      </c>
      <c r="T178" s="42" t="n">
        <v>0</v>
      </c>
      <c r="V178" s="60" t="n">
        <v>988</v>
      </c>
      <c r="W178" s="42" t="n">
        <v>0</v>
      </c>
      <c r="Y178" s="60" t="n">
        <v>781</v>
      </c>
      <c r="Z178" s="42" t="n">
        <v>0</v>
      </c>
      <c r="AA178" s="60" t="n">
        <v>0</v>
      </c>
      <c r="AB178" s="60" t="n">
        <v>837.92</v>
      </c>
      <c r="AD178" s="42" t="s">
        <v>11397</v>
      </c>
    </row>
    <row r="179" customFormat="false" ht="12.75" hidden="true" customHeight="true" outlineLevel="0" collapsed="false">
      <c r="A179" s="55" t="s">
        <v>12294</v>
      </c>
      <c r="B179" s="55" t="s">
        <v>119</v>
      </c>
      <c r="C179" s="55" t="s">
        <v>12295</v>
      </c>
      <c r="D179" s="32" t="n">
        <v>75007</v>
      </c>
      <c r="E179" s="32" t="s">
        <v>55</v>
      </c>
      <c r="F179" s="32" t="s">
        <v>12296</v>
      </c>
      <c r="G179" s="55" t="s">
        <v>12297</v>
      </c>
      <c r="H179" s="55" t="s">
        <v>12298</v>
      </c>
      <c r="I179" s="32" t="n">
        <v>5</v>
      </c>
      <c r="J179" s="32" t="n">
        <v>0</v>
      </c>
      <c r="K179" s="43" t="e">
        <f aca="false">VLOOKUP(A179,#REF!,2, )</f>
        <v>#VALUE!</v>
      </c>
      <c r="L179" s="32" t="n">
        <v>1</v>
      </c>
      <c r="M179" s="32" t="n">
        <v>0</v>
      </c>
      <c r="N179" s="32" t="n">
        <v>2</v>
      </c>
      <c r="O179" s="42" t="s">
        <v>11367</v>
      </c>
      <c r="P179" s="41" t="n">
        <v>44669</v>
      </c>
      <c r="R179" s="60" t="n">
        <v>190</v>
      </c>
      <c r="S179" s="60" t="n">
        <v>346</v>
      </c>
      <c r="T179" s="42" t="n">
        <v>0</v>
      </c>
      <c r="U179" s="60" t="n">
        <v>273</v>
      </c>
      <c r="V179" s="60" t="n">
        <v>458</v>
      </c>
      <c r="W179" s="42" t="n">
        <v>0</v>
      </c>
      <c r="X179" s="60" t="n">
        <v>167</v>
      </c>
      <c r="Y179" s="60" t="n">
        <v>618</v>
      </c>
      <c r="Z179" s="42" t="n">
        <v>0</v>
      </c>
      <c r="AA179" s="60" t="n">
        <v>167.26</v>
      </c>
      <c r="AB179" s="60" t="n">
        <v>824.09</v>
      </c>
      <c r="AD179" s="42" t="s">
        <v>11417</v>
      </c>
    </row>
    <row r="180" customFormat="false" ht="17.25" hidden="true" customHeight="true" outlineLevel="0" collapsed="false">
      <c r="A180" s="55" t="s">
        <v>12299</v>
      </c>
      <c r="B180" s="55" t="s">
        <v>62</v>
      </c>
      <c r="C180" s="55" t="s">
        <v>12300</v>
      </c>
      <c r="D180" s="32" t="n">
        <v>75017</v>
      </c>
      <c r="E180" s="32" t="s">
        <v>55</v>
      </c>
      <c r="F180" s="32" t="s">
        <v>12301</v>
      </c>
      <c r="G180" s="55" t="s">
        <v>12302</v>
      </c>
      <c r="H180" s="55" t="s">
        <v>12303</v>
      </c>
      <c r="I180" s="32" t="n">
        <v>6</v>
      </c>
      <c r="J180" s="32" t="n">
        <v>0</v>
      </c>
      <c r="K180" s="43" t="e">
        <f aca="false">VLOOKUP(A180,#REF!,2, )</f>
        <v>#VALUE!</v>
      </c>
      <c r="L180" s="32" t="n">
        <v>1</v>
      </c>
      <c r="M180" s="32" t="n">
        <v>0</v>
      </c>
      <c r="N180" s="32" t="n">
        <v>0</v>
      </c>
      <c r="O180" s="42" t="s">
        <v>11367</v>
      </c>
      <c r="P180" s="41"/>
      <c r="S180" s="60" t="n">
        <v>1066</v>
      </c>
      <c r="T180" s="42" t="n">
        <v>0</v>
      </c>
      <c r="V180" s="60" t="n">
        <v>1728</v>
      </c>
      <c r="W180" s="42" t="n">
        <v>87</v>
      </c>
      <c r="Y180" s="60" t="n">
        <v>1505</v>
      </c>
      <c r="Z180" s="42" t="n">
        <v>98</v>
      </c>
      <c r="AA180" s="60" t="n">
        <v>0</v>
      </c>
      <c r="AB180" s="60" t="n">
        <v>815.28</v>
      </c>
      <c r="AD180" s="42" t="s">
        <v>11466</v>
      </c>
    </row>
    <row r="181" customFormat="false" ht="12.75" hidden="true" customHeight="true" outlineLevel="0" collapsed="false">
      <c r="A181" s="55" t="s">
        <v>12304</v>
      </c>
      <c r="B181" s="55" t="s">
        <v>233</v>
      </c>
      <c r="C181" s="55" t="s">
        <v>12305</v>
      </c>
      <c r="D181" s="32" t="n">
        <v>75015</v>
      </c>
      <c r="E181" s="32" t="s">
        <v>55</v>
      </c>
      <c r="F181" s="32" t="s">
        <v>12306</v>
      </c>
      <c r="G181" s="55" t="s">
        <v>12307</v>
      </c>
      <c r="H181" s="55" t="s">
        <v>12308</v>
      </c>
      <c r="I181" s="32" t="n">
        <v>6</v>
      </c>
      <c r="J181" s="32" t="n">
        <v>0</v>
      </c>
      <c r="K181" s="43" t="e">
        <f aca="false">VLOOKUP(A181,#REF!,2, )</f>
        <v>#VALUE!</v>
      </c>
      <c r="L181" s="32" t="n">
        <v>1</v>
      </c>
      <c r="M181" s="32" t="n">
        <v>1</v>
      </c>
      <c r="N181" s="32" t="n">
        <v>2</v>
      </c>
      <c r="O181" s="42" t="s">
        <v>11367</v>
      </c>
      <c r="P181" s="41" t="n">
        <v>44668</v>
      </c>
      <c r="R181" s="60" t="n">
        <v>953</v>
      </c>
      <c r="S181" s="60" t="n">
        <v>956</v>
      </c>
      <c r="T181" s="42" t="n">
        <v>0</v>
      </c>
      <c r="U181" s="60" t="n">
        <v>937</v>
      </c>
      <c r="V181" s="60" t="n">
        <v>1170</v>
      </c>
      <c r="W181" s="42" t="n">
        <v>0</v>
      </c>
      <c r="X181" s="60" t="n">
        <v>820</v>
      </c>
      <c r="Y181" s="60" t="n">
        <v>942</v>
      </c>
      <c r="Z181" s="42" t="n">
        <v>0</v>
      </c>
      <c r="AA181" s="60" t="n">
        <v>1170.78</v>
      </c>
      <c r="AB181" s="60" t="n">
        <v>787.52</v>
      </c>
      <c r="AD181" s="42" t="s">
        <v>11397</v>
      </c>
    </row>
    <row r="182" customFormat="false" ht="12.75" hidden="true" customHeight="true" outlineLevel="0" collapsed="false">
      <c r="A182" s="55" t="s">
        <v>12309</v>
      </c>
      <c r="B182" s="55" t="s">
        <v>435</v>
      </c>
      <c r="C182" s="55" t="s">
        <v>12310</v>
      </c>
      <c r="D182" s="32" t="n">
        <v>75116</v>
      </c>
      <c r="E182" s="32" t="s">
        <v>55</v>
      </c>
      <c r="F182" s="32" t="s">
        <v>12311</v>
      </c>
      <c r="G182" s="55" t="s">
        <v>12312</v>
      </c>
      <c r="H182" s="55" t="s">
        <v>12313</v>
      </c>
      <c r="I182" s="32" t="n">
        <v>8</v>
      </c>
      <c r="J182" s="32" t="n">
        <v>0</v>
      </c>
      <c r="K182" s="43" t="e">
        <f aca="false">VLOOKUP(A182,#REF!,2, )</f>
        <v>#VALUE!</v>
      </c>
      <c r="L182" s="32" t="n">
        <v>0</v>
      </c>
      <c r="M182" s="32" t="n">
        <v>0</v>
      </c>
      <c r="N182" s="32" t="n">
        <v>0</v>
      </c>
      <c r="O182" s="42" t="s">
        <v>11367</v>
      </c>
      <c r="P182" s="41"/>
      <c r="R182" s="60" t="n">
        <v>82</v>
      </c>
      <c r="S182" s="60" t="n">
        <v>916</v>
      </c>
      <c r="T182" s="42" t="n">
        <v>0</v>
      </c>
      <c r="U182" s="60" t="n">
        <v>205</v>
      </c>
      <c r="V182" s="60" t="n">
        <v>1451</v>
      </c>
      <c r="W182" s="42" t="n">
        <v>115</v>
      </c>
      <c r="X182" s="60" t="n">
        <v>205</v>
      </c>
      <c r="Y182" s="60" t="n">
        <v>1425</v>
      </c>
      <c r="Z182" s="42" t="n">
        <v>112</v>
      </c>
      <c r="AA182" s="60" t="n">
        <v>123.12</v>
      </c>
      <c r="AB182" s="60" t="n">
        <v>770.82</v>
      </c>
      <c r="AD182" s="42" t="s">
        <v>12136</v>
      </c>
    </row>
    <row r="183" customFormat="false" ht="12.75" hidden="true" customHeight="true" outlineLevel="0" collapsed="false">
      <c r="A183" s="55" t="s">
        <v>12314</v>
      </c>
      <c r="B183" s="55" t="s">
        <v>77</v>
      </c>
      <c r="C183" s="55" t="s">
        <v>5659</v>
      </c>
      <c r="D183" s="32" t="n">
        <v>92200</v>
      </c>
      <c r="E183" s="32" t="s">
        <v>11393</v>
      </c>
      <c r="F183" s="32" t="s">
        <v>12315</v>
      </c>
      <c r="G183" s="55" t="s">
        <v>12316</v>
      </c>
      <c r="H183" s="55" t="s">
        <v>12317</v>
      </c>
      <c r="I183" s="32" t="n">
        <v>8</v>
      </c>
      <c r="J183" s="32" t="n">
        <v>0</v>
      </c>
      <c r="K183" s="43" t="e">
        <f aca="false">VLOOKUP(A183,#REF!,2, )</f>
        <v>#VALUE!</v>
      </c>
      <c r="L183" s="32" t="n">
        <v>0</v>
      </c>
      <c r="M183" s="32" t="n">
        <v>0</v>
      </c>
      <c r="N183" s="32" t="n">
        <v>0</v>
      </c>
      <c r="O183" s="42" t="s">
        <v>11367</v>
      </c>
      <c r="P183" s="41"/>
      <c r="S183" s="60" t="n">
        <v>406</v>
      </c>
      <c r="T183" s="42" t="n">
        <v>0</v>
      </c>
      <c r="V183" s="60" t="n">
        <v>585</v>
      </c>
      <c r="W183" s="42" t="n">
        <v>0</v>
      </c>
      <c r="Y183" s="60" t="n">
        <v>587</v>
      </c>
      <c r="Z183" s="42" t="n">
        <v>0</v>
      </c>
      <c r="AA183" s="60" t="n">
        <v>0</v>
      </c>
      <c r="AB183" s="60" t="n">
        <v>743.68</v>
      </c>
      <c r="AD183" s="42" t="s">
        <v>11472</v>
      </c>
    </row>
    <row r="184" customFormat="false" ht="17.25" hidden="true" customHeight="true" outlineLevel="0" collapsed="false">
      <c r="A184" s="55" t="s">
        <v>12318</v>
      </c>
      <c r="B184" s="55" t="s">
        <v>119</v>
      </c>
      <c r="C184" s="55" t="s">
        <v>12319</v>
      </c>
      <c r="D184" s="32" t="n">
        <v>75007</v>
      </c>
      <c r="E184" s="32" t="s">
        <v>55</v>
      </c>
      <c r="F184" s="32" t="s">
        <v>12320</v>
      </c>
      <c r="G184" s="55" t="s">
        <v>12321</v>
      </c>
      <c r="H184" s="55" t="s">
        <v>12322</v>
      </c>
      <c r="I184" s="32" t="n">
        <v>7</v>
      </c>
      <c r="J184" s="32" t="n">
        <v>0</v>
      </c>
      <c r="K184" s="43" t="e">
        <f aca="false">VLOOKUP(A184,#REF!,2, )</f>
        <v>#VALUE!</v>
      </c>
      <c r="L184" s="32" t="n">
        <v>1</v>
      </c>
      <c r="M184" s="32" t="n">
        <v>0</v>
      </c>
      <c r="N184" s="32" t="n">
        <v>0</v>
      </c>
      <c r="O184" s="42" t="s">
        <v>11367</v>
      </c>
      <c r="P184" s="41"/>
      <c r="R184" s="60" t="n">
        <v>407</v>
      </c>
      <c r="S184" s="60" t="n">
        <v>842</v>
      </c>
      <c r="T184" s="42" t="n">
        <v>0</v>
      </c>
      <c r="U184" s="60" t="n">
        <v>217</v>
      </c>
      <c r="V184" s="60" t="n">
        <v>1068</v>
      </c>
      <c r="W184" s="42" t="n">
        <v>0</v>
      </c>
      <c r="X184" s="60" t="n">
        <v>217</v>
      </c>
      <c r="Y184" s="60" t="n">
        <v>1068</v>
      </c>
      <c r="Z184" s="42" t="n">
        <v>0</v>
      </c>
      <c r="AA184" s="60" t="n">
        <v>250.88</v>
      </c>
      <c r="AB184" s="60" t="n">
        <v>732.7</v>
      </c>
      <c r="AD184" s="42" t="s">
        <v>11466</v>
      </c>
      <c r="AE184" s="42" t="s">
        <v>11513</v>
      </c>
    </row>
    <row r="185" customFormat="false" ht="12.75" hidden="true" customHeight="true" outlineLevel="0" collapsed="false">
      <c r="A185" s="55" t="s">
        <v>12323</v>
      </c>
      <c r="B185" s="55" t="s">
        <v>197</v>
      </c>
      <c r="C185" s="55" t="s">
        <v>12324</v>
      </c>
      <c r="D185" s="32" t="n">
        <v>75017</v>
      </c>
      <c r="E185" s="32" t="s">
        <v>55</v>
      </c>
      <c r="F185" s="32" t="s">
        <v>12325</v>
      </c>
      <c r="G185" s="55" t="s">
        <v>12326</v>
      </c>
      <c r="H185" s="55" t="s">
        <v>12327</v>
      </c>
      <c r="I185" s="32" t="n">
        <v>10</v>
      </c>
      <c r="J185" s="32" t="n">
        <v>0</v>
      </c>
      <c r="K185" s="43" t="e">
        <f aca="false">VLOOKUP(A185,#REF!,2, )</f>
        <v>#VALUE!</v>
      </c>
      <c r="L185" s="32" t="n">
        <v>0</v>
      </c>
      <c r="M185" s="32" t="n">
        <v>0</v>
      </c>
      <c r="N185" s="32" t="n">
        <v>0</v>
      </c>
      <c r="O185" s="42" t="s">
        <v>11367</v>
      </c>
      <c r="P185" s="41"/>
      <c r="S185" s="60" t="n">
        <v>669</v>
      </c>
      <c r="T185" s="42" t="n">
        <v>0</v>
      </c>
      <c r="V185" s="60" t="n">
        <v>796</v>
      </c>
      <c r="W185" s="42" t="n">
        <v>0</v>
      </c>
      <c r="Y185" s="60" t="n">
        <v>751</v>
      </c>
      <c r="Z185" s="42" t="n">
        <v>0</v>
      </c>
      <c r="AA185" s="60" t="n">
        <v>0</v>
      </c>
      <c r="AB185" s="60" t="n">
        <v>726.72</v>
      </c>
      <c r="AD185" s="42" t="s">
        <v>12136</v>
      </c>
    </row>
    <row r="186" customFormat="false" ht="12.75" hidden="true" customHeight="true" outlineLevel="0" collapsed="false">
      <c r="A186" s="55" t="s">
        <v>12328</v>
      </c>
      <c r="B186" s="55" t="s">
        <v>435</v>
      </c>
      <c r="C186" s="55" t="s">
        <v>12329</v>
      </c>
      <c r="D186" s="32" t="n">
        <v>75016</v>
      </c>
      <c r="E186" s="32" t="s">
        <v>55</v>
      </c>
      <c r="F186" s="32" t="s">
        <v>12330</v>
      </c>
      <c r="G186" s="55" t="s">
        <v>12331</v>
      </c>
      <c r="H186" s="55" t="s">
        <v>12332</v>
      </c>
      <c r="I186" s="32" t="n">
        <v>6</v>
      </c>
      <c r="J186" s="32" t="n">
        <v>0</v>
      </c>
      <c r="K186" s="43" t="e">
        <f aca="false">VLOOKUP(A186,#REF!,2, )</f>
        <v>#VALUE!</v>
      </c>
      <c r="L186" s="32" t="n">
        <v>0</v>
      </c>
      <c r="M186" s="32" t="n">
        <v>0</v>
      </c>
      <c r="N186" s="32" t="n">
        <v>0</v>
      </c>
      <c r="O186" s="42" t="s">
        <v>12333</v>
      </c>
      <c r="P186" s="41" t="n">
        <v>45262.4166666667</v>
      </c>
      <c r="R186" s="60" t="n">
        <v>952</v>
      </c>
      <c r="S186" s="60" t="n">
        <v>1145</v>
      </c>
      <c r="T186" s="42" t="n">
        <v>0</v>
      </c>
      <c r="U186" s="60" t="n">
        <v>526</v>
      </c>
      <c r="V186" s="60" t="n">
        <v>1268</v>
      </c>
      <c r="W186" s="42" t="n">
        <v>0</v>
      </c>
      <c r="X186" s="60" t="n">
        <v>722</v>
      </c>
      <c r="Y186" s="60" t="n">
        <v>1340</v>
      </c>
      <c r="Z186" s="42" t="n">
        <v>0</v>
      </c>
      <c r="AA186" s="60" t="n">
        <v>804.42</v>
      </c>
      <c r="AB186" s="60" t="n">
        <v>721.91</v>
      </c>
      <c r="AD186" s="42" t="s">
        <v>11560</v>
      </c>
    </row>
    <row r="187" customFormat="false" ht="17.25" hidden="true" customHeight="true" outlineLevel="0" collapsed="false">
      <c r="A187" s="55" t="s">
        <v>12334</v>
      </c>
      <c r="B187" s="55" t="s">
        <v>295</v>
      </c>
      <c r="C187" s="55" t="s">
        <v>12335</v>
      </c>
      <c r="D187" s="32" t="n">
        <v>92300</v>
      </c>
      <c r="E187" s="32" t="s">
        <v>11355</v>
      </c>
      <c r="F187" s="32" t="s">
        <v>12336</v>
      </c>
      <c r="G187" s="55" t="s">
        <v>12337</v>
      </c>
      <c r="H187" s="55" t="s">
        <v>12338</v>
      </c>
      <c r="I187" s="32" t="n">
        <v>9</v>
      </c>
      <c r="J187" s="32" t="n">
        <v>0</v>
      </c>
      <c r="K187" s="43" t="e">
        <f aca="false">VLOOKUP(A187,#REF!,2, )</f>
        <v>#VALUE!</v>
      </c>
      <c r="L187" s="32" t="n">
        <v>1</v>
      </c>
      <c r="M187" s="32" t="n">
        <v>0</v>
      </c>
      <c r="N187" s="32" t="n">
        <v>0</v>
      </c>
      <c r="O187" s="42" t="s">
        <v>11367</v>
      </c>
      <c r="P187" s="41"/>
      <c r="R187" s="60" t="n">
        <v>84</v>
      </c>
      <c r="S187" s="60" t="n">
        <v>1487</v>
      </c>
      <c r="T187" s="42" t="n">
        <v>108</v>
      </c>
      <c r="U187" s="60" t="n">
        <v>167</v>
      </c>
      <c r="V187" s="60" t="n">
        <v>1571</v>
      </c>
      <c r="W187" s="42" t="n">
        <v>107</v>
      </c>
      <c r="X187" s="60" t="n">
        <v>167</v>
      </c>
      <c r="Y187" s="60" t="n">
        <v>1494</v>
      </c>
      <c r="Z187" s="42" t="n">
        <v>101</v>
      </c>
      <c r="AA187" s="60" t="n">
        <v>301.06</v>
      </c>
      <c r="AB187" s="60" t="n">
        <v>718.53</v>
      </c>
      <c r="AD187" s="42" t="s">
        <v>11466</v>
      </c>
      <c r="AE187" s="42" t="s">
        <v>11384</v>
      </c>
    </row>
    <row r="188" customFormat="false" ht="17.25" hidden="true" customHeight="true" outlineLevel="0" collapsed="false">
      <c r="A188" s="55" t="s">
        <v>12339</v>
      </c>
      <c r="B188" s="55" t="s">
        <v>99</v>
      </c>
      <c r="C188" s="55" t="s">
        <v>12340</v>
      </c>
      <c r="D188" s="32" t="n">
        <v>75015</v>
      </c>
      <c r="E188" s="32" t="s">
        <v>55</v>
      </c>
      <c r="F188" s="32" t="s">
        <v>12341</v>
      </c>
      <c r="G188" s="55" t="s">
        <v>12342</v>
      </c>
      <c r="H188" s="55" t="s">
        <v>12343</v>
      </c>
      <c r="I188" s="32" t="n">
        <v>6</v>
      </c>
      <c r="J188" s="32" t="n">
        <v>0</v>
      </c>
      <c r="K188" s="43" t="e">
        <f aca="false">VLOOKUP(A188,#REF!,2, )</f>
        <v>#VALUE!</v>
      </c>
      <c r="L188" s="32" t="n">
        <v>1</v>
      </c>
      <c r="M188" s="32" t="n">
        <v>0</v>
      </c>
      <c r="N188" s="32" t="n">
        <v>0</v>
      </c>
      <c r="O188" s="42" t="s">
        <v>11367</v>
      </c>
      <c r="P188" s="41"/>
      <c r="S188" s="60" t="n">
        <v>450</v>
      </c>
      <c r="T188" s="42" t="n">
        <v>0</v>
      </c>
      <c r="U188" s="60" t="n">
        <v>167</v>
      </c>
      <c r="V188" s="60" t="n">
        <v>719</v>
      </c>
      <c r="W188" s="42" t="n">
        <v>0</v>
      </c>
      <c r="X188" s="60" t="n">
        <v>167</v>
      </c>
      <c r="Y188" s="60" t="n">
        <v>933</v>
      </c>
      <c r="Z188" s="42" t="n">
        <v>0</v>
      </c>
      <c r="AA188" s="60" t="n">
        <v>167.26</v>
      </c>
      <c r="AB188" s="60" t="n">
        <v>710.71</v>
      </c>
      <c r="AD188" s="42" t="s">
        <v>11417</v>
      </c>
    </row>
    <row r="189" customFormat="false" ht="12.75" hidden="true" customHeight="true" outlineLevel="0" collapsed="false">
      <c r="A189" s="55" t="s">
        <v>12344</v>
      </c>
      <c r="B189" s="55" t="s">
        <v>119</v>
      </c>
      <c r="C189" s="55" t="s">
        <v>12345</v>
      </c>
      <c r="D189" s="32" t="n">
        <v>75007</v>
      </c>
      <c r="E189" s="32" t="s">
        <v>55</v>
      </c>
      <c r="F189" s="32" t="s">
        <v>12346</v>
      </c>
      <c r="G189" s="55" t="s">
        <v>12347</v>
      </c>
      <c r="H189" s="55" t="s">
        <v>12348</v>
      </c>
      <c r="I189" s="32" t="n">
        <v>7</v>
      </c>
      <c r="J189" s="32" t="n">
        <v>0</v>
      </c>
      <c r="K189" s="43" t="e">
        <f aca="false">VLOOKUP(A189,#REF!,2, )</f>
        <v>#VALUE!</v>
      </c>
      <c r="L189" s="32" t="n">
        <v>1</v>
      </c>
      <c r="M189" s="32" t="n">
        <v>0</v>
      </c>
      <c r="N189" s="32" t="n">
        <v>2</v>
      </c>
      <c r="O189" s="42" t="s">
        <v>11367</v>
      </c>
      <c r="P189" s="41" t="n">
        <v>44696</v>
      </c>
      <c r="R189" s="60" t="n">
        <v>652</v>
      </c>
      <c r="S189" s="60" t="n">
        <v>657</v>
      </c>
      <c r="T189" s="42" t="n">
        <v>0</v>
      </c>
      <c r="U189" s="60" t="n">
        <v>820</v>
      </c>
      <c r="V189" s="60" t="n">
        <v>872</v>
      </c>
      <c r="W189" s="42" t="n">
        <v>0</v>
      </c>
      <c r="X189" s="60" t="n">
        <v>524</v>
      </c>
      <c r="Y189" s="60" t="n">
        <v>789</v>
      </c>
      <c r="Z189" s="42" t="n">
        <v>0</v>
      </c>
      <c r="AA189" s="60" t="n">
        <v>334.51</v>
      </c>
      <c r="AB189" s="60" t="n">
        <v>705.38</v>
      </c>
      <c r="AD189" s="42" t="s">
        <v>11411</v>
      </c>
    </row>
    <row r="190" customFormat="false" ht="12.75" hidden="true" customHeight="true" outlineLevel="0" collapsed="false">
      <c r="A190" s="55" t="s">
        <v>12349</v>
      </c>
      <c r="B190" s="55" t="s">
        <v>119</v>
      </c>
      <c r="C190" s="55" t="s">
        <v>12350</v>
      </c>
      <c r="D190" s="32" t="n">
        <v>75007</v>
      </c>
      <c r="E190" s="32" t="s">
        <v>55</v>
      </c>
      <c r="F190" s="32" t="s">
        <v>12351</v>
      </c>
      <c r="G190" s="55" t="s">
        <v>12352</v>
      </c>
      <c r="H190" s="55" t="s">
        <v>12353</v>
      </c>
      <c r="I190" s="32" t="n">
        <v>4</v>
      </c>
      <c r="J190" s="32" t="n">
        <v>0</v>
      </c>
      <c r="K190" s="43" t="e">
        <f aca="false">VLOOKUP(A190,#REF!,2, )</f>
        <v>#VALUE!</v>
      </c>
      <c r="L190" s="32" t="n">
        <v>1</v>
      </c>
      <c r="M190" s="32" t="n">
        <v>0</v>
      </c>
      <c r="N190" s="32" t="n">
        <v>2</v>
      </c>
      <c r="O190" s="42" t="s">
        <v>11367</v>
      </c>
      <c r="P190" s="41" t="n">
        <v>44698</v>
      </c>
      <c r="S190" s="60" t="n">
        <v>580</v>
      </c>
      <c r="T190" s="42" t="n">
        <v>0</v>
      </c>
      <c r="U190" s="60" t="n">
        <v>385</v>
      </c>
      <c r="V190" s="60" t="n">
        <v>638</v>
      </c>
      <c r="W190" s="42" t="n">
        <v>0</v>
      </c>
      <c r="X190" s="60" t="n">
        <v>602</v>
      </c>
      <c r="Y190" s="60" t="n">
        <v>533</v>
      </c>
      <c r="Z190" s="42" t="n">
        <v>0</v>
      </c>
      <c r="AA190" s="60" t="n">
        <v>1421.65</v>
      </c>
      <c r="AB190" s="60" t="n">
        <v>704.01</v>
      </c>
      <c r="AD190" s="42" t="s">
        <v>11423</v>
      </c>
    </row>
    <row r="191" customFormat="false" ht="17.25" hidden="true" customHeight="true" outlineLevel="0" collapsed="false">
      <c r="A191" s="55" t="s">
        <v>12354</v>
      </c>
      <c r="B191" s="55" t="s">
        <v>119</v>
      </c>
      <c r="C191" s="55" t="s">
        <v>12355</v>
      </c>
      <c r="D191" s="32" t="n">
        <v>75007</v>
      </c>
      <c r="E191" s="32" t="s">
        <v>55</v>
      </c>
      <c r="F191" s="32" t="s">
        <v>12356</v>
      </c>
      <c r="G191" s="55" t="s">
        <v>12357</v>
      </c>
      <c r="H191" s="55" t="s">
        <v>12358</v>
      </c>
      <c r="I191" s="32" t="n">
        <v>7</v>
      </c>
      <c r="J191" s="32" t="n">
        <v>0</v>
      </c>
      <c r="K191" s="43" t="e">
        <f aca="false">VLOOKUP(A191,#REF!,2, )</f>
        <v>#VALUE!</v>
      </c>
      <c r="L191" s="32" t="n">
        <v>1</v>
      </c>
      <c r="M191" s="32" t="n">
        <v>1</v>
      </c>
      <c r="N191" s="32" t="n">
        <v>2</v>
      </c>
      <c r="O191" s="42" t="s">
        <v>11367</v>
      </c>
      <c r="P191" s="41" t="n">
        <v>44703</v>
      </c>
      <c r="S191" s="60" t="n">
        <v>861</v>
      </c>
      <c r="T191" s="42" t="n">
        <v>0</v>
      </c>
      <c r="V191" s="60" t="n">
        <v>702</v>
      </c>
      <c r="W191" s="42" t="n">
        <v>0</v>
      </c>
      <c r="Y191" s="60" t="n">
        <v>679</v>
      </c>
      <c r="Z191" s="42" t="n">
        <v>0</v>
      </c>
      <c r="AA191" s="60" t="n">
        <v>0</v>
      </c>
      <c r="AB191" s="60" t="n">
        <v>697.55</v>
      </c>
      <c r="AD191" s="42" t="s">
        <v>11397</v>
      </c>
    </row>
    <row r="192" customFormat="false" ht="12.75" hidden="true" customHeight="true" outlineLevel="0" collapsed="false">
      <c r="A192" s="55" t="s">
        <v>12359</v>
      </c>
      <c r="B192" s="55" t="s">
        <v>119</v>
      </c>
      <c r="C192" s="55" t="s">
        <v>12360</v>
      </c>
      <c r="D192" s="32" t="n">
        <v>75007</v>
      </c>
      <c r="E192" s="32" t="s">
        <v>55</v>
      </c>
      <c r="F192" s="32" t="s">
        <v>12361</v>
      </c>
      <c r="G192" s="55" t="s">
        <v>12362</v>
      </c>
      <c r="H192" s="55" t="s">
        <v>12363</v>
      </c>
      <c r="I192" s="32" t="n">
        <v>9</v>
      </c>
      <c r="J192" s="32" t="n">
        <v>0</v>
      </c>
      <c r="K192" s="43" t="e">
        <f aca="false">VLOOKUP(A192,#REF!,2, )</f>
        <v>#VALUE!</v>
      </c>
      <c r="L192" s="32" t="n">
        <v>0</v>
      </c>
      <c r="M192" s="32" t="n">
        <v>0</v>
      </c>
      <c r="N192" s="32" t="n">
        <v>0</v>
      </c>
      <c r="O192" s="42" t="s">
        <v>11367</v>
      </c>
      <c r="P192" s="41"/>
      <c r="S192" s="60" t="n">
        <v>589</v>
      </c>
      <c r="T192" s="42" t="n">
        <v>0</v>
      </c>
      <c r="V192" s="60" t="n">
        <v>584</v>
      </c>
      <c r="W192" s="42" t="n">
        <v>0</v>
      </c>
      <c r="Y192" s="60" t="n">
        <v>161</v>
      </c>
      <c r="Z192" s="42" t="n">
        <v>0</v>
      </c>
      <c r="AA192" s="60" t="n">
        <v>0</v>
      </c>
      <c r="AB192" s="60" t="n">
        <v>663.66</v>
      </c>
      <c r="AD192" s="42" t="s">
        <v>11560</v>
      </c>
    </row>
    <row r="193" customFormat="false" ht="17.25" hidden="true" customHeight="true" outlineLevel="0" collapsed="false">
      <c r="A193" s="55" t="s">
        <v>12364</v>
      </c>
      <c r="B193" s="55" t="s">
        <v>119</v>
      </c>
      <c r="C193" s="55" t="s">
        <v>12365</v>
      </c>
      <c r="D193" s="32" t="n">
        <v>75007</v>
      </c>
      <c r="E193" s="32" t="s">
        <v>55</v>
      </c>
      <c r="F193" s="32" t="s">
        <v>12366</v>
      </c>
      <c r="G193" s="55" t="s">
        <v>12367</v>
      </c>
      <c r="H193" s="55" t="s">
        <v>12368</v>
      </c>
      <c r="I193" s="32" t="n">
        <v>6</v>
      </c>
      <c r="J193" s="32" t="n">
        <v>0</v>
      </c>
      <c r="K193" s="43" t="e">
        <f aca="false">VLOOKUP(A193,#REF!,2, )</f>
        <v>#VALUE!</v>
      </c>
      <c r="L193" s="32" t="n">
        <v>1</v>
      </c>
      <c r="M193" s="32" t="n">
        <v>0</v>
      </c>
      <c r="N193" s="32" t="n">
        <v>0</v>
      </c>
      <c r="O193" s="42" t="s">
        <v>11367</v>
      </c>
      <c r="P193" s="41"/>
      <c r="S193" s="60" t="n">
        <v>577</v>
      </c>
      <c r="T193" s="42" t="n">
        <v>0</v>
      </c>
      <c r="V193" s="60" t="n">
        <v>1025</v>
      </c>
      <c r="W193" s="42" t="n">
        <v>0</v>
      </c>
      <c r="Y193" s="60" t="n">
        <v>1121</v>
      </c>
      <c r="Z193" s="42" t="n">
        <v>0</v>
      </c>
      <c r="AA193" s="60" t="n">
        <v>0</v>
      </c>
      <c r="AB193" s="60" t="n">
        <v>660.66</v>
      </c>
      <c r="AD193" s="42" t="s">
        <v>11466</v>
      </c>
    </row>
    <row r="194" customFormat="false" ht="12.75" hidden="true" customHeight="true" outlineLevel="0" collapsed="false">
      <c r="A194" s="55" t="s">
        <v>12369</v>
      </c>
      <c r="B194" s="55" t="s">
        <v>62</v>
      </c>
      <c r="C194" s="55" t="s">
        <v>645</v>
      </c>
      <c r="D194" s="32" t="n">
        <v>75017</v>
      </c>
      <c r="E194" s="32" t="s">
        <v>55</v>
      </c>
      <c r="F194" s="32" t="s">
        <v>12370</v>
      </c>
      <c r="G194" s="55" t="s">
        <v>12371</v>
      </c>
      <c r="H194" s="55" t="s">
        <v>12372</v>
      </c>
      <c r="I194" s="32" t="n">
        <v>8</v>
      </c>
      <c r="J194" s="32" t="n">
        <v>0</v>
      </c>
      <c r="K194" s="43" t="e">
        <f aca="false">VLOOKUP(A194,#REF!,2, )</f>
        <v>#VALUE!</v>
      </c>
      <c r="L194" s="32" t="n">
        <v>0</v>
      </c>
      <c r="M194" s="32" t="n">
        <v>0</v>
      </c>
      <c r="N194" s="32" t="n">
        <v>0</v>
      </c>
      <c r="O194" s="42" t="s">
        <v>11367</v>
      </c>
      <c r="P194" s="41"/>
      <c r="R194" s="60" t="n">
        <v>62</v>
      </c>
      <c r="S194" s="60" t="n">
        <v>2022</v>
      </c>
      <c r="T194" s="42" t="n">
        <v>66</v>
      </c>
      <c r="U194" s="60" t="n">
        <v>205</v>
      </c>
      <c r="V194" s="60" t="n">
        <v>1289</v>
      </c>
      <c r="W194" s="42" t="n">
        <v>0</v>
      </c>
      <c r="X194" s="60" t="n">
        <v>328</v>
      </c>
      <c r="Y194" s="60" t="n">
        <v>598</v>
      </c>
      <c r="Z194" s="42" t="n">
        <v>0</v>
      </c>
      <c r="AA194" s="60" t="n">
        <v>595.08</v>
      </c>
      <c r="AB194" s="60" t="n">
        <v>652.47</v>
      </c>
      <c r="AD194" s="42" t="s">
        <v>11634</v>
      </c>
    </row>
    <row r="195" customFormat="false" ht="17.25" hidden="true" customHeight="true" outlineLevel="0" collapsed="false">
      <c r="A195" s="55" t="s">
        <v>12373</v>
      </c>
      <c r="B195" s="55" t="s">
        <v>62</v>
      </c>
      <c r="C195" s="55" t="s">
        <v>12374</v>
      </c>
      <c r="D195" s="32" t="n">
        <v>75017</v>
      </c>
      <c r="E195" s="32" t="s">
        <v>55</v>
      </c>
      <c r="F195" s="32" t="s">
        <v>12375</v>
      </c>
      <c r="G195" s="55" t="s">
        <v>12376</v>
      </c>
      <c r="H195" s="55" t="s">
        <v>12377</v>
      </c>
      <c r="I195" s="32" t="n">
        <v>10</v>
      </c>
      <c r="J195" s="32" t="n">
        <v>0</v>
      </c>
      <c r="K195" s="43" t="e">
        <f aca="false">VLOOKUP(A195,#REF!,2, )</f>
        <v>#VALUE!</v>
      </c>
      <c r="L195" s="32" t="n">
        <v>1</v>
      </c>
      <c r="M195" s="32" t="n">
        <v>0</v>
      </c>
      <c r="N195" s="32" t="n">
        <v>0</v>
      </c>
      <c r="O195" s="42" t="s">
        <v>11367</v>
      </c>
      <c r="P195" s="41"/>
      <c r="R195" s="60" t="n">
        <v>84</v>
      </c>
      <c r="S195" s="60" t="n">
        <v>324</v>
      </c>
      <c r="T195" s="42" t="n">
        <v>0</v>
      </c>
      <c r="U195" s="60" t="n">
        <v>301</v>
      </c>
      <c r="V195" s="60" t="n">
        <v>423</v>
      </c>
      <c r="W195" s="42" t="n">
        <v>0</v>
      </c>
      <c r="X195" s="60" t="n">
        <v>518</v>
      </c>
      <c r="Y195" s="60" t="n">
        <v>423</v>
      </c>
      <c r="Z195" s="42" t="n">
        <v>0</v>
      </c>
      <c r="AA195" s="60" t="n">
        <v>652.29</v>
      </c>
      <c r="AB195" s="60" t="n">
        <v>649.7</v>
      </c>
      <c r="AE195" s="42" t="s">
        <v>11473</v>
      </c>
    </row>
    <row r="196" customFormat="false" ht="17.25" hidden="true" customHeight="true" outlineLevel="0" collapsed="false">
      <c r="A196" s="55" t="s">
        <v>12378</v>
      </c>
      <c r="B196" s="55" t="s">
        <v>233</v>
      </c>
      <c r="C196" s="55" t="s">
        <v>12379</v>
      </c>
      <c r="D196" s="32" t="n">
        <v>75015</v>
      </c>
      <c r="E196" s="32" t="s">
        <v>55</v>
      </c>
      <c r="F196" s="32" t="s">
        <v>12380</v>
      </c>
      <c r="G196" s="55" t="s">
        <v>12381</v>
      </c>
      <c r="H196" s="55" t="s">
        <v>12382</v>
      </c>
      <c r="I196" s="32" t="n">
        <v>9</v>
      </c>
      <c r="J196" s="32" t="n">
        <v>0</v>
      </c>
      <c r="K196" s="43" t="e">
        <f aca="false">VLOOKUP(A196,#REF!,2, )</f>
        <v>#VALUE!</v>
      </c>
      <c r="L196" s="32" t="n">
        <v>0</v>
      </c>
      <c r="M196" s="32" t="n">
        <v>0</v>
      </c>
      <c r="N196" s="32" t="n">
        <v>0</v>
      </c>
      <c r="O196" s="42" t="s">
        <v>11367</v>
      </c>
      <c r="P196" s="41"/>
      <c r="S196" s="60" t="n">
        <v>556</v>
      </c>
      <c r="T196" s="42" t="n">
        <v>0</v>
      </c>
      <c r="V196" s="60" t="n">
        <v>673</v>
      </c>
      <c r="W196" s="42" t="n">
        <v>0</v>
      </c>
      <c r="Y196" s="60" t="n">
        <v>645</v>
      </c>
      <c r="Z196" s="42" t="n">
        <v>0</v>
      </c>
      <c r="AA196" s="60" t="n">
        <v>0</v>
      </c>
      <c r="AB196" s="60" t="n">
        <v>641.22</v>
      </c>
      <c r="AD196" s="42" t="s">
        <v>11781</v>
      </c>
    </row>
    <row r="197" customFormat="false" ht="17.25" hidden="true" customHeight="true" outlineLevel="0" collapsed="false">
      <c r="A197" s="55" t="s">
        <v>12383</v>
      </c>
      <c r="B197" s="55" t="s">
        <v>99</v>
      </c>
      <c r="C197" s="55" t="s">
        <v>5681</v>
      </c>
      <c r="D197" s="32" t="n">
        <v>75015</v>
      </c>
      <c r="E197" s="32" t="s">
        <v>55</v>
      </c>
      <c r="F197" s="32" t="s">
        <v>12384</v>
      </c>
      <c r="G197" s="55" t="s">
        <v>12385</v>
      </c>
      <c r="H197" s="55" t="s">
        <v>12386</v>
      </c>
      <c r="I197" s="32" t="n">
        <v>10</v>
      </c>
      <c r="J197" s="32" t="n">
        <v>0</v>
      </c>
      <c r="K197" s="43" t="e">
        <f aca="false">VLOOKUP(A197,#REF!,2, )</f>
        <v>#VALUE!</v>
      </c>
      <c r="L197" s="32" t="n">
        <v>1</v>
      </c>
      <c r="M197" s="32" t="n">
        <v>0</v>
      </c>
      <c r="N197" s="32" t="n">
        <v>0</v>
      </c>
      <c r="O197" s="42" t="s">
        <v>11367</v>
      </c>
      <c r="P197" s="41"/>
      <c r="R197" s="60" t="n">
        <v>106</v>
      </c>
      <c r="S197" s="60" t="n">
        <v>711</v>
      </c>
      <c r="T197" s="42" t="n">
        <v>0</v>
      </c>
      <c r="U197" s="60" t="n">
        <v>106</v>
      </c>
      <c r="V197" s="60" t="n">
        <v>518</v>
      </c>
      <c r="W197" s="42" t="n">
        <v>0</v>
      </c>
      <c r="X197" s="60" t="n">
        <v>106</v>
      </c>
      <c r="Y197" s="60" t="n">
        <v>737</v>
      </c>
      <c r="Z197" s="42" t="n">
        <v>0</v>
      </c>
      <c r="AA197" s="60" t="n">
        <v>0</v>
      </c>
      <c r="AB197" s="60" t="n">
        <v>640.23</v>
      </c>
      <c r="AE197" s="42" t="s">
        <v>11384</v>
      </c>
    </row>
    <row r="198" customFormat="false" ht="17.25" hidden="true" customHeight="true" outlineLevel="0" collapsed="false">
      <c r="A198" s="55" t="s">
        <v>12387</v>
      </c>
      <c r="B198" s="55" t="s">
        <v>77</v>
      </c>
      <c r="C198" s="55" t="s">
        <v>12388</v>
      </c>
      <c r="D198" s="32" t="n">
        <v>92200</v>
      </c>
      <c r="E198" s="32" t="s">
        <v>11393</v>
      </c>
      <c r="F198" s="32" t="s">
        <v>12389</v>
      </c>
      <c r="G198" s="55" t="s">
        <v>12390</v>
      </c>
      <c r="H198" s="55" t="s">
        <v>12391</v>
      </c>
      <c r="I198" s="32" t="n">
        <v>7</v>
      </c>
      <c r="J198" s="32" t="n">
        <v>0</v>
      </c>
      <c r="K198" s="43" t="e">
        <f aca="false">VLOOKUP(A198,#REF!,2, )</f>
        <v>#VALUE!</v>
      </c>
      <c r="L198" s="32" t="n">
        <v>1</v>
      </c>
      <c r="M198" s="32" t="n">
        <v>1</v>
      </c>
      <c r="N198" s="32" t="n">
        <v>0</v>
      </c>
      <c r="O198" s="42" t="s">
        <v>11367</v>
      </c>
      <c r="P198" s="41"/>
      <c r="R198" s="60" t="n">
        <v>106</v>
      </c>
      <c r="S198" s="60" t="n">
        <v>806</v>
      </c>
      <c r="T198" s="42" t="n">
        <v>0</v>
      </c>
      <c r="V198" s="60" t="n">
        <v>1341</v>
      </c>
      <c r="W198" s="42" t="n">
        <v>0</v>
      </c>
      <c r="Y198" s="60" t="n">
        <v>1317</v>
      </c>
      <c r="Z198" s="42" t="n">
        <v>0</v>
      </c>
      <c r="AA198" s="60" t="n">
        <v>83.63</v>
      </c>
      <c r="AB198" s="60" t="n">
        <v>634.64</v>
      </c>
      <c r="AD198" s="42" t="s">
        <v>11466</v>
      </c>
    </row>
    <row r="199" customFormat="false" ht="17.25" hidden="true" customHeight="true" outlineLevel="0" collapsed="false">
      <c r="A199" s="55" t="s">
        <v>12392</v>
      </c>
      <c r="B199" s="55" t="s">
        <v>62</v>
      </c>
      <c r="C199" s="55" t="s">
        <v>12393</v>
      </c>
      <c r="D199" s="32" t="n">
        <v>75017</v>
      </c>
      <c r="E199" s="32" t="s">
        <v>55</v>
      </c>
      <c r="F199" s="32" t="s">
        <v>12394</v>
      </c>
      <c r="G199" s="55" t="s">
        <v>12395</v>
      </c>
      <c r="H199" s="55" t="s">
        <v>12396</v>
      </c>
      <c r="I199" s="32" t="n">
        <v>7</v>
      </c>
      <c r="J199" s="32" t="n">
        <v>0</v>
      </c>
      <c r="K199" s="43" t="e">
        <f aca="false">VLOOKUP(A199,#REF!,2, )</f>
        <v>#VALUE!</v>
      </c>
      <c r="L199" s="32" t="n">
        <v>0</v>
      </c>
      <c r="M199" s="32" t="n">
        <v>0</v>
      </c>
      <c r="N199" s="32" t="n">
        <v>0</v>
      </c>
      <c r="O199" s="42" t="s">
        <v>11367</v>
      </c>
      <c r="P199" s="41"/>
      <c r="T199" s="42" t="n">
        <v>0</v>
      </c>
      <c r="U199" s="60" t="n">
        <v>62</v>
      </c>
      <c r="V199" s="60" t="n">
        <v>302</v>
      </c>
      <c r="W199" s="42" t="n">
        <v>0</v>
      </c>
      <c r="X199" s="60" t="n">
        <v>62</v>
      </c>
      <c r="Y199" s="60" t="n">
        <v>352</v>
      </c>
      <c r="Z199" s="42" t="n">
        <v>0</v>
      </c>
      <c r="AA199" s="60" t="n">
        <v>61.56</v>
      </c>
      <c r="AB199" s="60" t="n">
        <v>621.54</v>
      </c>
      <c r="AD199" s="42" t="s">
        <v>11360</v>
      </c>
    </row>
    <row r="200" customFormat="false" ht="17.25" hidden="true" customHeight="true" outlineLevel="0" collapsed="false">
      <c r="A200" s="55" t="s">
        <v>12397</v>
      </c>
      <c r="B200" s="55" t="s">
        <v>173</v>
      </c>
      <c r="C200" s="55" t="s">
        <v>12398</v>
      </c>
      <c r="D200" s="32" t="n">
        <v>75116</v>
      </c>
      <c r="E200" s="32" t="s">
        <v>55</v>
      </c>
      <c r="F200" s="32" t="s">
        <v>12399</v>
      </c>
      <c r="G200" s="55" t="s">
        <v>12400</v>
      </c>
      <c r="H200" s="55" t="s">
        <v>12401</v>
      </c>
      <c r="I200" s="32" t="n">
        <v>6</v>
      </c>
      <c r="J200" s="32" t="n">
        <v>0</v>
      </c>
      <c r="K200" s="43" t="e">
        <f aca="false">VLOOKUP(A200,#REF!,2, )</f>
        <v>#VALUE!</v>
      </c>
      <c r="L200" s="32" t="n">
        <v>1</v>
      </c>
      <c r="M200" s="32" t="n">
        <v>0</v>
      </c>
      <c r="N200" s="32" t="n">
        <v>0</v>
      </c>
      <c r="O200" s="42" t="s">
        <v>11367</v>
      </c>
      <c r="P200" s="41"/>
      <c r="R200" s="60" t="n">
        <v>689</v>
      </c>
      <c r="S200" s="60" t="n">
        <v>1220</v>
      </c>
      <c r="T200" s="42" t="n">
        <v>0</v>
      </c>
      <c r="U200" s="60" t="n">
        <v>479</v>
      </c>
      <c r="V200" s="60" t="n">
        <v>689</v>
      </c>
      <c r="W200" s="42" t="n">
        <v>0</v>
      </c>
      <c r="X200" s="60" t="n">
        <v>430</v>
      </c>
      <c r="Y200" s="60" t="n">
        <v>700</v>
      </c>
      <c r="Z200" s="42" t="n">
        <v>0</v>
      </c>
      <c r="AA200" s="60" t="n">
        <v>461.61</v>
      </c>
      <c r="AB200" s="60" t="n">
        <v>581.54</v>
      </c>
      <c r="AD200" s="42" t="s">
        <v>12142</v>
      </c>
      <c r="AE200" s="42" t="s">
        <v>11384</v>
      </c>
    </row>
    <row r="201" customFormat="false" ht="12.75" hidden="true" customHeight="true" outlineLevel="0" collapsed="false">
      <c r="A201" s="55" t="s">
        <v>12402</v>
      </c>
      <c r="B201" s="55" t="s">
        <v>197</v>
      </c>
      <c r="C201" s="55" t="s">
        <v>12403</v>
      </c>
      <c r="D201" s="32" t="n">
        <v>75008</v>
      </c>
      <c r="E201" s="32" t="s">
        <v>55</v>
      </c>
      <c r="F201" s="32" t="s">
        <v>12404</v>
      </c>
      <c r="G201" s="55" t="s">
        <v>12405</v>
      </c>
      <c r="H201" s="55" t="s">
        <v>12406</v>
      </c>
      <c r="I201" s="32" t="n">
        <v>4</v>
      </c>
      <c r="J201" s="32" t="n">
        <v>0</v>
      </c>
      <c r="K201" s="43" t="e">
        <f aca="false">VLOOKUP(A201,#REF!,2, )</f>
        <v>#VALUE!</v>
      </c>
      <c r="L201" s="32" t="n">
        <v>1</v>
      </c>
      <c r="M201" s="32" t="n">
        <v>0</v>
      </c>
      <c r="N201" s="32" t="n">
        <v>0</v>
      </c>
      <c r="O201" s="42" t="s">
        <v>11367</v>
      </c>
      <c r="P201" s="41"/>
      <c r="R201" s="60" t="n">
        <v>190</v>
      </c>
      <c r="S201" s="60" t="n">
        <v>870</v>
      </c>
      <c r="T201" s="42" t="n">
        <v>0</v>
      </c>
      <c r="U201" s="60" t="n">
        <v>190</v>
      </c>
      <c r="V201" s="60" t="n">
        <v>599</v>
      </c>
      <c r="W201" s="42" t="n">
        <v>0</v>
      </c>
      <c r="Y201" s="60" t="n">
        <v>442</v>
      </c>
      <c r="Z201" s="42" t="n">
        <v>0</v>
      </c>
      <c r="AA201" s="60" t="n">
        <v>0</v>
      </c>
      <c r="AB201" s="60" t="n">
        <v>575.48</v>
      </c>
      <c r="AD201" s="42" t="s">
        <v>11656</v>
      </c>
    </row>
    <row r="202" customFormat="false" ht="12.75" hidden="true" customHeight="true" outlineLevel="0" collapsed="false">
      <c r="A202" s="55" t="s">
        <v>12407</v>
      </c>
      <c r="B202" s="55" t="s">
        <v>295</v>
      </c>
      <c r="C202" s="55" t="s">
        <v>12408</v>
      </c>
      <c r="D202" s="32" t="n">
        <v>92300</v>
      </c>
      <c r="E202" s="32" t="s">
        <v>11355</v>
      </c>
      <c r="F202" s="32" t="s">
        <v>12409</v>
      </c>
      <c r="G202" s="55" t="s">
        <v>12410</v>
      </c>
      <c r="H202" s="55" t="s">
        <v>12411</v>
      </c>
      <c r="I202" s="32" t="n">
        <v>10</v>
      </c>
      <c r="J202" s="32" t="n">
        <v>0</v>
      </c>
      <c r="K202" s="43" t="e">
        <f aca="false">VLOOKUP(A202,#REF!,2, )</f>
        <v>#VALUE!</v>
      </c>
      <c r="L202" s="32" t="n">
        <v>1</v>
      </c>
      <c r="M202" s="32" t="n">
        <v>0</v>
      </c>
      <c r="N202" s="32" t="n">
        <v>0</v>
      </c>
      <c r="O202" s="42" t="s">
        <v>11367</v>
      </c>
      <c r="P202" s="41"/>
      <c r="R202" s="60" t="n">
        <v>21</v>
      </c>
      <c r="S202" s="60" t="n">
        <v>835</v>
      </c>
      <c r="T202" s="42" t="n">
        <v>0</v>
      </c>
      <c r="U202" s="60" t="n">
        <v>86</v>
      </c>
      <c r="V202" s="60" t="n">
        <v>802</v>
      </c>
      <c r="W202" s="42" t="n">
        <v>0</v>
      </c>
      <c r="X202" s="60" t="n">
        <v>86</v>
      </c>
      <c r="Y202" s="60" t="n">
        <v>575</v>
      </c>
      <c r="Z202" s="42" t="n">
        <v>0</v>
      </c>
      <c r="AA202" s="60" t="n">
        <v>21.41</v>
      </c>
      <c r="AB202" s="60" t="n">
        <v>573.99</v>
      </c>
      <c r="AE202" s="42" t="s">
        <v>11384</v>
      </c>
    </row>
    <row r="203" customFormat="false" ht="17.25" hidden="true" customHeight="true" outlineLevel="0" collapsed="false">
      <c r="A203" s="55" t="s">
        <v>12412</v>
      </c>
      <c r="B203" s="55" t="s">
        <v>197</v>
      </c>
      <c r="C203" s="55" t="s">
        <v>12413</v>
      </c>
      <c r="D203" s="32" t="n">
        <v>75008</v>
      </c>
      <c r="E203" s="32" t="s">
        <v>55</v>
      </c>
      <c r="F203" s="32" t="s">
        <v>12414</v>
      </c>
      <c r="G203" s="55" t="s">
        <v>12415</v>
      </c>
      <c r="H203" s="55" t="s">
        <v>12416</v>
      </c>
      <c r="I203" s="32" t="n">
        <v>8</v>
      </c>
      <c r="J203" s="32" t="n">
        <v>0</v>
      </c>
      <c r="K203" s="43" t="e">
        <f aca="false">VLOOKUP(A203,#REF!,2, )</f>
        <v>#VALUE!</v>
      </c>
      <c r="L203" s="32" t="n">
        <v>1</v>
      </c>
      <c r="M203" s="32" t="n">
        <v>0</v>
      </c>
      <c r="N203" s="32" t="n">
        <v>0</v>
      </c>
      <c r="O203" s="42" t="s">
        <v>11367</v>
      </c>
      <c r="P203" s="41"/>
      <c r="S203" s="60" t="n">
        <v>685</v>
      </c>
      <c r="T203" s="42" t="n">
        <v>0</v>
      </c>
      <c r="V203" s="60" t="n">
        <v>601</v>
      </c>
      <c r="W203" s="42" t="n">
        <v>0</v>
      </c>
      <c r="Y203" s="60" t="n">
        <v>676</v>
      </c>
      <c r="Z203" s="42" t="n">
        <v>0</v>
      </c>
      <c r="AA203" s="60" t="n">
        <v>0</v>
      </c>
      <c r="AB203" s="60" t="n">
        <v>565.51</v>
      </c>
      <c r="AD203" s="42" t="s">
        <v>12136</v>
      </c>
      <c r="AE203" s="42" t="s">
        <v>11384</v>
      </c>
    </row>
    <row r="204" customFormat="false" ht="12.75" hidden="true" customHeight="true" outlineLevel="0" collapsed="false">
      <c r="A204" s="55" t="s">
        <v>12417</v>
      </c>
      <c r="B204" s="55" t="s">
        <v>387</v>
      </c>
      <c r="C204" s="55" t="s">
        <v>12418</v>
      </c>
      <c r="D204" s="32" t="n">
        <v>75016</v>
      </c>
      <c r="E204" s="32" t="s">
        <v>55</v>
      </c>
      <c r="F204" s="32" t="s">
        <v>12419</v>
      </c>
      <c r="G204" s="55" t="s">
        <v>12420</v>
      </c>
      <c r="H204" s="55" t="s">
        <v>12421</v>
      </c>
      <c r="I204" s="32" t="n">
        <v>9</v>
      </c>
      <c r="J204" s="32" t="n">
        <v>0</v>
      </c>
      <c r="K204" s="43" t="e">
        <f aca="false">VLOOKUP(A204,#REF!,2, )</f>
        <v>#VALUE!</v>
      </c>
      <c r="L204" s="32" t="n">
        <v>1</v>
      </c>
      <c r="M204" s="32" t="n">
        <v>0</v>
      </c>
      <c r="N204" s="32" t="n">
        <v>0</v>
      </c>
      <c r="O204" s="42" t="s">
        <v>11367</v>
      </c>
      <c r="P204" s="41"/>
      <c r="R204" s="60" t="n">
        <v>652</v>
      </c>
      <c r="S204" s="60" t="n">
        <v>740</v>
      </c>
      <c r="T204" s="42" t="n">
        <v>0</v>
      </c>
      <c r="U204" s="60" t="n">
        <v>574</v>
      </c>
      <c r="V204" s="60" t="n">
        <v>688</v>
      </c>
      <c r="W204" s="42" t="n">
        <v>0</v>
      </c>
      <c r="X204" s="60" t="n">
        <v>602</v>
      </c>
      <c r="Y204" s="60" t="n">
        <v>754</v>
      </c>
      <c r="Z204" s="42" t="n">
        <v>0</v>
      </c>
      <c r="AA204" s="60" t="n">
        <v>869.72</v>
      </c>
      <c r="AB204" s="60" t="n">
        <v>548.52</v>
      </c>
      <c r="AD204" s="42" t="s">
        <v>11759</v>
      </c>
      <c r="AE204" s="42" t="s">
        <v>11384</v>
      </c>
    </row>
    <row r="205" customFormat="false" ht="15.75" hidden="true" customHeight="true" outlineLevel="0" collapsed="false">
      <c r="A205" s="55" t="s">
        <v>12422</v>
      </c>
      <c r="B205" s="55" t="s">
        <v>51</v>
      </c>
      <c r="C205" s="55" t="s">
        <v>12423</v>
      </c>
      <c r="D205" s="32" t="n">
        <v>75015</v>
      </c>
      <c r="E205" s="32" t="s">
        <v>55</v>
      </c>
      <c r="F205" s="32" t="s">
        <v>12424</v>
      </c>
      <c r="G205" s="55" t="s">
        <v>12425</v>
      </c>
      <c r="H205" s="55" t="s">
        <v>12426</v>
      </c>
      <c r="I205" s="32" t="n">
        <v>9</v>
      </c>
      <c r="J205" s="32" t="n">
        <v>0</v>
      </c>
      <c r="K205" s="43" t="e">
        <f aca="false">VLOOKUP(A205,#REF!,2, )</f>
        <v>#VALUE!</v>
      </c>
      <c r="L205" s="32" t="n">
        <v>1</v>
      </c>
      <c r="M205" s="32" t="n">
        <v>0</v>
      </c>
      <c r="N205" s="32" t="n">
        <v>0</v>
      </c>
      <c r="O205" s="42" t="s">
        <v>11367</v>
      </c>
      <c r="P205" s="41"/>
      <c r="R205" s="60" t="n">
        <v>273</v>
      </c>
      <c r="S205" s="60" t="n">
        <v>455</v>
      </c>
      <c r="T205" s="42" t="n">
        <v>0</v>
      </c>
      <c r="U205" s="60" t="n">
        <v>357</v>
      </c>
      <c r="V205" s="60" t="n">
        <v>636</v>
      </c>
      <c r="W205" s="42" t="n">
        <v>0</v>
      </c>
      <c r="X205" s="60" t="n">
        <v>251</v>
      </c>
      <c r="Y205" s="60" t="n">
        <v>599</v>
      </c>
      <c r="Z205" s="42" t="n">
        <v>0</v>
      </c>
      <c r="AA205" s="60" t="n">
        <v>250.89</v>
      </c>
      <c r="AB205" s="60" t="n">
        <v>545.84</v>
      </c>
      <c r="AD205" s="42" t="s">
        <v>11411</v>
      </c>
    </row>
    <row r="206" customFormat="false" ht="12.75" hidden="true" customHeight="true" outlineLevel="0" collapsed="false">
      <c r="A206" s="55" t="s">
        <v>12427</v>
      </c>
      <c r="B206" s="55" t="s">
        <v>387</v>
      </c>
      <c r="C206" s="55" t="s">
        <v>12428</v>
      </c>
      <c r="D206" s="32" t="n">
        <v>75016</v>
      </c>
      <c r="E206" s="32" t="s">
        <v>55</v>
      </c>
      <c r="F206" s="32" t="s">
        <v>12429</v>
      </c>
      <c r="G206" s="55" t="s">
        <v>12430</v>
      </c>
      <c r="H206" s="55" t="s">
        <v>12431</v>
      </c>
      <c r="I206" s="32" t="n">
        <v>10</v>
      </c>
      <c r="J206" s="32" t="n">
        <v>0</v>
      </c>
      <c r="K206" s="43" t="e">
        <f aca="false">VLOOKUP(A206,#REF!,2, )</f>
        <v>#VALUE!</v>
      </c>
      <c r="L206" s="32" t="n">
        <v>1</v>
      </c>
      <c r="M206" s="32" t="n">
        <v>0</v>
      </c>
      <c r="N206" s="32" t="n">
        <v>1</v>
      </c>
      <c r="O206" s="42" t="s">
        <v>11367</v>
      </c>
      <c r="P206" s="41" t="n">
        <v>44612</v>
      </c>
      <c r="R206" s="60" t="n">
        <v>931</v>
      </c>
      <c r="S206" s="60" t="n">
        <v>900</v>
      </c>
      <c r="T206" s="42" t="n">
        <v>0</v>
      </c>
      <c r="U206" s="60" t="n">
        <v>987</v>
      </c>
      <c r="V206" s="60" t="n">
        <v>696</v>
      </c>
      <c r="W206" s="42" t="n">
        <v>0</v>
      </c>
      <c r="X206" s="60" t="n">
        <v>1204</v>
      </c>
      <c r="Y206" s="60" t="n">
        <v>746</v>
      </c>
      <c r="Z206" s="42" t="n">
        <v>0</v>
      </c>
      <c r="AA206" s="60" t="n">
        <v>1087.15</v>
      </c>
      <c r="AB206" s="60" t="n">
        <v>544.41</v>
      </c>
      <c r="AD206" s="42" t="s">
        <v>11375</v>
      </c>
      <c r="AE206" s="42" t="s">
        <v>11384</v>
      </c>
    </row>
    <row r="207" customFormat="false" ht="12.75" hidden="true" customHeight="true" outlineLevel="0" collapsed="false">
      <c r="A207" s="55" t="s">
        <v>12432</v>
      </c>
      <c r="B207" s="55" t="s">
        <v>233</v>
      </c>
      <c r="C207" s="55" t="s">
        <v>12433</v>
      </c>
      <c r="D207" s="32" t="n">
        <v>75015</v>
      </c>
      <c r="E207" s="32" t="s">
        <v>55</v>
      </c>
      <c r="F207" s="32" t="s">
        <v>12434</v>
      </c>
      <c r="G207" s="55" t="s">
        <v>11889</v>
      </c>
      <c r="H207" s="55" t="s">
        <v>11890</v>
      </c>
      <c r="I207" s="32" t="n">
        <v>10</v>
      </c>
      <c r="J207" s="32" t="n">
        <v>0</v>
      </c>
      <c r="K207" s="43" t="e">
        <f aca="false">VLOOKUP(A207,#REF!,2, )</f>
        <v>#VALUE!</v>
      </c>
      <c r="L207" s="32" t="n">
        <v>0</v>
      </c>
      <c r="M207" s="32" t="n">
        <v>0</v>
      </c>
      <c r="N207" s="32" t="n">
        <v>0</v>
      </c>
      <c r="O207" s="42" t="s">
        <v>11367</v>
      </c>
      <c r="P207" s="41"/>
      <c r="R207" s="60" t="n">
        <v>334</v>
      </c>
      <c r="S207" s="60" t="n">
        <v>992</v>
      </c>
      <c r="T207" s="42" t="n">
        <v>0</v>
      </c>
      <c r="U207" s="60" t="n">
        <v>708</v>
      </c>
      <c r="V207" s="60" t="n">
        <v>1293</v>
      </c>
      <c r="W207" s="42" t="n">
        <v>0</v>
      </c>
      <c r="X207" s="60" t="n">
        <v>998</v>
      </c>
      <c r="Y207" s="60" t="n">
        <v>1181</v>
      </c>
      <c r="Z207" s="42" t="n">
        <v>0</v>
      </c>
      <c r="AA207" s="60" t="n">
        <v>1220.93</v>
      </c>
      <c r="AB207" s="60" t="n">
        <v>511.46</v>
      </c>
      <c r="AD207" s="42" t="s">
        <v>11375</v>
      </c>
    </row>
    <row r="208" customFormat="false" ht="12.75" hidden="true" customHeight="true" outlineLevel="0" collapsed="false">
      <c r="A208" s="55" t="s">
        <v>12435</v>
      </c>
      <c r="B208" s="55" t="s">
        <v>119</v>
      </c>
      <c r="C208" s="55" t="s">
        <v>12436</v>
      </c>
      <c r="D208" s="32" t="n">
        <v>75007</v>
      </c>
      <c r="E208" s="32" t="s">
        <v>55</v>
      </c>
      <c r="F208" s="32" t="s">
        <v>12437</v>
      </c>
      <c r="G208" s="55" t="s">
        <v>12438</v>
      </c>
      <c r="H208" s="55" t="s">
        <v>12439</v>
      </c>
      <c r="I208" s="32" t="n">
        <v>8</v>
      </c>
      <c r="J208" s="32" t="n">
        <v>0</v>
      </c>
      <c r="K208" s="43" t="e">
        <f aca="false">VLOOKUP(A208,#REF!,2, )</f>
        <v>#VALUE!</v>
      </c>
      <c r="L208" s="32" t="n">
        <v>1</v>
      </c>
      <c r="M208" s="32" t="n">
        <v>0</v>
      </c>
      <c r="N208" s="32" t="n">
        <v>0</v>
      </c>
      <c r="O208" s="42" t="s">
        <v>12440</v>
      </c>
      <c r="P208" s="41" t="n">
        <v>45307.4166666667</v>
      </c>
      <c r="R208" s="60" t="n">
        <v>84</v>
      </c>
      <c r="S208" s="60" t="n">
        <v>1702</v>
      </c>
      <c r="T208" s="42" t="n">
        <v>87</v>
      </c>
      <c r="U208" s="60" t="n">
        <v>167</v>
      </c>
      <c r="V208" s="60" t="n">
        <v>1386</v>
      </c>
      <c r="W208" s="42" t="n">
        <v>119</v>
      </c>
      <c r="X208" s="60" t="n">
        <v>167</v>
      </c>
      <c r="Y208" s="60" t="n">
        <v>1434</v>
      </c>
      <c r="Z208" s="42" t="n">
        <v>111</v>
      </c>
      <c r="AA208" s="60" t="n">
        <v>83.63</v>
      </c>
      <c r="AB208" s="60" t="n">
        <v>511.08</v>
      </c>
      <c r="AE208" s="42" t="s">
        <v>11513</v>
      </c>
    </row>
    <row r="209" customFormat="false" ht="12.75" hidden="true" customHeight="true" outlineLevel="0" collapsed="false">
      <c r="A209" s="55" t="s">
        <v>12441</v>
      </c>
      <c r="B209" s="55" t="s">
        <v>572</v>
      </c>
      <c r="C209" s="55" t="s">
        <v>12442</v>
      </c>
      <c r="D209" s="32" t="n">
        <v>75008</v>
      </c>
      <c r="E209" s="32" t="s">
        <v>55</v>
      </c>
      <c r="F209" s="32" t="s">
        <v>12443</v>
      </c>
      <c r="G209" s="55" t="s">
        <v>12444</v>
      </c>
      <c r="H209" s="55" t="s">
        <v>12445</v>
      </c>
      <c r="I209" s="32" t="n">
        <v>4</v>
      </c>
      <c r="J209" s="32" t="n">
        <v>0</v>
      </c>
      <c r="K209" s="43" t="e">
        <f aca="false">VLOOKUP(A209,#REF!,2, )</f>
        <v>#VALUE!</v>
      </c>
      <c r="L209" s="32" t="n">
        <v>0</v>
      </c>
      <c r="M209" s="32" t="n">
        <v>0</v>
      </c>
      <c r="N209" s="32" t="n">
        <v>0</v>
      </c>
      <c r="O209" s="42" t="s">
        <v>11367</v>
      </c>
      <c r="P209" s="41"/>
      <c r="R209" s="60" t="n">
        <v>20</v>
      </c>
      <c r="S209" s="60" t="n">
        <v>41</v>
      </c>
      <c r="T209" s="42" t="n">
        <v>0</v>
      </c>
      <c r="U209" s="60" t="n">
        <v>251</v>
      </c>
      <c r="V209" s="60" t="n">
        <v>162</v>
      </c>
      <c r="W209" s="42" t="n">
        <v>0</v>
      </c>
      <c r="X209" s="60" t="n">
        <v>351</v>
      </c>
      <c r="Y209" s="60" t="n">
        <v>367</v>
      </c>
      <c r="Z209" s="42" t="n">
        <v>0</v>
      </c>
      <c r="AA209" s="60" t="n">
        <v>771.12</v>
      </c>
      <c r="AB209" s="60" t="n">
        <v>500.1</v>
      </c>
      <c r="AD209" s="42" t="s">
        <v>11683</v>
      </c>
    </row>
    <row r="210" customFormat="false" ht="12.75" hidden="true" customHeight="true" outlineLevel="0" collapsed="false">
      <c r="A210" s="55" t="s">
        <v>12446</v>
      </c>
      <c r="B210" s="55" t="s">
        <v>62</v>
      </c>
      <c r="C210" s="55" t="s">
        <v>12447</v>
      </c>
      <c r="D210" s="32" t="n">
        <v>75017</v>
      </c>
      <c r="E210" s="32" t="s">
        <v>55</v>
      </c>
      <c r="F210" s="32" t="s">
        <v>12448</v>
      </c>
      <c r="G210" s="55" t="s">
        <v>12449</v>
      </c>
      <c r="H210" s="55" t="s">
        <v>12450</v>
      </c>
      <c r="I210" s="32" t="n">
        <v>8</v>
      </c>
      <c r="J210" s="32" t="n">
        <v>0</v>
      </c>
      <c r="K210" s="43" t="e">
        <f aca="false">VLOOKUP(A210,#REF!,2, )</f>
        <v>#VALUE!</v>
      </c>
      <c r="L210" s="32" t="n">
        <v>1</v>
      </c>
      <c r="M210" s="32" t="n">
        <v>0</v>
      </c>
      <c r="N210" s="32" t="n">
        <v>0</v>
      </c>
      <c r="O210" s="42" t="s">
        <v>11367</v>
      </c>
      <c r="P210" s="41"/>
      <c r="S210" s="60" t="n">
        <v>556</v>
      </c>
      <c r="T210" s="42" t="n">
        <v>0</v>
      </c>
      <c r="V210" s="60" t="n">
        <v>661</v>
      </c>
      <c r="W210" s="42" t="n">
        <v>0</v>
      </c>
      <c r="X210" s="60" t="n">
        <v>84</v>
      </c>
      <c r="Y210" s="60" t="n">
        <v>504</v>
      </c>
      <c r="Z210" s="42" t="n">
        <v>0</v>
      </c>
      <c r="AA210" s="60" t="n">
        <v>83.63</v>
      </c>
      <c r="AB210" s="60" t="n">
        <v>480.07</v>
      </c>
      <c r="AD210" s="42" t="s">
        <v>12136</v>
      </c>
    </row>
    <row r="211" customFormat="false" ht="12.75" hidden="true" customHeight="true" outlineLevel="0" collapsed="false">
      <c r="A211" s="55" t="s">
        <v>12451</v>
      </c>
      <c r="B211" s="55" t="s">
        <v>119</v>
      </c>
      <c r="C211" s="55" t="s">
        <v>12452</v>
      </c>
      <c r="D211" s="32" t="n">
        <v>75007</v>
      </c>
      <c r="E211" s="32" t="s">
        <v>55</v>
      </c>
      <c r="F211" s="32" t="s">
        <v>12453</v>
      </c>
      <c r="G211" s="55" t="s">
        <v>12454</v>
      </c>
      <c r="H211" s="55" t="s">
        <v>12455</v>
      </c>
      <c r="I211" s="32" t="n">
        <v>6</v>
      </c>
      <c r="J211" s="32" t="n">
        <v>0</v>
      </c>
      <c r="K211" s="43" t="e">
        <f aca="false">VLOOKUP(A211,#REF!,2, )</f>
        <v>#VALUE!</v>
      </c>
      <c r="L211" s="32" t="n">
        <v>1</v>
      </c>
      <c r="M211" s="32" t="n">
        <v>0</v>
      </c>
      <c r="N211" s="32" t="n">
        <v>2</v>
      </c>
      <c r="O211" s="42" t="s">
        <v>11367</v>
      </c>
      <c r="P211" s="41" t="n">
        <v>44703</v>
      </c>
      <c r="R211" s="60" t="n">
        <v>346</v>
      </c>
      <c r="S211" s="60" t="n">
        <v>562</v>
      </c>
      <c r="T211" s="42" t="n">
        <v>0</v>
      </c>
      <c r="U211" s="60" t="n">
        <v>240</v>
      </c>
      <c r="V211" s="60" t="n">
        <v>662</v>
      </c>
      <c r="W211" s="42" t="n">
        <v>0</v>
      </c>
      <c r="X211" s="60" t="n">
        <v>240</v>
      </c>
      <c r="Y211" s="60" t="n">
        <v>616</v>
      </c>
      <c r="Z211" s="42" t="n">
        <v>0</v>
      </c>
      <c r="AA211" s="60" t="n">
        <v>83.63</v>
      </c>
      <c r="AB211" s="60" t="n">
        <v>463.17</v>
      </c>
      <c r="AD211" s="42" t="s">
        <v>11466</v>
      </c>
      <c r="AE211" s="42" t="s">
        <v>11473</v>
      </c>
    </row>
    <row r="212" customFormat="false" ht="12.75" hidden="true" customHeight="true" outlineLevel="0" collapsed="false">
      <c r="A212" s="55" t="s">
        <v>12456</v>
      </c>
      <c r="B212" s="55" t="s">
        <v>233</v>
      </c>
      <c r="C212" s="55" t="s">
        <v>12457</v>
      </c>
      <c r="D212" s="32" t="n">
        <v>75015</v>
      </c>
      <c r="E212" s="32" t="s">
        <v>55</v>
      </c>
      <c r="F212" s="32" t="s">
        <v>12458</v>
      </c>
      <c r="G212" s="55" t="s">
        <v>12459</v>
      </c>
      <c r="H212" s="55" t="s">
        <v>12460</v>
      </c>
      <c r="I212" s="32" t="n">
        <v>8</v>
      </c>
      <c r="J212" s="32" t="n">
        <v>0</v>
      </c>
      <c r="K212" s="43" t="e">
        <f aca="false">VLOOKUP(A212,#REF!,2, )</f>
        <v>#VALUE!</v>
      </c>
      <c r="L212" s="32" t="n">
        <v>1</v>
      </c>
      <c r="M212" s="32" t="n">
        <v>0</v>
      </c>
      <c r="N212" s="32" t="n">
        <v>0</v>
      </c>
      <c r="O212" s="42" t="s">
        <v>11367</v>
      </c>
      <c r="P212" s="41"/>
      <c r="R212" s="60" t="n">
        <v>608</v>
      </c>
      <c r="S212" s="60" t="n">
        <v>1291</v>
      </c>
      <c r="T212" s="42" t="n">
        <v>0</v>
      </c>
      <c r="U212" s="60" t="n">
        <v>853</v>
      </c>
      <c r="V212" s="60" t="n">
        <v>1026</v>
      </c>
      <c r="W212" s="42" t="n">
        <v>0</v>
      </c>
      <c r="X212" s="60" t="n">
        <v>820</v>
      </c>
      <c r="Y212" s="60" t="n">
        <v>1054</v>
      </c>
      <c r="Z212" s="42" t="n">
        <v>0</v>
      </c>
      <c r="AA212" s="60" t="n">
        <v>735.92</v>
      </c>
      <c r="AB212" s="60" t="n">
        <v>429.66</v>
      </c>
      <c r="AD212" s="42" t="s">
        <v>11472</v>
      </c>
      <c r="AE212" s="42" t="s">
        <v>11384</v>
      </c>
    </row>
    <row r="213" customFormat="false" ht="12.75" hidden="true" customHeight="true" outlineLevel="0" collapsed="false">
      <c r="A213" s="55" t="s">
        <v>12461</v>
      </c>
      <c r="B213" s="55" t="s">
        <v>99</v>
      </c>
      <c r="C213" s="55" t="s">
        <v>12462</v>
      </c>
      <c r="D213" s="32" t="n">
        <v>75015</v>
      </c>
      <c r="E213" s="32" t="s">
        <v>55</v>
      </c>
      <c r="F213" s="32" t="s">
        <v>12463</v>
      </c>
      <c r="G213" s="55" t="s">
        <v>12464</v>
      </c>
      <c r="H213" s="55" t="s">
        <v>12465</v>
      </c>
      <c r="I213" s="32" t="n">
        <v>10</v>
      </c>
      <c r="J213" s="32" t="n">
        <v>0</v>
      </c>
      <c r="K213" s="43" t="e">
        <f aca="false">VLOOKUP(A213,#REF!,2, )</f>
        <v>#VALUE!</v>
      </c>
      <c r="L213" s="32" t="n">
        <v>0</v>
      </c>
      <c r="M213" s="32" t="n">
        <v>0</v>
      </c>
      <c r="N213" s="32" t="n">
        <v>0</v>
      </c>
      <c r="O213" s="42" t="s">
        <v>11367</v>
      </c>
      <c r="P213" s="41"/>
      <c r="R213" s="60" t="n">
        <v>535</v>
      </c>
      <c r="S213" s="60" t="n">
        <v>333</v>
      </c>
      <c r="T213" s="42" t="n">
        <v>0</v>
      </c>
      <c r="U213" s="60" t="n">
        <v>535</v>
      </c>
      <c r="V213" s="60" t="n">
        <v>762</v>
      </c>
      <c r="W213" s="42" t="n">
        <v>0</v>
      </c>
      <c r="X213" s="60" t="n">
        <v>552</v>
      </c>
      <c r="Y213" s="60" t="n">
        <v>619</v>
      </c>
      <c r="Z213" s="42" t="n">
        <v>0</v>
      </c>
      <c r="AA213" s="60" t="n">
        <v>434.86</v>
      </c>
      <c r="AB213" s="60" t="n">
        <v>429.58</v>
      </c>
      <c r="AD213" s="42" t="s">
        <v>11759</v>
      </c>
    </row>
    <row r="214" customFormat="false" ht="12.75" hidden="true" customHeight="true" outlineLevel="0" collapsed="false">
      <c r="A214" s="55" t="s">
        <v>12466</v>
      </c>
      <c r="B214" s="55" t="s">
        <v>197</v>
      </c>
      <c r="C214" s="55" t="s">
        <v>12467</v>
      </c>
      <c r="D214" s="32" t="n">
        <v>75017</v>
      </c>
      <c r="E214" s="32" t="s">
        <v>55</v>
      </c>
      <c r="F214" s="32" t="s">
        <v>12468</v>
      </c>
      <c r="G214" s="55" t="s">
        <v>12469</v>
      </c>
      <c r="H214" s="55" t="s">
        <v>12470</v>
      </c>
      <c r="I214" s="32" t="n">
        <v>8</v>
      </c>
      <c r="J214" s="32" t="n">
        <v>0</v>
      </c>
      <c r="K214" s="43" t="e">
        <f aca="false">VLOOKUP(A214,#REF!,2, )</f>
        <v>#VALUE!</v>
      </c>
      <c r="L214" s="32" t="n">
        <v>1</v>
      </c>
      <c r="M214" s="32" t="n">
        <v>0</v>
      </c>
      <c r="N214" s="32" t="n">
        <v>0</v>
      </c>
      <c r="O214" s="42" t="s">
        <v>11367</v>
      </c>
      <c r="P214" s="41"/>
      <c r="S214" s="60" t="n">
        <v>268</v>
      </c>
      <c r="T214" s="42" t="n">
        <v>0</v>
      </c>
      <c r="U214" s="60" t="n">
        <v>84</v>
      </c>
      <c r="V214" s="60" t="n">
        <v>166</v>
      </c>
      <c r="W214" s="42" t="n">
        <v>0</v>
      </c>
      <c r="X214" s="60" t="n">
        <v>84</v>
      </c>
      <c r="Y214" s="60" t="n">
        <v>166</v>
      </c>
      <c r="Z214" s="42" t="n">
        <v>0</v>
      </c>
      <c r="AA214" s="60" t="n">
        <v>83.63</v>
      </c>
      <c r="AB214" s="60" t="n">
        <v>428.75</v>
      </c>
      <c r="AD214" s="42" t="s">
        <v>11501</v>
      </c>
    </row>
    <row r="215" customFormat="false" ht="12.75" hidden="true" customHeight="true" outlineLevel="0" collapsed="false">
      <c r="A215" s="55" t="s">
        <v>12471</v>
      </c>
      <c r="B215" s="55" t="s">
        <v>51</v>
      </c>
      <c r="C215" s="55" t="s">
        <v>12472</v>
      </c>
      <c r="D215" s="32" t="n">
        <v>75015</v>
      </c>
      <c r="E215" s="32" t="s">
        <v>55</v>
      </c>
      <c r="F215" s="32" t="s">
        <v>12473</v>
      </c>
      <c r="G215" s="55" t="s">
        <v>12474</v>
      </c>
      <c r="H215" s="55" t="s">
        <v>12475</v>
      </c>
      <c r="I215" s="32" t="n">
        <v>10</v>
      </c>
      <c r="J215" s="32" t="n">
        <v>0</v>
      </c>
      <c r="K215" s="43" t="e">
        <f aca="false">VLOOKUP(A215,#REF!,2, )</f>
        <v>#VALUE!</v>
      </c>
      <c r="L215" s="32" t="n">
        <v>1</v>
      </c>
      <c r="M215" s="32" t="n">
        <v>0</v>
      </c>
      <c r="N215" s="32" t="n">
        <v>0</v>
      </c>
      <c r="O215" s="42" t="s">
        <v>11367</v>
      </c>
      <c r="P215" s="41"/>
      <c r="S215" s="60" t="n">
        <v>860</v>
      </c>
      <c r="T215" s="42" t="n">
        <v>0</v>
      </c>
      <c r="V215" s="60" t="n">
        <v>641</v>
      </c>
      <c r="W215" s="42" t="n">
        <v>0</v>
      </c>
      <c r="Y215" s="60" t="n">
        <v>689</v>
      </c>
      <c r="Z215" s="42" t="n">
        <v>0</v>
      </c>
      <c r="AA215" s="60" t="n">
        <v>0</v>
      </c>
      <c r="AB215" s="60" t="n">
        <v>420.33</v>
      </c>
      <c r="AD215" s="42" t="s">
        <v>11759</v>
      </c>
      <c r="AE215" s="42" t="s">
        <v>11513</v>
      </c>
    </row>
    <row r="216" customFormat="false" ht="12.75" hidden="true" customHeight="true" outlineLevel="0" collapsed="false">
      <c r="A216" s="55" t="s">
        <v>12476</v>
      </c>
      <c r="B216" s="55" t="s">
        <v>572</v>
      </c>
      <c r="C216" s="55" t="s">
        <v>12477</v>
      </c>
      <c r="D216" s="32" t="n">
        <v>75008</v>
      </c>
      <c r="E216" s="32" t="s">
        <v>55</v>
      </c>
      <c r="F216" s="32" t="s">
        <v>12478</v>
      </c>
      <c r="G216" s="55" t="s">
        <v>12479</v>
      </c>
      <c r="H216" s="55" t="s">
        <v>12480</v>
      </c>
      <c r="I216" s="32" t="n">
        <v>5</v>
      </c>
      <c r="J216" s="32" t="n">
        <v>0</v>
      </c>
      <c r="K216" s="43" t="e">
        <f aca="false">VLOOKUP(A216,#REF!,2, )</f>
        <v>#VALUE!</v>
      </c>
      <c r="L216" s="32" t="n">
        <v>0</v>
      </c>
      <c r="M216" s="32" t="n">
        <v>0</v>
      </c>
      <c r="N216" s="32" t="n">
        <v>0</v>
      </c>
      <c r="O216" s="42" t="s">
        <v>12481</v>
      </c>
      <c r="P216" s="41" t="n">
        <v>45131.5416666667</v>
      </c>
      <c r="S216" s="60" t="n">
        <v>1543</v>
      </c>
      <c r="T216" s="42" t="n">
        <v>101</v>
      </c>
      <c r="V216" s="60" t="n">
        <v>2646</v>
      </c>
      <c r="W216" s="42" t="n">
        <v>28</v>
      </c>
      <c r="Y216" s="60" t="n">
        <v>2681</v>
      </c>
      <c r="Z216" s="42" t="n">
        <v>32</v>
      </c>
      <c r="AA216" s="60" t="n">
        <v>83.63</v>
      </c>
      <c r="AB216" s="60" t="n">
        <v>389.16</v>
      </c>
    </row>
    <row r="217" customFormat="false" ht="12.75" hidden="true" customHeight="true" outlineLevel="0" collapsed="false">
      <c r="A217" s="55" t="s">
        <v>12482</v>
      </c>
      <c r="B217" s="55" t="s">
        <v>51</v>
      </c>
      <c r="C217" s="55" t="s">
        <v>12483</v>
      </c>
      <c r="D217" s="32" t="n">
        <v>75015</v>
      </c>
      <c r="E217" s="32" t="s">
        <v>55</v>
      </c>
      <c r="F217" s="32" t="s">
        <v>12484</v>
      </c>
      <c r="G217" s="55" t="s">
        <v>12485</v>
      </c>
      <c r="H217" s="55" t="s">
        <v>12486</v>
      </c>
      <c r="I217" s="32" t="n">
        <v>10</v>
      </c>
      <c r="J217" s="32" t="n">
        <v>0</v>
      </c>
      <c r="K217" s="43" t="e">
        <f aca="false">VLOOKUP(A217,#REF!,2, )</f>
        <v>#VALUE!</v>
      </c>
      <c r="L217" s="32" t="n">
        <v>1</v>
      </c>
      <c r="M217" s="32" t="n">
        <v>0</v>
      </c>
      <c r="N217" s="32" t="n">
        <v>0</v>
      </c>
      <c r="O217" s="42" t="s">
        <v>11367</v>
      </c>
      <c r="P217" s="41"/>
      <c r="R217" s="60" t="n">
        <v>190</v>
      </c>
      <c r="S217" s="60" t="n">
        <v>950</v>
      </c>
      <c r="T217" s="42" t="n">
        <v>0</v>
      </c>
      <c r="U217" s="60" t="n">
        <v>288</v>
      </c>
      <c r="V217" s="60" t="n">
        <v>539</v>
      </c>
      <c r="W217" s="42" t="n">
        <v>0</v>
      </c>
      <c r="X217" s="60" t="n">
        <v>455</v>
      </c>
      <c r="Y217" s="60" t="n">
        <v>817</v>
      </c>
      <c r="Z217" s="42" t="n">
        <v>0</v>
      </c>
      <c r="AA217" s="60" t="n">
        <v>265.37</v>
      </c>
      <c r="AB217" s="60" t="n">
        <v>380.86</v>
      </c>
      <c r="AD217" s="42" t="s">
        <v>11759</v>
      </c>
      <c r="AE217" s="42" t="s">
        <v>11384</v>
      </c>
    </row>
    <row r="218" customFormat="false" ht="12.75" hidden="true" customHeight="true" outlineLevel="0" collapsed="false">
      <c r="A218" s="55" t="s">
        <v>12487</v>
      </c>
      <c r="B218" s="55" t="s">
        <v>173</v>
      </c>
      <c r="C218" s="55" t="s">
        <v>12488</v>
      </c>
      <c r="D218" s="32" t="n">
        <v>75116</v>
      </c>
      <c r="E218" s="32" t="s">
        <v>55</v>
      </c>
      <c r="F218" s="32" t="s">
        <v>12489</v>
      </c>
      <c r="G218" s="55" t="s">
        <v>12490</v>
      </c>
      <c r="H218" s="55" t="s">
        <v>12491</v>
      </c>
      <c r="I218" s="32" t="n">
        <v>9</v>
      </c>
      <c r="J218" s="32" t="n">
        <v>0</v>
      </c>
      <c r="K218" s="43" t="e">
        <f aca="false">VLOOKUP(A218,#REF!,2, )</f>
        <v>#VALUE!</v>
      </c>
      <c r="L218" s="32" t="n">
        <v>0</v>
      </c>
      <c r="M218" s="32" t="n">
        <v>0</v>
      </c>
      <c r="N218" s="32" t="n">
        <v>0</v>
      </c>
      <c r="O218" s="42" t="s">
        <v>12492</v>
      </c>
      <c r="P218" s="41" t="n">
        <v>45207.7083333333</v>
      </c>
      <c r="S218" s="60" t="n">
        <v>387</v>
      </c>
      <c r="T218" s="42" t="n">
        <v>0</v>
      </c>
      <c r="V218" s="60" t="n">
        <v>493</v>
      </c>
      <c r="W218" s="42" t="n">
        <v>0</v>
      </c>
      <c r="Y218" s="60" t="n">
        <v>460</v>
      </c>
      <c r="Z218" s="42" t="n">
        <v>0</v>
      </c>
      <c r="AA218" s="60" t="n">
        <v>0</v>
      </c>
      <c r="AB218" s="60" t="n">
        <v>376.24</v>
      </c>
    </row>
    <row r="219" customFormat="false" ht="12.75" hidden="true" customHeight="true" outlineLevel="0" collapsed="false">
      <c r="A219" s="55" t="s">
        <v>12493</v>
      </c>
      <c r="B219" s="55" t="s">
        <v>62</v>
      </c>
      <c r="C219" s="55" t="s">
        <v>12494</v>
      </c>
      <c r="D219" s="32" t="n">
        <v>75017</v>
      </c>
      <c r="E219" s="32" t="s">
        <v>55</v>
      </c>
      <c r="F219" s="32" t="s">
        <v>12495</v>
      </c>
      <c r="G219" s="55" t="s">
        <v>12496</v>
      </c>
      <c r="H219" s="55" t="s">
        <v>12497</v>
      </c>
      <c r="I219" s="32" t="n">
        <v>10</v>
      </c>
      <c r="J219" s="32" t="n">
        <v>0</v>
      </c>
      <c r="K219" s="43" t="e">
        <f aca="false">VLOOKUP(A219,#REF!,2, )</f>
        <v>#VALUE!</v>
      </c>
      <c r="L219" s="32" t="n">
        <v>0</v>
      </c>
      <c r="M219" s="32" t="n">
        <v>0</v>
      </c>
      <c r="N219" s="32" t="n">
        <v>0</v>
      </c>
      <c r="O219" s="42" t="s">
        <v>11367</v>
      </c>
      <c r="P219" s="41"/>
      <c r="S219" s="60" t="n">
        <v>407</v>
      </c>
      <c r="T219" s="42" t="n">
        <v>0</v>
      </c>
      <c r="V219" s="60" t="n">
        <v>229</v>
      </c>
      <c r="W219" s="42" t="n">
        <v>0</v>
      </c>
      <c r="Y219" s="60" t="n">
        <v>229</v>
      </c>
      <c r="Z219" s="42" t="n">
        <v>0</v>
      </c>
      <c r="AA219" s="60" t="n">
        <v>0</v>
      </c>
      <c r="AB219" s="60" t="n">
        <v>364.5</v>
      </c>
    </row>
    <row r="220" customFormat="false" ht="12.75" hidden="true" customHeight="true" outlineLevel="0" collapsed="false">
      <c r="A220" s="55" t="s">
        <v>12498</v>
      </c>
      <c r="B220" s="55" t="s">
        <v>77</v>
      </c>
      <c r="C220" s="55" t="s">
        <v>12499</v>
      </c>
      <c r="D220" s="32" t="n">
        <v>92200</v>
      </c>
      <c r="E220" s="32" t="s">
        <v>11393</v>
      </c>
      <c r="F220" s="32" t="s">
        <v>12500</v>
      </c>
      <c r="G220" s="55" t="s">
        <v>12501</v>
      </c>
      <c r="H220" s="55" t="s">
        <v>12502</v>
      </c>
      <c r="I220" s="32" t="n">
        <v>7</v>
      </c>
      <c r="J220" s="32" t="n">
        <v>0</v>
      </c>
      <c r="K220" s="43" t="e">
        <f aca="false">VLOOKUP(A220,#REF!,2, )</f>
        <v>#VALUE!</v>
      </c>
      <c r="L220" s="32" t="n">
        <v>0</v>
      </c>
      <c r="M220" s="32" t="n">
        <v>0</v>
      </c>
      <c r="N220" s="32" t="n">
        <v>0</v>
      </c>
      <c r="O220" s="42" t="s">
        <v>11367</v>
      </c>
      <c r="P220" s="41"/>
      <c r="T220" s="42" t="n">
        <v>0</v>
      </c>
      <c r="W220" s="42" t="n">
        <v>0</v>
      </c>
      <c r="Z220" s="42" t="n">
        <v>0</v>
      </c>
      <c r="AA220" s="60" t="n">
        <v>0</v>
      </c>
      <c r="AB220" s="60" t="n">
        <v>333.23</v>
      </c>
      <c r="AD220" s="42" t="s">
        <v>11683</v>
      </c>
    </row>
    <row r="221" customFormat="false" ht="12.75" hidden="true" customHeight="true" outlineLevel="0" collapsed="false">
      <c r="A221" s="55" t="s">
        <v>12503</v>
      </c>
      <c r="B221" s="55" t="s">
        <v>119</v>
      </c>
      <c r="C221" s="55" t="s">
        <v>12504</v>
      </c>
      <c r="D221" s="32" t="n">
        <v>75007</v>
      </c>
      <c r="E221" s="32" t="s">
        <v>55</v>
      </c>
      <c r="F221" s="32" t="s">
        <v>12505</v>
      </c>
      <c r="G221" s="55" t="s">
        <v>12506</v>
      </c>
      <c r="H221" s="55" t="s">
        <v>12507</v>
      </c>
      <c r="I221" s="32" t="n">
        <v>6</v>
      </c>
      <c r="J221" s="32" t="n">
        <v>0</v>
      </c>
      <c r="K221" s="43" t="e">
        <f aca="false">VLOOKUP(A221,#REF!,2, )</f>
        <v>#VALUE!</v>
      </c>
      <c r="L221" s="32" t="n">
        <v>1</v>
      </c>
      <c r="M221" s="32" t="n">
        <v>0</v>
      </c>
      <c r="N221" s="32" t="n">
        <v>0</v>
      </c>
      <c r="O221" s="42" t="s">
        <v>11367</v>
      </c>
      <c r="P221" s="41"/>
      <c r="S221" s="60" t="n">
        <v>580</v>
      </c>
      <c r="T221" s="42" t="n">
        <v>0</v>
      </c>
      <c r="V221" s="60" t="n">
        <v>610</v>
      </c>
      <c r="W221" s="42" t="n">
        <v>0</v>
      </c>
      <c r="Y221" s="60" t="n">
        <v>366</v>
      </c>
      <c r="Z221" s="42" t="n">
        <v>0</v>
      </c>
      <c r="AA221" s="60" t="n">
        <v>120.53</v>
      </c>
      <c r="AB221" s="60" t="n">
        <v>308.28</v>
      </c>
      <c r="AD221" s="42" t="s">
        <v>11466</v>
      </c>
      <c r="AE221" s="42" t="s">
        <v>11384</v>
      </c>
    </row>
    <row r="222" customFormat="false" ht="12.75" hidden="true" customHeight="true" outlineLevel="0" collapsed="false">
      <c r="A222" s="55" t="s">
        <v>12508</v>
      </c>
      <c r="B222" s="55" t="s">
        <v>77</v>
      </c>
      <c r="C222" s="55" t="s">
        <v>12509</v>
      </c>
      <c r="D222" s="32" t="n">
        <v>92200</v>
      </c>
      <c r="E222" s="32" t="s">
        <v>11393</v>
      </c>
      <c r="F222" s="32" t="s">
        <v>12510</v>
      </c>
      <c r="G222" s="55" t="s">
        <v>12511</v>
      </c>
      <c r="H222" s="55" t="s">
        <v>12512</v>
      </c>
      <c r="I222" s="32" t="n">
        <v>10</v>
      </c>
      <c r="J222" s="32" t="n">
        <v>3</v>
      </c>
      <c r="K222" s="43" t="e">
        <f aca="false">VLOOKUP(A222,#REF!,2, )</f>
        <v>#VALUE!</v>
      </c>
      <c r="L222" s="32" t="n">
        <v>1</v>
      </c>
      <c r="M222" s="32" t="n">
        <v>1</v>
      </c>
      <c r="N222" s="32" t="n">
        <v>0</v>
      </c>
      <c r="O222" s="42" t="s">
        <v>11367</v>
      </c>
      <c r="R222" s="60" t="n">
        <v>-182</v>
      </c>
      <c r="S222" s="60" t="n">
        <v>2047</v>
      </c>
      <c r="T222" s="42" t="n">
        <v>62</v>
      </c>
      <c r="U222" s="60" t="n">
        <v>205</v>
      </c>
      <c r="V222" s="60" t="n">
        <v>2113</v>
      </c>
      <c r="W222" s="42" t="n">
        <v>51</v>
      </c>
      <c r="X222" s="60" t="n">
        <v>406</v>
      </c>
      <c r="Y222" s="60" t="n">
        <v>1405</v>
      </c>
      <c r="Z222" s="42" t="n">
        <v>115</v>
      </c>
      <c r="AA222" s="60" t="n">
        <v>601.28</v>
      </c>
      <c r="AB222" s="60" t="n">
        <v>299.79</v>
      </c>
      <c r="AD222" s="42" t="s">
        <v>11634</v>
      </c>
      <c r="AE222" s="42" t="s">
        <v>11384</v>
      </c>
    </row>
    <row r="223" customFormat="false" ht="17.25" hidden="true" customHeight="true" outlineLevel="0" collapsed="false">
      <c r="A223" s="55" t="s">
        <v>12513</v>
      </c>
      <c r="B223" s="55" t="s">
        <v>572</v>
      </c>
      <c r="C223" s="55" t="s">
        <v>12514</v>
      </c>
      <c r="D223" s="32" t="n">
        <v>75008</v>
      </c>
      <c r="E223" s="32" t="s">
        <v>55</v>
      </c>
      <c r="F223" s="32" t="s">
        <v>12515</v>
      </c>
      <c r="G223" s="55" t="s">
        <v>12516</v>
      </c>
      <c r="H223" s="55" t="s">
        <v>12517</v>
      </c>
      <c r="I223" s="32" t="n">
        <v>4</v>
      </c>
      <c r="J223" s="32" t="n">
        <v>0</v>
      </c>
      <c r="K223" s="43" t="e">
        <f aca="false">VLOOKUP(A223,#REF!,2, )</f>
        <v>#VALUE!</v>
      </c>
      <c r="L223" s="32" t="n">
        <v>1</v>
      </c>
      <c r="M223" s="32" t="n">
        <v>0</v>
      </c>
      <c r="N223" s="32" t="n">
        <v>0</v>
      </c>
      <c r="O223" s="42" t="s">
        <v>11367</v>
      </c>
      <c r="P223" s="41"/>
      <c r="R223" s="60" t="n">
        <v>825</v>
      </c>
      <c r="S223" s="60" t="n">
        <v>891</v>
      </c>
      <c r="T223" s="42" t="n">
        <v>0</v>
      </c>
      <c r="U223" s="60" t="n">
        <v>530</v>
      </c>
      <c r="V223" s="60" t="n">
        <v>847</v>
      </c>
      <c r="W223" s="42" t="n">
        <v>0</v>
      </c>
      <c r="X223" s="60" t="n">
        <v>530</v>
      </c>
      <c r="Y223" s="60" t="n">
        <v>847</v>
      </c>
      <c r="Z223" s="42" t="n">
        <v>0</v>
      </c>
      <c r="AA223" s="60" t="n">
        <v>0</v>
      </c>
      <c r="AB223" s="60" t="n">
        <v>266.4</v>
      </c>
      <c r="AD223" s="42" t="s">
        <v>12518</v>
      </c>
    </row>
    <row r="224" customFormat="false" ht="12.75" hidden="true" customHeight="true" outlineLevel="0" collapsed="false">
      <c r="A224" s="55" t="s">
        <v>12519</v>
      </c>
      <c r="B224" s="55" t="s">
        <v>62</v>
      </c>
      <c r="C224" s="55" t="s">
        <v>12520</v>
      </c>
      <c r="D224" s="32" t="n">
        <v>75017</v>
      </c>
      <c r="E224" s="32" t="s">
        <v>55</v>
      </c>
      <c r="F224" s="32" t="s">
        <v>12521</v>
      </c>
      <c r="G224" s="55" t="s">
        <v>12522</v>
      </c>
      <c r="H224" s="55" t="s">
        <v>12523</v>
      </c>
      <c r="I224" s="32" t="n">
        <v>10</v>
      </c>
      <c r="J224" s="32" t="n">
        <v>0</v>
      </c>
      <c r="K224" s="43" t="e">
        <f aca="false">VLOOKUP(A224,#REF!,2, )</f>
        <v>#VALUE!</v>
      </c>
      <c r="L224" s="32" t="n">
        <v>0</v>
      </c>
      <c r="M224" s="32" t="n">
        <v>0</v>
      </c>
      <c r="N224" s="32" t="n">
        <v>0</v>
      </c>
      <c r="O224" s="42" t="s">
        <v>11367</v>
      </c>
      <c r="P224" s="41"/>
      <c r="R224" s="60" t="n">
        <v>495</v>
      </c>
      <c r="S224" s="60" t="n">
        <v>391</v>
      </c>
      <c r="T224" s="42" t="n">
        <v>0</v>
      </c>
      <c r="V224" s="60" t="n">
        <v>789</v>
      </c>
      <c r="W224" s="42" t="n">
        <v>0</v>
      </c>
      <c r="Y224" s="60" t="n">
        <v>596</v>
      </c>
      <c r="Z224" s="42" t="n">
        <v>0</v>
      </c>
      <c r="AA224" s="60" t="n">
        <v>216.72</v>
      </c>
      <c r="AB224" s="60" t="n">
        <v>253.34</v>
      </c>
      <c r="AD224" s="42" t="s">
        <v>12142</v>
      </c>
    </row>
    <row r="225" customFormat="false" ht="12.75" hidden="true" customHeight="true" outlineLevel="0" collapsed="false">
      <c r="A225" s="55" t="s">
        <v>12524</v>
      </c>
      <c r="B225" s="55" t="s">
        <v>572</v>
      </c>
      <c r="C225" s="55" t="s">
        <v>12525</v>
      </c>
      <c r="D225" s="32" t="n">
        <v>75008</v>
      </c>
      <c r="E225" s="32" t="s">
        <v>55</v>
      </c>
      <c r="F225" s="32" t="s">
        <v>12526</v>
      </c>
      <c r="G225" s="55" t="s">
        <v>12527</v>
      </c>
      <c r="H225" s="55" t="s">
        <v>12528</v>
      </c>
      <c r="I225" s="32" t="n">
        <v>10</v>
      </c>
      <c r="J225" s="32" t="n">
        <v>0</v>
      </c>
      <c r="K225" s="43" t="e">
        <f aca="false">VLOOKUP(A225,#REF!,2, )</f>
        <v>#VALUE!</v>
      </c>
      <c r="L225" s="32" t="n">
        <v>0</v>
      </c>
      <c r="M225" s="32" t="n">
        <v>0</v>
      </c>
      <c r="N225" s="32" t="n">
        <v>0</v>
      </c>
      <c r="O225" s="42" t="s">
        <v>11367</v>
      </c>
      <c r="P225" s="41"/>
      <c r="R225" s="60" t="n">
        <v>138</v>
      </c>
      <c r="S225" s="60" t="n">
        <v>326</v>
      </c>
      <c r="T225" s="42" t="n">
        <v>0</v>
      </c>
      <c r="U225" s="60" t="n">
        <v>196</v>
      </c>
      <c r="V225" s="60" t="n">
        <v>323</v>
      </c>
      <c r="W225" s="42" t="n">
        <v>0</v>
      </c>
      <c r="X225" s="60" t="n">
        <v>259</v>
      </c>
      <c r="Y225" s="60" t="n">
        <v>324</v>
      </c>
      <c r="Z225" s="42" t="n">
        <v>0</v>
      </c>
      <c r="AA225" s="60" t="n">
        <v>180.16</v>
      </c>
      <c r="AB225" s="60" t="n">
        <v>232.79</v>
      </c>
      <c r="AD225" s="42" t="s">
        <v>11560</v>
      </c>
    </row>
    <row r="226" customFormat="false" ht="12.75" hidden="true" customHeight="true" outlineLevel="0" collapsed="false">
      <c r="A226" s="55" t="s">
        <v>12529</v>
      </c>
      <c r="B226" s="55" t="s">
        <v>233</v>
      </c>
      <c r="C226" s="55" t="s">
        <v>12530</v>
      </c>
      <c r="D226" s="32" t="n">
        <v>75015</v>
      </c>
      <c r="E226" s="32" t="s">
        <v>55</v>
      </c>
      <c r="F226" s="32" t="s">
        <v>12531</v>
      </c>
      <c r="G226" s="55" t="s">
        <v>12532</v>
      </c>
      <c r="H226" s="55" t="s">
        <v>12533</v>
      </c>
      <c r="I226" s="32" t="n">
        <v>10</v>
      </c>
      <c r="J226" s="32" t="n">
        <v>0</v>
      </c>
      <c r="K226" s="43" t="e">
        <f aca="false">VLOOKUP(A226,#REF!,2, )</f>
        <v>#VALUE!</v>
      </c>
      <c r="L226" s="32" t="n">
        <v>0</v>
      </c>
      <c r="M226" s="32" t="n">
        <v>0</v>
      </c>
      <c r="N226" s="32" t="n">
        <v>0</v>
      </c>
      <c r="O226" s="42" t="s">
        <v>11367</v>
      </c>
      <c r="P226" s="41"/>
      <c r="S226" s="60" t="n">
        <v>1607</v>
      </c>
      <c r="T226" s="42" t="n">
        <v>96</v>
      </c>
      <c r="V226" s="60" t="n">
        <v>1153</v>
      </c>
      <c r="W226" s="42" t="n">
        <v>0</v>
      </c>
      <c r="Y226" s="60" t="n">
        <v>1262</v>
      </c>
      <c r="Z226" s="42" t="n">
        <v>0</v>
      </c>
      <c r="AA226" s="60" t="n">
        <v>0</v>
      </c>
      <c r="AB226" s="60" t="n">
        <v>227.52</v>
      </c>
    </row>
    <row r="227" customFormat="false" ht="12.75" hidden="true" customHeight="true" outlineLevel="0" collapsed="false">
      <c r="A227" s="55" t="s">
        <v>12534</v>
      </c>
      <c r="B227" s="55" t="s">
        <v>77</v>
      </c>
      <c r="C227" s="55" t="s">
        <v>12535</v>
      </c>
      <c r="D227" s="32" t="n">
        <v>92200</v>
      </c>
      <c r="E227" s="32" t="s">
        <v>11393</v>
      </c>
      <c r="F227" s="32" t="s">
        <v>12536</v>
      </c>
      <c r="G227" s="55" t="s">
        <v>12537</v>
      </c>
      <c r="H227" s="55" t="s">
        <v>12538</v>
      </c>
      <c r="I227" s="32" t="n">
        <v>7</v>
      </c>
      <c r="J227" s="32" t="n">
        <v>0</v>
      </c>
      <c r="K227" s="43" t="e">
        <f aca="false">VLOOKUP(A227,#REF!,2, )</f>
        <v>#VALUE!</v>
      </c>
      <c r="L227" s="32" t="n">
        <v>1</v>
      </c>
      <c r="M227" s="32" t="n">
        <v>0</v>
      </c>
      <c r="N227" s="32" t="n">
        <v>0</v>
      </c>
      <c r="O227" s="42" t="s">
        <v>12539</v>
      </c>
      <c r="P227" s="41" t="n">
        <v>45248.6458333333</v>
      </c>
      <c r="R227" s="60" t="n">
        <v>334</v>
      </c>
      <c r="S227" s="60" t="n">
        <v>367</v>
      </c>
      <c r="T227" s="42" t="n">
        <v>0</v>
      </c>
      <c r="U227" s="60" t="n">
        <v>552</v>
      </c>
      <c r="V227" s="60" t="n">
        <v>98</v>
      </c>
      <c r="W227" s="42" t="n">
        <v>0</v>
      </c>
      <c r="X227" s="60" t="n">
        <v>217</v>
      </c>
      <c r="Y227" s="60" t="n">
        <v>47</v>
      </c>
      <c r="Z227" s="42" t="n">
        <v>0</v>
      </c>
      <c r="AA227" s="60" t="n">
        <v>217.43</v>
      </c>
      <c r="AB227" s="60" t="n">
        <v>221.42</v>
      </c>
      <c r="AD227" s="42" t="s">
        <v>11634</v>
      </c>
      <c r="AE227" s="42" t="s">
        <v>11384</v>
      </c>
    </row>
    <row r="228" customFormat="false" ht="12.75" hidden="true" customHeight="true" outlineLevel="0" collapsed="false">
      <c r="A228" s="55" t="s">
        <v>12540</v>
      </c>
      <c r="B228" s="55" t="s">
        <v>173</v>
      </c>
      <c r="C228" s="55" t="s">
        <v>12541</v>
      </c>
      <c r="D228" s="32" t="n">
        <v>75116</v>
      </c>
      <c r="E228" s="32" t="s">
        <v>55</v>
      </c>
      <c r="F228" s="32" t="s">
        <v>12542</v>
      </c>
      <c r="G228" s="55" t="s">
        <v>12543</v>
      </c>
      <c r="H228" s="55" t="s">
        <v>12544</v>
      </c>
      <c r="I228" s="32" t="n">
        <v>9</v>
      </c>
      <c r="J228" s="32" t="n">
        <v>0</v>
      </c>
      <c r="K228" s="43" t="e">
        <f aca="false">VLOOKUP(A228,#REF!,2, )</f>
        <v>#VALUE!</v>
      </c>
      <c r="L228" s="32" t="n">
        <v>0</v>
      </c>
      <c r="M228" s="32" t="n">
        <v>0</v>
      </c>
      <c r="N228" s="32" t="n">
        <v>0</v>
      </c>
      <c r="O228" s="42" t="s">
        <v>11367</v>
      </c>
      <c r="P228" s="41"/>
      <c r="S228" s="60" t="n">
        <v>224</v>
      </c>
      <c r="T228" s="42" t="n">
        <v>0</v>
      </c>
      <c r="W228" s="42" t="n">
        <v>0</v>
      </c>
      <c r="Y228" s="60" t="n">
        <v>253</v>
      </c>
      <c r="Z228" s="42" t="n">
        <v>0</v>
      </c>
      <c r="AA228" s="60" t="n">
        <v>0</v>
      </c>
      <c r="AB228" s="60" t="n">
        <v>220.38</v>
      </c>
      <c r="AD228" s="42" t="s">
        <v>12545</v>
      </c>
    </row>
    <row r="229" customFormat="false" ht="12.75" hidden="true" customHeight="true" outlineLevel="0" collapsed="false">
      <c r="A229" s="55" t="s">
        <v>12546</v>
      </c>
      <c r="B229" s="55" t="s">
        <v>197</v>
      </c>
      <c r="C229" s="55" t="s">
        <v>12547</v>
      </c>
      <c r="D229" s="32" t="n">
        <v>75017</v>
      </c>
      <c r="E229" s="32" t="s">
        <v>55</v>
      </c>
      <c r="F229" s="32" t="s">
        <v>12548</v>
      </c>
      <c r="G229" s="55" t="s">
        <v>12549</v>
      </c>
      <c r="H229" s="55" t="s">
        <v>12550</v>
      </c>
      <c r="I229" s="32" t="n">
        <v>9</v>
      </c>
      <c r="J229" s="32" t="n">
        <v>0</v>
      </c>
      <c r="K229" s="43" t="e">
        <f aca="false">VLOOKUP(A229,#REF!,2, )</f>
        <v>#VALUE!</v>
      </c>
      <c r="L229" s="32" t="n">
        <v>0</v>
      </c>
      <c r="M229" s="32" t="n">
        <v>0</v>
      </c>
      <c r="N229" s="32" t="n">
        <v>0</v>
      </c>
      <c r="O229" s="42" t="s">
        <v>11367</v>
      </c>
      <c r="P229" s="41"/>
      <c r="R229" s="60" t="n">
        <v>246</v>
      </c>
      <c r="S229" s="60" t="n">
        <v>393</v>
      </c>
      <c r="T229" s="42" t="n">
        <v>0</v>
      </c>
      <c r="U229" s="60" t="n">
        <v>268</v>
      </c>
      <c r="V229" s="60" t="n">
        <v>498</v>
      </c>
      <c r="W229" s="42" t="n">
        <v>0</v>
      </c>
      <c r="X229" s="60" t="n">
        <v>268</v>
      </c>
      <c r="Y229" s="60" t="n">
        <v>243</v>
      </c>
      <c r="Z229" s="42" t="n">
        <v>0</v>
      </c>
      <c r="AA229" s="60" t="n">
        <v>228.82</v>
      </c>
      <c r="AB229" s="60" t="n">
        <v>216.39</v>
      </c>
      <c r="AD229" s="42" t="s">
        <v>11466</v>
      </c>
    </row>
    <row r="230" customFormat="false" ht="12.75" hidden="true" customHeight="true" outlineLevel="0" collapsed="false">
      <c r="A230" s="55" t="s">
        <v>12551</v>
      </c>
      <c r="B230" s="55" t="s">
        <v>51</v>
      </c>
      <c r="C230" s="55" t="s">
        <v>12552</v>
      </c>
      <c r="D230" s="32" t="n">
        <v>75015</v>
      </c>
      <c r="E230" s="32" t="s">
        <v>55</v>
      </c>
      <c r="F230" s="32" t="s">
        <v>12553</v>
      </c>
      <c r="G230" s="55" t="s">
        <v>12554</v>
      </c>
      <c r="H230" s="55" t="s">
        <v>12555</v>
      </c>
      <c r="I230" s="32" t="n">
        <v>10</v>
      </c>
      <c r="J230" s="32" t="n">
        <v>0</v>
      </c>
      <c r="K230" s="43" t="e">
        <f aca="false">VLOOKUP(A230,#REF!,2, )</f>
        <v>#VALUE!</v>
      </c>
      <c r="L230" s="32" t="n">
        <v>0</v>
      </c>
      <c r="M230" s="32" t="n">
        <v>0</v>
      </c>
      <c r="N230" s="32" t="n">
        <v>0</v>
      </c>
      <c r="O230" s="42" t="s">
        <v>12556</v>
      </c>
      <c r="P230" s="41" t="n">
        <v>45264.4166666667</v>
      </c>
      <c r="R230" s="60" t="n">
        <v>100</v>
      </c>
      <c r="S230" s="60" t="n">
        <v>106</v>
      </c>
      <c r="T230" s="42" t="n">
        <v>0</v>
      </c>
      <c r="V230" s="60" t="n">
        <v>116</v>
      </c>
      <c r="W230" s="42" t="n">
        <v>0</v>
      </c>
      <c r="Y230" s="60" t="n">
        <v>116</v>
      </c>
      <c r="Z230" s="42" t="n">
        <v>0</v>
      </c>
      <c r="AA230" s="60" t="n">
        <v>0</v>
      </c>
      <c r="AB230" s="60" t="n">
        <v>189.67</v>
      </c>
    </row>
    <row r="231" customFormat="false" ht="12.75" hidden="true" customHeight="true" outlineLevel="0" collapsed="false">
      <c r="A231" s="55" t="s">
        <v>12557</v>
      </c>
      <c r="B231" s="55" t="s">
        <v>99</v>
      </c>
      <c r="C231" s="55" t="s">
        <v>12558</v>
      </c>
      <c r="D231" s="32" t="n">
        <v>75015</v>
      </c>
      <c r="E231" s="32" t="s">
        <v>55</v>
      </c>
      <c r="F231" s="32" t="s">
        <v>12559</v>
      </c>
      <c r="G231" s="55" t="s">
        <v>12560</v>
      </c>
      <c r="H231" s="55" t="s">
        <v>12561</v>
      </c>
      <c r="I231" s="32" t="n">
        <v>10</v>
      </c>
      <c r="J231" s="32" t="n">
        <v>0</v>
      </c>
      <c r="K231" s="43" t="e">
        <f aca="false">VLOOKUP(A231,#REF!,2, )</f>
        <v>#VALUE!</v>
      </c>
      <c r="L231" s="32" t="n">
        <v>0</v>
      </c>
      <c r="M231" s="32" t="n">
        <v>0</v>
      </c>
      <c r="N231" s="32" t="n">
        <v>0</v>
      </c>
      <c r="O231" s="42" t="s">
        <v>12562</v>
      </c>
      <c r="P231" s="41" t="n">
        <v>45168.6354166667</v>
      </c>
      <c r="R231" s="60" t="n">
        <v>51</v>
      </c>
      <c r="S231" s="60" t="n">
        <v>11</v>
      </c>
      <c r="T231" s="42" t="n">
        <v>0</v>
      </c>
      <c r="W231" s="42" t="n">
        <v>0</v>
      </c>
      <c r="Y231" s="60" t="n">
        <v>10</v>
      </c>
      <c r="Z231" s="42" t="n">
        <v>0</v>
      </c>
      <c r="AA231" s="60" t="n">
        <v>0</v>
      </c>
      <c r="AB231" s="60" t="n">
        <v>175.84</v>
      </c>
      <c r="AD231" s="42" t="s">
        <v>11375</v>
      </c>
    </row>
    <row r="232" customFormat="false" ht="12.75" hidden="true" customHeight="true" outlineLevel="0" collapsed="false">
      <c r="A232" s="55" t="s">
        <v>12563</v>
      </c>
      <c r="B232" s="55" t="s">
        <v>99</v>
      </c>
      <c r="C232" s="55" t="s">
        <v>12564</v>
      </c>
      <c r="D232" s="32" t="n">
        <v>75015</v>
      </c>
      <c r="E232" s="32" t="s">
        <v>55</v>
      </c>
      <c r="F232" s="32" t="s">
        <v>12565</v>
      </c>
      <c r="G232" s="55" t="s">
        <v>12566</v>
      </c>
      <c r="H232" s="55" t="s">
        <v>12567</v>
      </c>
      <c r="I232" s="32" t="n">
        <v>9</v>
      </c>
      <c r="J232" s="32" t="n">
        <v>0</v>
      </c>
      <c r="K232" s="43" t="e">
        <f aca="false">VLOOKUP(A232,#REF!,2, )</f>
        <v>#VALUE!</v>
      </c>
      <c r="L232" s="32" t="n">
        <v>0</v>
      </c>
      <c r="M232" s="32" t="n">
        <v>0</v>
      </c>
      <c r="N232" s="32" t="n">
        <v>0</v>
      </c>
      <c r="O232" s="42" t="s">
        <v>11367</v>
      </c>
      <c r="P232" s="41"/>
      <c r="R232" s="60" t="n">
        <v>775</v>
      </c>
      <c r="S232" s="60" t="n">
        <v>443</v>
      </c>
      <c r="T232" s="42" t="n">
        <v>0</v>
      </c>
      <c r="U232" s="60" t="n">
        <v>334</v>
      </c>
      <c r="V232" s="60" t="n">
        <v>278</v>
      </c>
      <c r="W232" s="42" t="n">
        <v>0</v>
      </c>
      <c r="X232" s="60" t="n">
        <v>334</v>
      </c>
      <c r="Y232" s="60" t="n">
        <v>352</v>
      </c>
      <c r="Z232" s="42" t="n">
        <v>0</v>
      </c>
      <c r="AA232" s="60" t="n">
        <v>0</v>
      </c>
      <c r="AB232" s="60" t="n">
        <v>167.42</v>
      </c>
      <c r="AD232" s="42" t="s">
        <v>11375</v>
      </c>
    </row>
    <row r="233" customFormat="false" ht="12.75" hidden="true" customHeight="true" outlineLevel="0" collapsed="false">
      <c r="A233" s="55" t="s">
        <v>12568</v>
      </c>
      <c r="B233" s="55" t="s">
        <v>62</v>
      </c>
      <c r="C233" s="55" t="s">
        <v>12569</v>
      </c>
      <c r="D233" s="32" t="n">
        <v>75017</v>
      </c>
      <c r="E233" s="32" t="s">
        <v>55</v>
      </c>
      <c r="F233" s="32" t="s">
        <v>12570</v>
      </c>
      <c r="G233" s="55" t="s">
        <v>12571</v>
      </c>
      <c r="H233" s="55" t="s">
        <v>12572</v>
      </c>
      <c r="I233" s="32" t="n">
        <v>10</v>
      </c>
      <c r="J233" s="32" t="n">
        <v>0</v>
      </c>
      <c r="K233" s="43" t="e">
        <f aca="false">VLOOKUP(A233,#REF!,2, )</f>
        <v>#VALUE!</v>
      </c>
      <c r="L233" s="32" t="n">
        <v>0</v>
      </c>
      <c r="M233" s="32" t="n">
        <v>0</v>
      </c>
      <c r="N233" s="32" t="n">
        <v>0</v>
      </c>
      <c r="O233" s="42" t="s">
        <v>11367</v>
      </c>
      <c r="P233" s="41"/>
      <c r="S233" s="60" t="n">
        <v>162</v>
      </c>
      <c r="T233" s="42" t="n">
        <v>0</v>
      </c>
      <c r="V233" s="60" t="n">
        <v>321</v>
      </c>
      <c r="W233" s="42" t="n">
        <v>0</v>
      </c>
      <c r="Y233" s="60" t="n">
        <v>321</v>
      </c>
      <c r="Z233" s="42" t="n">
        <v>0</v>
      </c>
      <c r="AA233" s="60" t="n">
        <v>0</v>
      </c>
      <c r="AB233" s="60" t="n">
        <v>162.96</v>
      </c>
      <c r="AD233" s="42" t="s">
        <v>11466</v>
      </c>
    </row>
    <row r="234" customFormat="false" ht="12.75" hidden="true" customHeight="true" outlineLevel="0" collapsed="false">
      <c r="A234" s="55" t="s">
        <v>12573</v>
      </c>
      <c r="B234" s="55" t="s">
        <v>51</v>
      </c>
      <c r="C234" s="55" t="s">
        <v>12574</v>
      </c>
      <c r="D234" s="32" t="n">
        <v>75015</v>
      </c>
      <c r="E234" s="32" t="s">
        <v>55</v>
      </c>
      <c r="F234" s="32" t="s">
        <v>12575</v>
      </c>
      <c r="G234" s="55" t="s">
        <v>12576</v>
      </c>
      <c r="H234" s="55" t="s">
        <v>12577</v>
      </c>
      <c r="I234" s="32" t="n">
        <v>10</v>
      </c>
      <c r="J234" s="32" t="n">
        <v>0</v>
      </c>
      <c r="K234" s="43" t="e">
        <f aca="false">VLOOKUP(A234,#REF!,2, )</f>
        <v>#VALUE!</v>
      </c>
      <c r="L234" s="32" t="n">
        <v>1</v>
      </c>
      <c r="M234" s="32" t="n">
        <v>0</v>
      </c>
      <c r="N234" s="32" t="n">
        <v>0</v>
      </c>
      <c r="O234" s="42" t="s">
        <v>11367</v>
      </c>
      <c r="P234" s="41"/>
      <c r="R234" s="60" t="n">
        <v>334</v>
      </c>
      <c r="S234" s="60" t="n">
        <v>47</v>
      </c>
      <c r="T234" s="42" t="n">
        <v>0</v>
      </c>
      <c r="V234" s="60" t="n">
        <v>99</v>
      </c>
      <c r="W234" s="42" t="n">
        <v>0</v>
      </c>
      <c r="Y234" s="60" t="n">
        <v>99</v>
      </c>
      <c r="Z234" s="42" t="n">
        <v>0</v>
      </c>
      <c r="AA234" s="60" t="n">
        <v>0</v>
      </c>
      <c r="AB234" s="60" t="n">
        <v>158.43</v>
      </c>
      <c r="AD234" s="42" t="s">
        <v>11375</v>
      </c>
    </row>
    <row r="235" customFormat="false" ht="12.75" hidden="true" customHeight="true" outlineLevel="0" collapsed="false">
      <c r="A235" s="55" t="s">
        <v>12578</v>
      </c>
      <c r="B235" s="55" t="s">
        <v>62</v>
      </c>
      <c r="C235" s="55" t="s">
        <v>12579</v>
      </c>
      <c r="D235" s="32" t="n">
        <v>75017</v>
      </c>
      <c r="E235" s="32" t="s">
        <v>55</v>
      </c>
      <c r="F235" s="32" t="s">
        <v>12580</v>
      </c>
      <c r="G235" s="55" t="s">
        <v>12581</v>
      </c>
      <c r="H235" s="55" t="s">
        <v>12582</v>
      </c>
      <c r="I235" s="32" t="n">
        <v>10</v>
      </c>
      <c r="J235" s="32" t="n">
        <v>0</v>
      </c>
      <c r="K235" s="43" t="e">
        <f aca="false">VLOOKUP(A235,#REF!,2, )</f>
        <v>#VALUE!</v>
      </c>
      <c r="L235" s="32" t="n">
        <v>1</v>
      </c>
      <c r="M235" s="32" t="n">
        <v>0</v>
      </c>
      <c r="N235" s="32" t="n">
        <v>0</v>
      </c>
      <c r="O235" s="42" t="s">
        <v>11367</v>
      </c>
      <c r="P235" s="41"/>
      <c r="S235" s="60" t="n">
        <v>171</v>
      </c>
      <c r="T235" s="42" t="n">
        <v>0</v>
      </c>
      <c r="V235" s="60" t="n">
        <v>120</v>
      </c>
      <c r="W235" s="42" t="n">
        <v>0</v>
      </c>
      <c r="Y235" s="60" t="n">
        <v>182</v>
      </c>
      <c r="Z235" s="42" t="n">
        <v>0</v>
      </c>
      <c r="AA235" s="60" t="n">
        <v>19.62</v>
      </c>
      <c r="AB235" s="60" t="n">
        <v>153.37</v>
      </c>
      <c r="AD235" s="42" t="s">
        <v>11560</v>
      </c>
    </row>
    <row r="236" customFormat="false" ht="17.25" hidden="true" customHeight="true" outlineLevel="0" collapsed="false">
      <c r="A236" s="55" t="s">
        <v>12583</v>
      </c>
      <c r="B236" s="55" t="s">
        <v>62</v>
      </c>
      <c r="C236" s="55" t="s">
        <v>12584</v>
      </c>
      <c r="D236" s="32" t="n">
        <v>75017</v>
      </c>
      <c r="E236" s="32" t="s">
        <v>55</v>
      </c>
      <c r="F236" s="32" t="s">
        <v>12585</v>
      </c>
      <c r="G236" s="55" t="s">
        <v>12586</v>
      </c>
      <c r="H236" s="55" t="s">
        <v>12587</v>
      </c>
      <c r="I236" s="32" t="n">
        <v>9</v>
      </c>
      <c r="J236" s="32" t="n">
        <v>0</v>
      </c>
      <c r="K236" s="43" t="e">
        <f aca="false">VLOOKUP(A236,#REF!,2, )</f>
        <v>#VALUE!</v>
      </c>
      <c r="L236" s="32" t="n">
        <v>0</v>
      </c>
      <c r="M236" s="32" t="n">
        <v>0</v>
      </c>
      <c r="N236" s="32" t="n">
        <v>0</v>
      </c>
      <c r="O236" s="42" t="s">
        <v>11367</v>
      </c>
      <c r="P236" s="41"/>
      <c r="R236" s="60" t="n">
        <v>17</v>
      </c>
      <c r="S236" s="60" t="n">
        <v>758</v>
      </c>
      <c r="T236" s="42" t="n">
        <v>0</v>
      </c>
      <c r="U236" s="60" t="n">
        <v>21</v>
      </c>
      <c r="V236" s="60" t="n">
        <v>789</v>
      </c>
      <c r="W236" s="42" t="n">
        <v>0</v>
      </c>
      <c r="X236" s="60" t="n">
        <v>43</v>
      </c>
      <c r="Y236" s="60" t="n">
        <v>827</v>
      </c>
      <c r="Z236" s="42" t="n">
        <v>0</v>
      </c>
      <c r="AA236" s="60" t="n">
        <v>84.76</v>
      </c>
      <c r="AB236" s="60" t="n">
        <v>152.07</v>
      </c>
      <c r="AD236" s="42" t="s">
        <v>11375</v>
      </c>
    </row>
    <row r="237" customFormat="false" ht="12.75" hidden="true" customHeight="true" outlineLevel="0" collapsed="false">
      <c r="A237" s="55" t="s">
        <v>12588</v>
      </c>
      <c r="B237" s="55" t="s">
        <v>51</v>
      </c>
      <c r="C237" s="55" t="s">
        <v>12589</v>
      </c>
      <c r="D237" s="32" t="n">
        <v>75015</v>
      </c>
      <c r="E237" s="32" t="s">
        <v>55</v>
      </c>
      <c r="F237" s="32" t="s">
        <v>12590</v>
      </c>
      <c r="G237" s="55" t="s">
        <v>12591</v>
      </c>
      <c r="H237" s="55" t="s">
        <v>12592</v>
      </c>
      <c r="I237" s="32" t="n">
        <v>10</v>
      </c>
      <c r="J237" s="32" t="n">
        <v>0</v>
      </c>
      <c r="K237" s="43" t="e">
        <f aca="false">VLOOKUP(A237,#REF!,2, )</f>
        <v>#VALUE!</v>
      </c>
      <c r="L237" s="32" t="n">
        <v>0</v>
      </c>
      <c r="M237" s="32" t="n">
        <v>0</v>
      </c>
      <c r="N237" s="32" t="n">
        <v>0</v>
      </c>
      <c r="O237" s="42" t="s">
        <v>11367</v>
      </c>
      <c r="P237" s="41"/>
      <c r="R237" s="60" t="n">
        <v>42</v>
      </c>
      <c r="S237" s="60" t="n">
        <v>186</v>
      </c>
      <c r="T237" s="42" t="n">
        <v>0</v>
      </c>
      <c r="U237" s="60" t="n">
        <v>42</v>
      </c>
      <c r="V237" s="60" t="n">
        <v>267</v>
      </c>
      <c r="W237" s="42" t="n">
        <v>0</v>
      </c>
      <c r="X237" s="60" t="n">
        <v>42</v>
      </c>
      <c r="Y237" s="60" t="n">
        <v>138</v>
      </c>
      <c r="Z237" s="42" t="n">
        <v>0</v>
      </c>
      <c r="AA237" s="60" t="n">
        <v>63.56</v>
      </c>
      <c r="AB237" s="60" t="n">
        <v>138.2</v>
      </c>
      <c r="AD237" s="42" t="s">
        <v>11375</v>
      </c>
    </row>
    <row r="238" customFormat="false" ht="12.75" hidden="true" customHeight="true" outlineLevel="0" collapsed="false">
      <c r="A238" s="55" t="s">
        <v>12593</v>
      </c>
      <c r="B238" s="55" t="s">
        <v>99</v>
      </c>
      <c r="C238" s="55" t="s">
        <v>12594</v>
      </c>
      <c r="D238" s="32" t="n">
        <v>75015</v>
      </c>
      <c r="E238" s="32" t="s">
        <v>55</v>
      </c>
      <c r="F238" s="32" t="s">
        <v>12595</v>
      </c>
      <c r="G238" s="55" t="s">
        <v>12596</v>
      </c>
      <c r="H238" s="55" t="s">
        <v>12597</v>
      </c>
      <c r="I238" s="32" t="n">
        <v>10</v>
      </c>
      <c r="J238" s="32" t="n">
        <v>0</v>
      </c>
      <c r="K238" s="43" t="e">
        <f aca="false">VLOOKUP(A238,#REF!,2, )</f>
        <v>#VALUE!</v>
      </c>
      <c r="L238" s="32" t="n">
        <v>0</v>
      </c>
      <c r="M238" s="32" t="n">
        <v>0</v>
      </c>
      <c r="N238" s="32" t="n">
        <v>0</v>
      </c>
      <c r="O238" s="42" t="s">
        <v>11367</v>
      </c>
      <c r="P238" s="41"/>
      <c r="R238" s="60" t="n">
        <v>21</v>
      </c>
      <c r="S238" s="60" t="n">
        <v>56</v>
      </c>
      <c r="T238" s="42" t="n">
        <v>0</v>
      </c>
      <c r="U238" s="60" t="n">
        <v>64</v>
      </c>
      <c r="V238" s="60" t="n">
        <v>194</v>
      </c>
      <c r="W238" s="42" t="n">
        <v>0</v>
      </c>
      <c r="X238" s="60" t="n">
        <v>64</v>
      </c>
      <c r="Y238" s="60" t="n">
        <v>138</v>
      </c>
      <c r="Z238" s="42" t="n">
        <v>0</v>
      </c>
      <c r="AA238" s="60" t="n">
        <v>63.56</v>
      </c>
      <c r="AB238" s="60" t="n">
        <v>138.2</v>
      </c>
      <c r="AD238" s="42" t="s">
        <v>11375</v>
      </c>
    </row>
    <row r="239" customFormat="false" ht="17.25" hidden="true" customHeight="true" outlineLevel="0" collapsed="false">
      <c r="A239" s="55" t="s">
        <v>12598</v>
      </c>
      <c r="B239" s="55" t="s">
        <v>173</v>
      </c>
      <c r="C239" s="55" t="s">
        <v>12599</v>
      </c>
      <c r="D239" s="32" t="n">
        <v>75116</v>
      </c>
      <c r="E239" s="32" t="s">
        <v>55</v>
      </c>
      <c r="F239" s="32" t="s">
        <v>12600</v>
      </c>
      <c r="G239" s="55" t="s">
        <v>12601</v>
      </c>
      <c r="H239" s="55" t="s">
        <v>12602</v>
      </c>
      <c r="I239" s="32" t="n">
        <v>9</v>
      </c>
      <c r="J239" s="32" t="n">
        <v>0</v>
      </c>
      <c r="K239" s="43" t="e">
        <f aca="false">VLOOKUP(A239,#REF!,2, )</f>
        <v>#VALUE!</v>
      </c>
      <c r="L239" s="32" t="n">
        <v>0</v>
      </c>
      <c r="M239" s="32" t="n">
        <v>0</v>
      </c>
      <c r="N239" s="32" t="n">
        <v>0</v>
      </c>
      <c r="O239" s="42" t="s">
        <v>11367</v>
      </c>
      <c r="P239" s="41"/>
      <c r="S239" s="60" t="n">
        <v>237</v>
      </c>
      <c r="T239" s="42" t="n">
        <v>0</v>
      </c>
      <c r="V239" s="60" t="n">
        <v>237</v>
      </c>
      <c r="W239" s="42" t="n">
        <v>0</v>
      </c>
      <c r="Y239" s="60" t="n">
        <v>138</v>
      </c>
      <c r="Z239" s="42" t="n">
        <v>0</v>
      </c>
      <c r="AA239" s="60" t="n">
        <v>0</v>
      </c>
      <c r="AB239" s="60" t="n">
        <v>138.2</v>
      </c>
      <c r="AD239" s="42" t="s">
        <v>11375</v>
      </c>
    </row>
    <row r="240" customFormat="false" ht="17.25" hidden="true" customHeight="true" outlineLevel="0" collapsed="false">
      <c r="A240" s="55" t="s">
        <v>12598</v>
      </c>
      <c r="B240" s="55" t="s">
        <v>77</v>
      </c>
      <c r="C240" s="55" t="s">
        <v>12603</v>
      </c>
      <c r="D240" s="32" t="n">
        <v>92200</v>
      </c>
      <c r="E240" s="32" t="s">
        <v>11393</v>
      </c>
      <c r="F240" s="32" t="s">
        <v>12604</v>
      </c>
      <c r="G240" s="55" t="s">
        <v>12605</v>
      </c>
      <c r="H240" s="55" t="s">
        <v>12606</v>
      </c>
      <c r="I240" s="32" t="n">
        <v>9</v>
      </c>
      <c r="J240" s="32" t="n">
        <v>0</v>
      </c>
      <c r="K240" s="43" t="e">
        <f aca="false">VLOOKUP(A240,#REF!,2, )</f>
        <v>#VALUE!</v>
      </c>
      <c r="L240" s="32" t="n">
        <v>0</v>
      </c>
      <c r="M240" s="32" t="n">
        <v>0</v>
      </c>
      <c r="N240" s="32" t="n">
        <v>0</v>
      </c>
      <c r="O240" s="42" t="s">
        <v>11367</v>
      </c>
      <c r="P240" s="41"/>
      <c r="T240" s="42" t="n">
        <v>0</v>
      </c>
      <c r="W240" s="42" t="n">
        <v>0</v>
      </c>
      <c r="Z240" s="42" t="n">
        <v>0</v>
      </c>
      <c r="AA240" s="60" t="n">
        <v>0</v>
      </c>
      <c r="AB240" s="60" t="n">
        <v>138.2</v>
      </c>
      <c r="AD240" s="42" t="s">
        <v>11375</v>
      </c>
    </row>
    <row r="241" customFormat="false" ht="17.25" hidden="true" customHeight="true" outlineLevel="0" collapsed="false">
      <c r="A241" s="55" t="s">
        <v>12607</v>
      </c>
      <c r="B241" s="55" t="s">
        <v>435</v>
      </c>
      <c r="C241" s="55" t="s">
        <v>12608</v>
      </c>
      <c r="D241" s="32" t="n">
        <v>75016</v>
      </c>
      <c r="E241" s="32" t="s">
        <v>55</v>
      </c>
      <c r="F241" s="32" t="s">
        <v>12609</v>
      </c>
      <c r="G241" s="55" t="s">
        <v>12610</v>
      </c>
      <c r="H241" s="55" t="s">
        <v>12611</v>
      </c>
      <c r="I241" s="32" t="n">
        <v>3</v>
      </c>
      <c r="J241" s="32" t="n">
        <v>0</v>
      </c>
      <c r="K241" s="43" t="e">
        <f aca="false">VLOOKUP(A241,#REF!,2, )</f>
        <v>#VALUE!</v>
      </c>
      <c r="L241" s="32" t="n">
        <v>0</v>
      </c>
      <c r="M241" s="32" t="n">
        <v>0</v>
      </c>
      <c r="N241" s="32" t="n">
        <v>0</v>
      </c>
      <c r="O241" s="42" t="s">
        <v>11367</v>
      </c>
      <c r="P241" s="41"/>
      <c r="T241" s="42" t="n">
        <v>0</v>
      </c>
      <c r="W241" s="42" t="n">
        <v>0</v>
      </c>
      <c r="Z241" s="42" t="n">
        <v>0</v>
      </c>
      <c r="AA241" s="60" t="n">
        <v>0</v>
      </c>
      <c r="AB241" s="60" t="n">
        <v>121.89</v>
      </c>
      <c r="AD241" s="42" t="s">
        <v>12612</v>
      </c>
    </row>
    <row r="242" customFormat="false" ht="12.75" hidden="true" customHeight="true" outlineLevel="0" collapsed="false">
      <c r="A242" s="55" t="s">
        <v>12613</v>
      </c>
      <c r="B242" s="55" t="s">
        <v>62</v>
      </c>
      <c r="C242" s="55" t="s">
        <v>12614</v>
      </c>
      <c r="D242" s="32" t="n">
        <v>75017</v>
      </c>
      <c r="E242" s="32" t="s">
        <v>55</v>
      </c>
      <c r="F242" s="32" t="s">
        <v>12615</v>
      </c>
      <c r="G242" s="55" t="s">
        <v>12616</v>
      </c>
      <c r="H242" s="55" t="s">
        <v>12617</v>
      </c>
      <c r="I242" s="32" t="n">
        <v>10</v>
      </c>
      <c r="J242" s="32" t="n">
        <v>0</v>
      </c>
      <c r="K242" s="43" t="e">
        <f aca="false">VLOOKUP(A242,#REF!,2, )</f>
        <v>#VALUE!</v>
      </c>
      <c r="L242" s="32" t="n">
        <v>0</v>
      </c>
      <c r="M242" s="32" t="n">
        <v>0</v>
      </c>
      <c r="N242" s="32" t="n">
        <v>0</v>
      </c>
      <c r="O242" s="42" t="s">
        <v>11367</v>
      </c>
      <c r="P242" s="41"/>
      <c r="R242" s="60" t="n">
        <v>702</v>
      </c>
      <c r="S242" s="60" t="n">
        <v>285</v>
      </c>
      <c r="T242" s="42" t="n">
        <v>0</v>
      </c>
      <c r="U242" s="60" t="n">
        <v>602</v>
      </c>
      <c r="V242" s="60" t="n">
        <v>332</v>
      </c>
      <c r="W242" s="42" t="n">
        <v>0</v>
      </c>
      <c r="Y242" s="60" t="n">
        <v>118</v>
      </c>
      <c r="Z242" s="42" t="n">
        <v>0</v>
      </c>
      <c r="AA242" s="60" t="n">
        <v>1731.84</v>
      </c>
      <c r="AB242" s="60" t="n">
        <v>118.02</v>
      </c>
      <c r="AD242" s="42" t="s">
        <v>11683</v>
      </c>
    </row>
    <row r="243" customFormat="false" ht="12.75" hidden="true" customHeight="true" outlineLevel="0" collapsed="false">
      <c r="A243" s="55" t="s">
        <v>12618</v>
      </c>
      <c r="B243" s="55" t="s">
        <v>572</v>
      </c>
      <c r="C243" s="55" t="s">
        <v>12619</v>
      </c>
      <c r="D243" s="32" t="n">
        <v>75008</v>
      </c>
      <c r="E243" s="32" t="s">
        <v>55</v>
      </c>
      <c r="F243" s="32" t="s">
        <v>12620</v>
      </c>
      <c r="G243" s="55" t="s">
        <v>12516</v>
      </c>
      <c r="H243" s="55" t="s">
        <v>12517</v>
      </c>
      <c r="I243" s="32" t="n">
        <v>9</v>
      </c>
      <c r="J243" s="32" t="n">
        <v>0</v>
      </c>
      <c r="K243" s="43" t="e">
        <f aca="false">VLOOKUP(A243,#REF!,2, )</f>
        <v>#VALUE!</v>
      </c>
      <c r="L243" s="32" t="n">
        <v>0</v>
      </c>
      <c r="M243" s="32" t="n">
        <v>0</v>
      </c>
      <c r="N243" s="32" t="n">
        <v>0</v>
      </c>
      <c r="O243" s="42" t="s">
        <v>11367</v>
      </c>
      <c r="P243" s="41"/>
      <c r="S243" s="60" t="n">
        <v>138</v>
      </c>
      <c r="T243" s="42" t="n">
        <v>0</v>
      </c>
      <c r="V243" s="60" t="n">
        <v>143</v>
      </c>
      <c r="W243" s="42" t="n">
        <v>0</v>
      </c>
      <c r="Y243" s="60" t="n">
        <v>112</v>
      </c>
      <c r="Z243" s="42" t="n">
        <v>0</v>
      </c>
      <c r="AA243" s="60" t="n">
        <v>0</v>
      </c>
      <c r="AB243" s="60" t="n">
        <v>117.69</v>
      </c>
    </row>
    <row r="244" customFormat="false" ht="12.75" hidden="true" customHeight="true" outlineLevel="0" collapsed="false">
      <c r="A244" s="55" t="s">
        <v>12621</v>
      </c>
      <c r="B244" s="55" t="s">
        <v>119</v>
      </c>
      <c r="C244" s="55" t="s">
        <v>12622</v>
      </c>
      <c r="D244" s="32" t="n">
        <v>75007</v>
      </c>
      <c r="E244" s="32" t="s">
        <v>55</v>
      </c>
      <c r="F244" s="32" t="s">
        <v>12623</v>
      </c>
      <c r="G244" s="55" t="s">
        <v>12624</v>
      </c>
      <c r="H244" s="55" t="s">
        <v>12625</v>
      </c>
      <c r="I244" s="32" t="n">
        <v>9</v>
      </c>
      <c r="J244" s="32" t="n">
        <v>0</v>
      </c>
      <c r="K244" s="43" t="e">
        <f aca="false">VLOOKUP(A244,#REF!,2, )</f>
        <v>#VALUE!</v>
      </c>
      <c r="L244" s="32" t="n">
        <v>0</v>
      </c>
      <c r="M244" s="32" t="n">
        <v>0</v>
      </c>
      <c r="N244" s="32" t="n">
        <v>0</v>
      </c>
      <c r="O244" s="42" t="s">
        <v>11367</v>
      </c>
      <c r="P244" s="41"/>
      <c r="R244" s="60" t="n">
        <v>89</v>
      </c>
      <c r="S244" s="60" t="n">
        <v>56</v>
      </c>
      <c r="T244" s="42" t="n">
        <v>0</v>
      </c>
      <c r="U244" s="60" t="n">
        <v>173</v>
      </c>
      <c r="V244" s="60" t="n">
        <v>114</v>
      </c>
      <c r="W244" s="42" t="n">
        <v>0</v>
      </c>
      <c r="X244" s="60" t="n">
        <v>256</v>
      </c>
      <c r="Y244" s="60" t="n">
        <v>114</v>
      </c>
      <c r="Z244" s="42" t="n">
        <v>0</v>
      </c>
      <c r="AA244" s="60" t="n">
        <v>167.26</v>
      </c>
      <c r="AB244" s="60" t="n">
        <v>113.66</v>
      </c>
    </row>
    <row r="245" customFormat="false" ht="12.75" hidden="true" customHeight="true" outlineLevel="0" collapsed="false">
      <c r="A245" s="55" t="s">
        <v>12626</v>
      </c>
      <c r="B245" s="55" t="s">
        <v>572</v>
      </c>
      <c r="C245" s="55" t="s">
        <v>12627</v>
      </c>
      <c r="D245" s="32" t="n">
        <v>75008</v>
      </c>
      <c r="E245" s="32" t="s">
        <v>55</v>
      </c>
      <c r="F245" s="32" t="s">
        <v>12628</v>
      </c>
      <c r="G245" s="55" t="s">
        <v>12629</v>
      </c>
      <c r="H245" s="55" t="s">
        <v>12630</v>
      </c>
      <c r="I245" s="32" t="n">
        <v>10</v>
      </c>
      <c r="J245" s="32" t="n">
        <v>0</v>
      </c>
      <c r="K245" s="43" t="e">
        <f aca="false">VLOOKUP(A245,#REF!,2, )</f>
        <v>#VALUE!</v>
      </c>
      <c r="L245" s="32" t="n">
        <v>0</v>
      </c>
      <c r="M245" s="32" t="n">
        <v>0</v>
      </c>
      <c r="N245" s="32" t="n">
        <v>0</v>
      </c>
      <c r="O245" s="42" t="s">
        <v>11367</v>
      </c>
      <c r="P245" s="41"/>
      <c r="S245" s="60" t="n">
        <v>20</v>
      </c>
      <c r="T245" s="42" t="n">
        <v>0</v>
      </c>
      <c r="V245" s="60" t="n">
        <v>98</v>
      </c>
      <c r="W245" s="42" t="n">
        <v>0</v>
      </c>
      <c r="Y245" s="60" t="n">
        <v>105</v>
      </c>
      <c r="Z245" s="42" t="n">
        <v>0</v>
      </c>
      <c r="AA245" s="60" t="n">
        <v>0</v>
      </c>
      <c r="AB245" s="60" t="n">
        <v>97.74</v>
      </c>
      <c r="AD245" s="42" t="s">
        <v>11501</v>
      </c>
    </row>
    <row r="246" customFormat="false" ht="17.25" hidden="true" customHeight="true" outlineLevel="0" collapsed="false">
      <c r="A246" s="55" t="s">
        <v>12631</v>
      </c>
      <c r="B246" s="55" t="s">
        <v>77</v>
      </c>
      <c r="C246" s="55" t="s">
        <v>12632</v>
      </c>
      <c r="D246" s="32" t="n">
        <v>92200</v>
      </c>
      <c r="E246" s="32" t="s">
        <v>11393</v>
      </c>
      <c r="F246" s="32" t="s">
        <v>12633</v>
      </c>
      <c r="G246" s="55" t="s">
        <v>12634</v>
      </c>
      <c r="H246" s="55" t="s">
        <v>12635</v>
      </c>
      <c r="I246" s="32" t="n">
        <v>10</v>
      </c>
      <c r="J246" s="32" t="n">
        <v>0</v>
      </c>
      <c r="K246" s="43" t="e">
        <f aca="false">VLOOKUP(A246,#REF!,2, )</f>
        <v>#VALUE!</v>
      </c>
      <c r="L246" s="32" t="n">
        <v>0</v>
      </c>
      <c r="M246" s="32" t="n">
        <v>0</v>
      </c>
      <c r="N246" s="32" t="n">
        <v>0</v>
      </c>
      <c r="O246" s="42" t="s">
        <v>11367</v>
      </c>
      <c r="P246" s="41"/>
      <c r="R246" s="60" t="n">
        <v>98</v>
      </c>
      <c r="S246" s="60" t="n">
        <v>177</v>
      </c>
      <c r="T246" s="42" t="n">
        <v>0</v>
      </c>
      <c r="U246" s="60" t="n">
        <v>216</v>
      </c>
      <c r="V246" s="60" t="n">
        <v>202</v>
      </c>
      <c r="W246" s="42" t="n">
        <v>0</v>
      </c>
      <c r="X246" s="60" t="n">
        <v>177</v>
      </c>
      <c r="Y246" s="60" t="n">
        <v>150</v>
      </c>
      <c r="Z246" s="42" t="n">
        <v>0</v>
      </c>
      <c r="AA246" s="60" t="n">
        <v>19.62</v>
      </c>
      <c r="AB246" s="60" t="n">
        <v>84.44</v>
      </c>
      <c r="AD246" s="42" t="s">
        <v>11560</v>
      </c>
    </row>
    <row r="247" customFormat="false" ht="12.75" hidden="true" customHeight="true" outlineLevel="0" collapsed="false">
      <c r="A247" s="55" t="s">
        <v>12636</v>
      </c>
      <c r="B247" s="55" t="s">
        <v>99</v>
      </c>
      <c r="C247" s="55" t="s">
        <v>12637</v>
      </c>
      <c r="D247" s="32" t="n">
        <v>75015</v>
      </c>
      <c r="E247" s="32" t="s">
        <v>55</v>
      </c>
      <c r="F247" s="32" t="s">
        <v>12638</v>
      </c>
      <c r="G247" s="55" t="s">
        <v>12639</v>
      </c>
      <c r="H247" s="55" t="s">
        <v>12640</v>
      </c>
      <c r="I247" s="32" t="n">
        <v>5</v>
      </c>
      <c r="J247" s="32" t="n">
        <v>0</v>
      </c>
      <c r="K247" s="43" t="e">
        <f aca="false">VLOOKUP(A247,#REF!,2, )</f>
        <v>#VALUE!</v>
      </c>
      <c r="L247" s="32" t="n">
        <v>1</v>
      </c>
      <c r="M247" s="32" t="n">
        <v>0</v>
      </c>
      <c r="N247" s="32" t="n">
        <v>0</v>
      </c>
      <c r="O247" s="42" t="s">
        <v>11367</v>
      </c>
      <c r="P247" s="41"/>
      <c r="S247" s="60" t="n">
        <v>1268</v>
      </c>
      <c r="T247" s="42" t="n">
        <v>0</v>
      </c>
      <c r="V247" s="60" t="n">
        <v>1268</v>
      </c>
      <c r="W247" s="42" t="n">
        <v>0</v>
      </c>
      <c r="Y247" s="60" t="n">
        <v>648</v>
      </c>
      <c r="Z247" s="42" t="n">
        <v>0</v>
      </c>
      <c r="AA247" s="60" t="n">
        <v>0</v>
      </c>
      <c r="AB247" s="60" t="n">
        <v>69.1</v>
      </c>
      <c r="AD247" s="42" t="s">
        <v>11560</v>
      </c>
    </row>
    <row r="248" customFormat="false" ht="12.75" hidden="true" customHeight="true" outlineLevel="0" collapsed="false">
      <c r="A248" s="55" t="s">
        <v>12641</v>
      </c>
      <c r="B248" s="55" t="s">
        <v>119</v>
      </c>
      <c r="C248" s="55" t="s">
        <v>12642</v>
      </c>
      <c r="D248" s="32" t="n">
        <v>75007</v>
      </c>
      <c r="E248" s="32" t="s">
        <v>55</v>
      </c>
      <c r="F248" s="32" t="s">
        <v>12643</v>
      </c>
      <c r="G248" s="55" t="s">
        <v>12644</v>
      </c>
      <c r="H248" s="55" t="s">
        <v>12645</v>
      </c>
      <c r="I248" s="32" t="n">
        <v>10</v>
      </c>
      <c r="J248" s="32" t="n">
        <v>0</v>
      </c>
      <c r="K248" s="43" t="e">
        <f aca="false">VLOOKUP(A248,#REF!,2, )</f>
        <v>#VALUE!</v>
      </c>
      <c r="L248" s="32" t="n">
        <v>0</v>
      </c>
      <c r="M248" s="32" t="n">
        <v>0</v>
      </c>
      <c r="N248" s="32" t="n">
        <v>0</v>
      </c>
      <c r="O248" s="42" t="s">
        <v>11367</v>
      </c>
      <c r="P248" s="41"/>
      <c r="R248" s="60" t="n">
        <v>119</v>
      </c>
      <c r="S248" s="60" t="n">
        <v>224</v>
      </c>
      <c r="T248" s="42" t="n">
        <v>0</v>
      </c>
      <c r="U248" s="60" t="n">
        <v>78</v>
      </c>
      <c r="V248" s="60" t="n">
        <v>350</v>
      </c>
      <c r="W248" s="42" t="n">
        <v>0</v>
      </c>
      <c r="X248" s="60" t="n">
        <v>39</v>
      </c>
      <c r="Y248" s="60" t="n">
        <v>266</v>
      </c>
      <c r="Z248" s="42" t="n">
        <v>0</v>
      </c>
      <c r="AA248" s="60" t="n">
        <v>0</v>
      </c>
      <c r="AB248" s="60" t="n">
        <v>68.2</v>
      </c>
      <c r="AD248" s="42" t="s">
        <v>11560</v>
      </c>
    </row>
    <row r="249" customFormat="false" ht="17.25" hidden="true" customHeight="true" outlineLevel="0" collapsed="false">
      <c r="A249" s="55" t="s">
        <v>12646</v>
      </c>
      <c r="B249" s="55" t="s">
        <v>435</v>
      </c>
      <c r="C249" s="55" t="s">
        <v>12647</v>
      </c>
      <c r="D249" s="32" t="n">
        <v>75016</v>
      </c>
      <c r="E249" s="32" t="s">
        <v>55</v>
      </c>
      <c r="F249" s="32" t="s">
        <v>12648</v>
      </c>
      <c r="G249" s="55" t="s">
        <v>12649</v>
      </c>
      <c r="H249" s="55" t="s">
        <v>12650</v>
      </c>
      <c r="I249" s="32" t="n">
        <v>5</v>
      </c>
      <c r="J249" s="32" t="n">
        <v>0</v>
      </c>
      <c r="K249" s="43" t="e">
        <f aca="false">VLOOKUP(A249,#REF!,2, )</f>
        <v>#VALUE!</v>
      </c>
      <c r="L249" s="32" t="n">
        <v>0</v>
      </c>
      <c r="M249" s="32" t="n">
        <v>0</v>
      </c>
      <c r="N249" s="32" t="n">
        <v>0</v>
      </c>
      <c r="O249" s="42" t="s">
        <v>11367</v>
      </c>
      <c r="P249" s="41"/>
      <c r="R249" s="60" t="n">
        <v>3535</v>
      </c>
      <c r="S249" s="60" t="n">
        <v>1540</v>
      </c>
      <c r="T249" s="42" t="n">
        <v>102</v>
      </c>
      <c r="U249" s="60" t="n">
        <v>1896</v>
      </c>
      <c r="V249" s="60" t="n">
        <v>783</v>
      </c>
      <c r="W249" s="42" t="n">
        <v>0</v>
      </c>
      <c r="X249" s="60" t="n">
        <v>1093</v>
      </c>
      <c r="Y249" s="60" t="n">
        <v>480</v>
      </c>
      <c r="Z249" s="42" t="n">
        <v>0</v>
      </c>
      <c r="AA249" s="60" t="n">
        <v>0</v>
      </c>
      <c r="AB249" s="60" t="n">
        <v>0</v>
      </c>
      <c r="AE249" s="42" t="s">
        <v>11513</v>
      </c>
    </row>
    <row r="250" customFormat="false" ht="12.75" hidden="true" customHeight="true" outlineLevel="0" collapsed="false">
      <c r="A250" s="55" t="s">
        <v>12651</v>
      </c>
      <c r="B250" s="55" t="s">
        <v>233</v>
      </c>
      <c r="C250" s="55" t="s">
        <v>12652</v>
      </c>
      <c r="D250" s="32" t="n">
        <v>75015</v>
      </c>
      <c r="E250" s="32" t="s">
        <v>55</v>
      </c>
      <c r="F250" s="32" t="s">
        <v>12653</v>
      </c>
      <c r="G250" s="55" t="s">
        <v>12654</v>
      </c>
      <c r="H250" s="55" t="s">
        <v>12655</v>
      </c>
      <c r="I250" s="32" t="n">
        <v>6</v>
      </c>
      <c r="J250" s="32" t="n">
        <v>0</v>
      </c>
      <c r="K250" s="43" t="e">
        <f aca="false">VLOOKUP(A250,#REF!,2, )</f>
        <v>#VALUE!</v>
      </c>
      <c r="L250" s="32" t="n">
        <v>1</v>
      </c>
      <c r="M250" s="32" t="n">
        <v>0</v>
      </c>
      <c r="N250" s="32" t="n">
        <v>0</v>
      </c>
      <c r="O250" s="42" t="s">
        <v>11367</v>
      </c>
      <c r="P250" s="41"/>
      <c r="R250" s="60" t="n">
        <v>669</v>
      </c>
      <c r="S250" s="60" t="n">
        <v>1044</v>
      </c>
      <c r="T250" s="42" t="n">
        <v>0</v>
      </c>
      <c r="V250" s="60" t="n">
        <v>1499</v>
      </c>
      <c r="W250" s="42" t="n">
        <v>112</v>
      </c>
      <c r="Y250" s="60" t="n">
        <v>1172</v>
      </c>
      <c r="Z250" s="42" t="n">
        <v>0</v>
      </c>
      <c r="AA250" s="60" t="n">
        <v>0</v>
      </c>
      <c r="AB250" s="60" t="n">
        <v>0</v>
      </c>
      <c r="AD250" s="42" t="s">
        <v>11472</v>
      </c>
    </row>
    <row r="251" customFormat="false" ht="12.75" hidden="true" customHeight="true" outlineLevel="0" collapsed="false">
      <c r="A251" s="55" t="s">
        <v>12656</v>
      </c>
      <c r="B251" s="55" t="s">
        <v>572</v>
      </c>
      <c r="C251" s="55" t="s">
        <v>12657</v>
      </c>
      <c r="D251" s="32" t="n">
        <v>75008</v>
      </c>
      <c r="E251" s="32" t="s">
        <v>55</v>
      </c>
      <c r="F251" s="32" t="s">
        <v>12658</v>
      </c>
      <c r="G251" s="55" t="s">
        <v>12516</v>
      </c>
      <c r="H251" s="55" t="s">
        <v>12517</v>
      </c>
      <c r="I251" s="32" t="n">
        <v>8</v>
      </c>
      <c r="J251" s="32" t="n">
        <v>0</v>
      </c>
      <c r="K251" s="43" t="e">
        <f aca="false">VLOOKUP(A251,#REF!,2, )</f>
        <v>#VALUE!</v>
      </c>
      <c r="L251" s="32" t="n">
        <v>0</v>
      </c>
      <c r="M251" s="32" t="n">
        <v>0</v>
      </c>
      <c r="N251" s="32" t="n">
        <v>0</v>
      </c>
      <c r="O251" s="42" t="s">
        <v>11367</v>
      </c>
      <c r="P251" s="41"/>
      <c r="R251" s="60" t="n">
        <v>432</v>
      </c>
      <c r="S251" s="60" t="n">
        <v>587</v>
      </c>
      <c r="T251" s="42" t="n">
        <v>0</v>
      </c>
      <c r="U251" s="60" t="n">
        <v>321</v>
      </c>
      <c r="V251" s="60" t="n">
        <v>286</v>
      </c>
      <c r="W251" s="42" t="n">
        <v>0</v>
      </c>
      <c r="X251" s="60" t="n">
        <v>85</v>
      </c>
      <c r="Y251" s="60" t="n">
        <v>201</v>
      </c>
      <c r="Z251" s="42" t="n">
        <v>0</v>
      </c>
      <c r="AA251" s="60" t="n">
        <v>0</v>
      </c>
      <c r="AB251" s="60" t="n">
        <v>0</v>
      </c>
      <c r="AD251" s="42" t="s">
        <v>11560</v>
      </c>
    </row>
    <row r="252" customFormat="false" ht="17.25" hidden="true" customHeight="true" outlineLevel="0" collapsed="false">
      <c r="A252" s="55" t="s">
        <v>12659</v>
      </c>
      <c r="B252" s="55" t="s">
        <v>435</v>
      </c>
      <c r="C252" s="55" t="s">
        <v>12660</v>
      </c>
      <c r="D252" s="32" t="n">
        <v>75116</v>
      </c>
      <c r="E252" s="32" t="s">
        <v>55</v>
      </c>
      <c r="F252" s="32" t="s">
        <v>12661</v>
      </c>
      <c r="G252" s="55" t="s">
        <v>12662</v>
      </c>
      <c r="H252" s="55" t="s">
        <v>12663</v>
      </c>
      <c r="I252" s="32" t="n">
        <v>9</v>
      </c>
      <c r="J252" s="32" t="n">
        <v>0</v>
      </c>
      <c r="K252" s="43" t="e">
        <f aca="false">VLOOKUP(A252,#REF!,2, )</f>
        <v>#VALUE!</v>
      </c>
      <c r="L252" s="32" t="n">
        <v>0</v>
      </c>
      <c r="M252" s="32" t="n">
        <v>0</v>
      </c>
      <c r="N252" s="32" t="n">
        <v>0</v>
      </c>
      <c r="O252" s="42" t="s">
        <v>11367</v>
      </c>
      <c r="P252" s="41"/>
      <c r="R252" s="60" t="n">
        <v>106</v>
      </c>
      <c r="S252" s="60" t="n">
        <v>246</v>
      </c>
      <c r="T252" s="42" t="n">
        <v>0</v>
      </c>
      <c r="V252" s="60" t="n">
        <v>169</v>
      </c>
      <c r="W252" s="42" t="n">
        <v>0</v>
      </c>
      <c r="Y252" s="60" t="n">
        <v>169</v>
      </c>
      <c r="Z252" s="42" t="n">
        <v>0</v>
      </c>
      <c r="AA252" s="60" t="n">
        <v>0</v>
      </c>
      <c r="AB252" s="60" t="n">
        <v>0</v>
      </c>
    </row>
    <row r="253" customFormat="false" ht="12.75" hidden="true" customHeight="true" outlineLevel="0" collapsed="false">
      <c r="A253" s="55" t="s">
        <v>12664</v>
      </c>
      <c r="B253" s="55" t="s">
        <v>572</v>
      </c>
      <c r="C253" s="55" t="s">
        <v>12665</v>
      </c>
      <c r="D253" s="32" t="n">
        <v>75008</v>
      </c>
      <c r="E253" s="32" t="s">
        <v>55</v>
      </c>
      <c r="F253" s="32" t="s">
        <v>12666</v>
      </c>
      <c r="G253" s="55" t="s">
        <v>12667</v>
      </c>
      <c r="H253" s="55" t="s">
        <v>12668</v>
      </c>
      <c r="I253" s="32" t="n">
        <v>5</v>
      </c>
      <c r="J253" s="32" t="n">
        <v>0</v>
      </c>
      <c r="K253" s="43" t="e">
        <f aca="false">VLOOKUP(A253,#REF!,2, )</f>
        <v>#VALUE!</v>
      </c>
      <c r="L253" s="32" t="n">
        <v>0</v>
      </c>
      <c r="M253" s="32" t="n">
        <v>0</v>
      </c>
      <c r="N253" s="32" t="n">
        <v>0</v>
      </c>
      <c r="O253" s="42" t="s">
        <v>11367</v>
      </c>
      <c r="P253" s="41"/>
      <c r="R253" s="60" t="n">
        <v>68</v>
      </c>
      <c r="S253" s="60" t="n">
        <v>137</v>
      </c>
      <c r="T253" s="42" t="n">
        <v>0</v>
      </c>
      <c r="W253" s="42" t="n">
        <v>0</v>
      </c>
      <c r="Z253" s="42" t="n">
        <v>0</v>
      </c>
      <c r="AA253" s="60" t="n">
        <v>0</v>
      </c>
      <c r="AB253" s="60" t="n">
        <v>0</v>
      </c>
      <c r="AD253" s="42" t="s">
        <v>12248</v>
      </c>
    </row>
    <row r="254" customFormat="false" ht="12.75" hidden="true" customHeight="true" outlineLevel="0" collapsed="false">
      <c r="A254" s="55" t="s">
        <v>12669</v>
      </c>
      <c r="B254" s="55" t="s">
        <v>51</v>
      </c>
      <c r="C254" s="55" t="s">
        <v>12670</v>
      </c>
      <c r="D254" s="32" t="n">
        <v>75015</v>
      </c>
      <c r="E254" s="32" t="s">
        <v>55</v>
      </c>
      <c r="F254" s="32" t="s">
        <v>12671</v>
      </c>
      <c r="G254" s="55" t="s">
        <v>12672</v>
      </c>
      <c r="H254" s="55" t="s">
        <v>12673</v>
      </c>
      <c r="I254" s="32" t="n">
        <v>10</v>
      </c>
      <c r="J254" s="32" t="n">
        <v>0</v>
      </c>
      <c r="K254" s="43" t="e">
        <f aca="false">VLOOKUP(A254,#REF!,2, )</f>
        <v>#VALUE!</v>
      </c>
      <c r="L254" s="32" t="n">
        <v>1</v>
      </c>
      <c r="M254" s="32" t="n">
        <v>0</v>
      </c>
      <c r="N254" s="32" t="n">
        <v>0</v>
      </c>
      <c r="O254" s="42" t="s">
        <v>11367</v>
      </c>
      <c r="P254" s="41"/>
      <c r="S254" s="60" t="n">
        <v>1131</v>
      </c>
      <c r="T254" s="42" t="n">
        <v>0</v>
      </c>
      <c r="V254" s="60" t="n">
        <v>762</v>
      </c>
      <c r="W254" s="42" t="n">
        <v>0</v>
      </c>
      <c r="Y254" s="60" t="n">
        <v>399</v>
      </c>
      <c r="Z254" s="42" t="n">
        <v>0</v>
      </c>
      <c r="AA254" s="60" t="n">
        <v>0</v>
      </c>
      <c r="AB254" s="60" t="n">
        <v>0</v>
      </c>
    </row>
    <row r="255" customFormat="false" ht="12.75" hidden="true" customHeight="true" outlineLevel="0" collapsed="false">
      <c r="A255" s="55" t="s">
        <v>12674</v>
      </c>
      <c r="B255" s="55" t="s">
        <v>197</v>
      </c>
      <c r="C255" s="55" t="s">
        <v>12675</v>
      </c>
      <c r="D255" s="32" t="n">
        <v>75008</v>
      </c>
      <c r="E255" s="32" t="s">
        <v>55</v>
      </c>
      <c r="F255" s="32" t="s">
        <v>12676</v>
      </c>
      <c r="G255" s="55" t="s">
        <v>12677</v>
      </c>
      <c r="H255" s="55" t="s">
        <v>12678</v>
      </c>
      <c r="I255" s="32" t="n">
        <v>5</v>
      </c>
      <c r="J255" s="32" t="n">
        <v>0</v>
      </c>
      <c r="K255" s="43" t="e">
        <f aca="false">VLOOKUP(A255,#REF!,2, )</f>
        <v>#VALUE!</v>
      </c>
      <c r="L255" s="32" t="n">
        <v>1</v>
      </c>
      <c r="M255" s="32" t="n">
        <v>0</v>
      </c>
      <c r="N255" s="32" t="n">
        <v>2</v>
      </c>
      <c r="O255" s="42" t="s">
        <v>11367</v>
      </c>
      <c r="P255" s="41" t="n">
        <v>44683</v>
      </c>
      <c r="S255" s="60" t="n">
        <v>868</v>
      </c>
      <c r="T255" s="42" t="n">
        <v>0</v>
      </c>
      <c r="V255" s="60" t="n">
        <v>447</v>
      </c>
      <c r="W255" s="42" t="n">
        <v>0</v>
      </c>
      <c r="Y255" s="60" t="n">
        <v>266</v>
      </c>
      <c r="Z255" s="42" t="n">
        <v>0</v>
      </c>
      <c r="AA255" s="60" t="n">
        <v>0</v>
      </c>
      <c r="AB255" s="60" t="n">
        <v>0</v>
      </c>
      <c r="AD255" s="42" t="s">
        <v>12679</v>
      </c>
    </row>
    <row r="256" customFormat="false" ht="12.75" hidden="true" customHeight="true" outlineLevel="0" collapsed="false">
      <c r="A256" s="55" t="s">
        <v>12680</v>
      </c>
      <c r="B256" s="55" t="s">
        <v>173</v>
      </c>
      <c r="C256" s="55" t="s">
        <v>12681</v>
      </c>
      <c r="D256" s="32" t="n">
        <v>75116</v>
      </c>
      <c r="E256" s="32" t="s">
        <v>55</v>
      </c>
      <c r="F256" s="32" t="s">
        <v>12682</v>
      </c>
      <c r="G256" s="55" t="s">
        <v>12683</v>
      </c>
      <c r="H256" s="55" t="s">
        <v>12684</v>
      </c>
      <c r="I256" s="32" t="n">
        <v>9</v>
      </c>
      <c r="J256" s="32" t="n">
        <v>0</v>
      </c>
      <c r="K256" s="43" t="e">
        <f aca="false">VLOOKUP(A256,#REF!,2, )</f>
        <v>#VALUE!</v>
      </c>
      <c r="L256" s="32" t="n">
        <v>0</v>
      </c>
      <c r="M256" s="32" t="n">
        <v>0</v>
      </c>
      <c r="N256" s="32" t="n">
        <v>0</v>
      </c>
      <c r="O256" s="42" t="s">
        <v>11367</v>
      </c>
      <c r="P256" s="41"/>
      <c r="S256" s="60" t="n">
        <v>485</v>
      </c>
      <c r="T256" s="42" t="n">
        <v>0</v>
      </c>
      <c r="V256" s="60" t="n">
        <v>49</v>
      </c>
      <c r="W256" s="42" t="n">
        <v>0</v>
      </c>
      <c r="Y256" s="60" t="n">
        <v>49</v>
      </c>
      <c r="Z256" s="42" t="n">
        <v>0</v>
      </c>
      <c r="AA256" s="60" t="n">
        <v>0</v>
      </c>
      <c r="AB256" s="60" t="n">
        <v>0</v>
      </c>
    </row>
    <row r="257" customFormat="false" ht="17.25" hidden="true" customHeight="true" outlineLevel="0" collapsed="false">
      <c r="A257" s="55" t="s">
        <v>12685</v>
      </c>
      <c r="B257" s="55" t="s">
        <v>99</v>
      </c>
      <c r="C257" s="55" t="s">
        <v>12686</v>
      </c>
      <c r="D257" s="32" t="n">
        <v>75015</v>
      </c>
      <c r="E257" s="32" t="s">
        <v>55</v>
      </c>
      <c r="F257" s="32" t="s">
        <v>12687</v>
      </c>
      <c r="G257" s="55" t="s">
        <v>12688</v>
      </c>
      <c r="H257" s="55" t="s">
        <v>12689</v>
      </c>
      <c r="I257" s="32" t="n">
        <v>10</v>
      </c>
      <c r="J257" s="32" t="n">
        <v>0</v>
      </c>
      <c r="K257" s="43" t="e">
        <f aca="false">VLOOKUP(A257,#REF!,2, )</f>
        <v>#VALUE!</v>
      </c>
      <c r="L257" s="32" t="n">
        <v>0</v>
      </c>
      <c r="M257" s="32" t="n">
        <v>0</v>
      </c>
      <c r="N257" s="32" t="n">
        <v>0</v>
      </c>
      <c r="O257" s="42" t="s">
        <v>11367</v>
      </c>
      <c r="P257" s="41"/>
      <c r="S257" s="60" t="n">
        <v>260</v>
      </c>
      <c r="T257" s="42" t="n">
        <v>0</v>
      </c>
      <c r="V257" s="60" t="n">
        <v>129</v>
      </c>
      <c r="W257" s="42" t="n">
        <v>0</v>
      </c>
      <c r="Z257" s="42" t="n">
        <v>0</v>
      </c>
      <c r="AA257" s="60" t="n">
        <v>0</v>
      </c>
      <c r="AB257" s="60" t="n">
        <v>0</v>
      </c>
      <c r="AD257" s="42" t="s">
        <v>11375</v>
      </c>
    </row>
    <row r="258" customFormat="false" ht="12.75" hidden="true" customHeight="true" outlineLevel="0" collapsed="false">
      <c r="A258" s="55" t="s">
        <v>12690</v>
      </c>
      <c r="B258" s="55" t="s">
        <v>77</v>
      </c>
      <c r="C258" s="55" t="s">
        <v>1254</v>
      </c>
      <c r="D258" s="32" t="n">
        <v>92200</v>
      </c>
      <c r="E258" s="32" t="s">
        <v>11393</v>
      </c>
      <c r="F258" s="32" t="s">
        <v>12691</v>
      </c>
      <c r="G258" s="55" t="s">
        <v>12692</v>
      </c>
      <c r="H258" s="55" t="s">
        <v>12693</v>
      </c>
      <c r="I258" s="32" t="n">
        <v>9</v>
      </c>
      <c r="J258" s="32" t="n">
        <v>0</v>
      </c>
      <c r="K258" s="43" t="e">
        <f aca="false">VLOOKUP(A258,#REF!,2, )</f>
        <v>#VALUE!</v>
      </c>
      <c r="L258" s="32" t="n">
        <v>0</v>
      </c>
      <c r="M258" s="32" t="n">
        <v>0</v>
      </c>
      <c r="N258" s="32" t="n">
        <v>0</v>
      </c>
      <c r="O258" s="42" t="s">
        <v>12694</v>
      </c>
      <c r="P258" s="41" t="n">
        <v>45222.4375</v>
      </c>
      <c r="S258" s="60" t="n">
        <v>170</v>
      </c>
      <c r="T258" s="42" t="n">
        <v>0</v>
      </c>
      <c r="W258" s="42" t="n">
        <v>0</v>
      </c>
      <c r="Z258" s="42" t="n">
        <v>0</v>
      </c>
      <c r="AA258" s="60" t="n">
        <v>0</v>
      </c>
      <c r="AB258" s="60" t="n">
        <v>0</v>
      </c>
    </row>
    <row r="259" customFormat="false" ht="12.75" hidden="true" customHeight="true" outlineLevel="0" collapsed="false">
      <c r="A259" s="55" t="s">
        <v>12695</v>
      </c>
      <c r="B259" s="55" t="s">
        <v>173</v>
      </c>
      <c r="C259" s="55" t="s">
        <v>12696</v>
      </c>
      <c r="D259" s="32" t="n">
        <v>75116</v>
      </c>
      <c r="E259" s="32" t="s">
        <v>55</v>
      </c>
      <c r="F259" s="32" t="s">
        <v>12697</v>
      </c>
      <c r="G259" s="55" t="s">
        <v>12698</v>
      </c>
      <c r="H259" s="55" t="s">
        <v>12699</v>
      </c>
      <c r="I259" s="32" t="n">
        <v>10</v>
      </c>
      <c r="J259" s="32" t="n">
        <v>0</v>
      </c>
      <c r="K259" s="43" t="e">
        <f aca="false">VLOOKUP(A259,#REF!,2, )</f>
        <v>#VALUE!</v>
      </c>
      <c r="L259" s="32" t="n">
        <v>0</v>
      </c>
      <c r="M259" s="32" t="n">
        <v>0</v>
      </c>
      <c r="N259" s="32" t="n">
        <v>0</v>
      </c>
      <c r="O259" s="42" t="s">
        <v>11367</v>
      </c>
      <c r="P259" s="41"/>
      <c r="S259" s="60" t="n">
        <v>89</v>
      </c>
      <c r="T259" s="42" t="n">
        <v>0</v>
      </c>
      <c r="V259" s="60" t="n">
        <v>89</v>
      </c>
      <c r="W259" s="42" t="n">
        <v>0</v>
      </c>
      <c r="Y259" s="60" t="n">
        <v>89</v>
      </c>
      <c r="Z259" s="42" t="n">
        <v>0</v>
      </c>
      <c r="AA259" s="60" t="n">
        <v>81.16</v>
      </c>
      <c r="AB259" s="60" t="n">
        <v>0</v>
      </c>
      <c r="AD259" s="42" t="s">
        <v>11560</v>
      </c>
    </row>
    <row r="260" customFormat="false" ht="12.75" hidden="true" customHeight="true" outlineLevel="0" collapsed="false">
      <c r="A260" s="55" t="s">
        <v>12700</v>
      </c>
      <c r="B260" s="55" t="s">
        <v>197</v>
      </c>
      <c r="C260" s="55" t="s">
        <v>10230</v>
      </c>
      <c r="D260" s="32" t="n">
        <v>75017</v>
      </c>
      <c r="E260" s="32" t="s">
        <v>55</v>
      </c>
      <c r="F260" s="32" t="s">
        <v>7142</v>
      </c>
      <c r="G260" s="55" t="s">
        <v>12701</v>
      </c>
      <c r="H260" s="55" t="s">
        <v>12702</v>
      </c>
      <c r="I260" s="32" t="n">
        <v>0</v>
      </c>
      <c r="J260" s="32" t="n">
        <v>0</v>
      </c>
      <c r="K260" s="43" t="e">
        <f aca="false">VLOOKUP(A260,#REF!,2, )</f>
        <v>#VALUE!</v>
      </c>
      <c r="L260" s="32" t="n">
        <v>0</v>
      </c>
      <c r="M260" s="32" t="n">
        <v>0</v>
      </c>
      <c r="N260" s="32" t="n">
        <v>0</v>
      </c>
      <c r="O260" s="42" t="s">
        <v>11367</v>
      </c>
      <c r="P260" s="41"/>
      <c r="T260" s="42" t="n">
        <v>0</v>
      </c>
      <c r="W260" s="42" t="n">
        <v>0</v>
      </c>
      <c r="Z260" s="42" t="n">
        <v>0</v>
      </c>
      <c r="AA260" s="60" t="n">
        <v>0</v>
      </c>
      <c r="AB260" s="60" t="n">
        <v>0</v>
      </c>
    </row>
    <row r="261" customFormat="false" ht="17.25" hidden="true" customHeight="true" outlineLevel="0" collapsed="false">
      <c r="A261" s="55" t="s">
        <v>12703</v>
      </c>
      <c r="B261" s="55" t="s">
        <v>99</v>
      </c>
      <c r="C261" s="55" t="s">
        <v>12704</v>
      </c>
      <c r="D261" s="32" t="n">
        <v>75015</v>
      </c>
      <c r="E261" s="32" t="s">
        <v>55</v>
      </c>
      <c r="F261" s="32" t="s">
        <v>9820</v>
      </c>
      <c r="G261" s="55" t="s">
        <v>12705</v>
      </c>
      <c r="H261" s="55" t="s">
        <v>12706</v>
      </c>
      <c r="I261" s="32" t="n">
        <v>0</v>
      </c>
      <c r="J261" s="32" t="n">
        <v>0</v>
      </c>
      <c r="K261" s="43" t="e">
        <f aca="false">VLOOKUP(A261,#REF!,2, )</f>
        <v>#VALUE!</v>
      </c>
      <c r="L261" s="32" t="n">
        <v>0</v>
      </c>
      <c r="M261" s="32" t="n">
        <v>0</v>
      </c>
      <c r="N261" s="32" t="n">
        <v>0</v>
      </c>
      <c r="O261" s="42" t="s">
        <v>11367</v>
      </c>
      <c r="P261" s="41"/>
      <c r="T261" s="42" t="n">
        <v>0</v>
      </c>
      <c r="W261" s="42" t="n">
        <v>0</v>
      </c>
      <c r="Z261" s="42" t="n">
        <v>0</v>
      </c>
      <c r="AA261" s="60" t="n">
        <v>0</v>
      </c>
      <c r="AB261" s="60" t="n">
        <v>0</v>
      </c>
    </row>
    <row r="262" customFormat="false" ht="12.75" hidden="true" customHeight="true" outlineLevel="0" collapsed="false">
      <c r="A262" s="55" t="s">
        <v>12707</v>
      </c>
      <c r="B262" s="55" t="s">
        <v>173</v>
      </c>
      <c r="C262" s="55" t="s">
        <v>3237</v>
      </c>
      <c r="D262" s="32" t="n">
        <v>75116</v>
      </c>
      <c r="E262" s="32" t="s">
        <v>55</v>
      </c>
      <c r="F262" s="32" t="s">
        <v>3238</v>
      </c>
      <c r="G262" s="55" t="s">
        <v>12708</v>
      </c>
      <c r="H262" s="55" t="s">
        <v>12709</v>
      </c>
      <c r="I262" s="32" t="n">
        <v>0</v>
      </c>
      <c r="J262" s="32" t="n">
        <v>0</v>
      </c>
      <c r="K262" s="43" t="e">
        <f aca="false">VLOOKUP(A262,#REF!,2, )</f>
        <v>#VALUE!</v>
      </c>
      <c r="L262" s="32" t="n">
        <v>0</v>
      </c>
      <c r="M262" s="32" t="n">
        <v>0</v>
      </c>
      <c r="N262" s="32" t="n">
        <v>0</v>
      </c>
      <c r="O262" s="42" t="s">
        <v>11367</v>
      </c>
      <c r="P262" s="41"/>
      <c r="T262" s="42" t="n">
        <v>0</v>
      </c>
      <c r="W262" s="42" t="n">
        <v>0</v>
      </c>
      <c r="Z262" s="42" t="n">
        <v>0</v>
      </c>
      <c r="AA262" s="60" t="n">
        <v>0</v>
      </c>
      <c r="AB262" s="60" t="n">
        <v>0</v>
      </c>
    </row>
    <row r="263" customFormat="false" ht="12.75" hidden="true" customHeight="true" outlineLevel="0" collapsed="false">
      <c r="A263" s="55" t="s">
        <v>12710</v>
      </c>
      <c r="B263" s="55" t="s">
        <v>572</v>
      </c>
      <c r="C263" s="55" t="s">
        <v>573</v>
      </c>
      <c r="D263" s="32" t="n">
        <v>75008</v>
      </c>
      <c r="E263" s="32" t="s">
        <v>55</v>
      </c>
      <c r="F263" s="32" t="s">
        <v>12711</v>
      </c>
      <c r="G263" s="55" t="s">
        <v>12712</v>
      </c>
      <c r="H263" s="55" t="s">
        <v>12713</v>
      </c>
      <c r="I263" s="32" t="n">
        <v>0</v>
      </c>
      <c r="J263" s="32" t="n">
        <v>0</v>
      </c>
      <c r="K263" s="43" t="e">
        <f aca="false">VLOOKUP(A263,#REF!,2, )</f>
        <v>#VALUE!</v>
      </c>
      <c r="L263" s="32" t="n">
        <v>0</v>
      </c>
      <c r="M263" s="32" t="n">
        <v>0</v>
      </c>
      <c r="N263" s="32" t="n">
        <v>0</v>
      </c>
      <c r="O263" s="42" t="s">
        <v>11367</v>
      </c>
      <c r="P263" s="41"/>
      <c r="T263" s="42" t="n">
        <v>0</v>
      </c>
      <c r="W263" s="42" t="n">
        <v>0</v>
      </c>
      <c r="Z263" s="42" t="n">
        <v>0</v>
      </c>
      <c r="AA263" s="60" t="n">
        <v>0</v>
      </c>
      <c r="AB263" s="60" t="n">
        <v>0</v>
      </c>
    </row>
    <row r="264" customFormat="false" ht="12.75" hidden="true" customHeight="true" outlineLevel="0" collapsed="false">
      <c r="A264" s="55" t="s">
        <v>12714</v>
      </c>
      <c r="B264" s="55" t="s">
        <v>119</v>
      </c>
      <c r="C264" s="55" t="s">
        <v>12715</v>
      </c>
      <c r="D264" s="32" t="n">
        <v>75007</v>
      </c>
      <c r="E264" s="32" t="s">
        <v>55</v>
      </c>
      <c r="F264" s="32" t="s">
        <v>12716</v>
      </c>
      <c r="G264" s="55" t="s">
        <v>12717</v>
      </c>
      <c r="H264" s="55" t="s">
        <v>12718</v>
      </c>
      <c r="I264" s="32" t="n">
        <v>0</v>
      </c>
      <c r="J264" s="32" t="n">
        <v>0</v>
      </c>
      <c r="K264" s="43" t="e">
        <f aca="false">VLOOKUP(A264,#REF!,2, )</f>
        <v>#VALUE!</v>
      </c>
      <c r="L264" s="32" t="n">
        <v>0</v>
      </c>
      <c r="M264" s="32" t="n">
        <v>0</v>
      </c>
      <c r="N264" s="32" t="n">
        <v>0</v>
      </c>
      <c r="O264" s="42" t="s">
        <v>11367</v>
      </c>
      <c r="P264" s="41"/>
      <c r="T264" s="42" t="n">
        <v>0</v>
      </c>
      <c r="W264" s="42" t="n">
        <v>0</v>
      </c>
      <c r="Z264" s="42" t="n">
        <v>0</v>
      </c>
      <c r="AA264" s="60" t="n">
        <v>0</v>
      </c>
      <c r="AB264" s="60" t="n">
        <v>0</v>
      </c>
    </row>
    <row r="265" customFormat="false" ht="17.25" hidden="true" customHeight="true" outlineLevel="0" collapsed="false">
      <c r="A265" s="55" t="s">
        <v>12719</v>
      </c>
      <c r="B265" s="55" t="s">
        <v>51</v>
      </c>
      <c r="C265" s="55" t="s">
        <v>12720</v>
      </c>
      <c r="D265" s="32" t="n">
        <v>75015</v>
      </c>
      <c r="E265" s="32" t="s">
        <v>55</v>
      </c>
      <c r="F265" s="32" t="s">
        <v>12721</v>
      </c>
      <c r="G265" s="55" t="s">
        <v>12722</v>
      </c>
      <c r="H265" s="55" t="s">
        <v>12723</v>
      </c>
      <c r="I265" s="32" t="n">
        <v>0</v>
      </c>
      <c r="J265" s="32" t="n">
        <v>0</v>
      </c>
      <c r="K265" s="43" t="e">
        <f aca="false">VLOOKUP(A265,#REF!,2, )</f>
        <v>#VALUE!</v>
      </c>
      <c r="L265" s="32" t="n">
        <v>0</v>
      </c>
      <c r="M265" s="32" t="n">
        <v>0</v>
      </c>
      <c r="N265" s="32" t="n">
        <v>0</v>
      </c>
      <c r="O265" s="42" t="s">
        <v>11367</v>
      </c>
      <c r="P265" s="41"/>
      <c r="T265" s="42" t="n">
        <v>0</v>
      </c>
      <c r="W265" s="42" t="n">
        <v>0</v>
      </c>
      <c r="Z265" s="42" t="n">
        <v>0</v>
      </c>
      <c r="AA265" s="60" t="n">
        <v>0</v>
      </c>
      <c r="AB265" s="60" t="n">
        <v>0</v>
      </c>
    </row>
    <row r="266" customFormat="false" ht="12.75" hidden="true" customHeight="true" outlineLevel="0" collapsed="false">
      <c r="A266" s="55" t="s">
        <v>12724</v>
      </c>
      <c r="B266" s="55" t="s">
        <v>387</v>
      </c>
      <c r="C266" s="55" t="s">
        <v>12725</v>
      </c>
      <c r="D266" s="32" t="n">
        <v>75016</v>
      </c>
      <c r="E266" s="32" t="s">
        <v>55</v>
      </c>
      <c r="F266" s="32" t="s">
        <v>12726</v>
      </c>
      <c r="G266" s="55" t="s">
        <v>12727</v>
      </c>
      <c r="H266" s="55" t="s">
        <v>12728</v>
      </c>
      <c r="I266" s="32" t="n">
        <v>0</v>
      </c>
      <c r="J266" s="32" t="n">
        <v>0</v>
      </c>
      <c r="K266" s="43" t="e">
        <f aca="false">VLOOKUP(A266,#REF!,2, )</f>
        <v>#VALUE!</v>
      </c>
      <c r="L266" s="32" t="n">
        <v>0</v>
      </c>
      <c r="M266" s="32" t="n">
        <v>0</v>
      </c>
      <c r="N266" s="32" t="n">
        <v>0</v>
      </c>
      <c r="O266" s="42" t="s">
        <v>11367</v>
      </c>
      <c r="P266" s="41"/>
      <c r="T266" s="42" t="n">
        <v>0</v>
      </c>
      <c r="W266" s="42" t="n">
        <v>0</v>
      </c>
      <c r="Z266" s="42" t="n">
        <v>0</v>
      </c>
      <c r="AA266" s="60" t="n">
        <v>0</v>
      </c>
      <c r="AB266" s="60" t="n">
        <v>0</v>
      </c>
    </row>
    <row r="267" customFormat="false" ht="17.25" hidden="true" customHeight="true" outlineLevel="0" collapsed="false">
      <c r="A267" s="55" t="s">
        <v>12729</v>
      </c>
      <c r="B267" s="55" t="s">
        <v>119</v>
      </c>
      <c r="C267" s="55" t="s">
        <v>10485</v>
      </c>
      <c r="D267" s="32" t="n">
        <v>75007</v>
      </c>
      <c r="E267" s="32" t="s">
        <v>55</v>
      </c>
      <c r="F267" s="32" t="s">
        <v>10486</v>
      </c>
      <c r="G267" s="55" t="s">
        <v>12730</v>
      </c>
      <c r="H267" s="55" t="s">
        <v>12731</v>
      </c>
      <c r="I267" s="32" t="n">
        <v>0</v>
      </c>
      <c r="J267" s="32" t="n">
        <v>0</v>
      </c>
      <c r="K267" s="43" t="e">
        <f aca="false">VLOOKUP(A267,#REF!,2, )</f>
        <v>#VALUE!</v>
      </c>
      <c r="L267" s="32" t="n">
        <v>0</v>
      </c>
      <c r="M267" s="32" t="n">
        <v>0</v>
      </c>
      <c r="N267" s="32" t="n">
        <v>0</v>
      </c>
      <c r="O267" s="42" t="s">
        <v>11367</v>
      </c>
      <c r="P267" s="41"/>
      <c r="T267" s="42" t="n">
        <v>0</v>
      </c>
      <c r="W267" s="42" t="n">
        <v>0</v>
      </c>
      <c r="Z267" s="42" t="n">
        <v>0</v>
      </c>
      <c r="AA267" s="60" t="n">
        <v>0</v>
      </c>
      <c r="AB267" s="60" t="n">
        <v>0</v>
      </c>
    </row>
    <row r="268" customFormat="false" ht="12.75" hidden="true" customHeight="true" outlineLevel="0" collapsed="false">
      <c r="A268" s="55" t="s">
        <v>12732</v>
      </c>
      <c r="B268" s="55" t="s">
        <v>119</v>
      </c>
      <c r="C268" s="55" t="s">
        <v>6882</v>
      </c>
      <c r="D268" s="32" t="n">
        <v>75007</v>
      </c>
      <c r="E268" s="32" t="s">
        <v>55</v>
      </c>
      <c r="F268" s="32" t="s">
        <v>12733</v>
      </c>
      <c r="G268" s="55" t="s">
        <v>12734</v>
      </c>
      <c r="H268" s="55" t="s">
        <v>12735</v>
      </c>
      <c r="I268" s="32" t="n">
        <v>0</v>
      </c>
      <c r="J268" s="32" t="n">
        <v>0</v>
      </c>
      <c r="K268" s="43" t="e">
        <f aca="false">VLOOKUP(A268,#REF!,2, )</f>
        <v>#VALUE!</v>
      </c>
      <c r="L268" s="32" t="n">
        <v>0</v>
      </c>
      <c r="M268" s="32" t="n">
        <v>0</v>
      </c>
      <c r="N268" s="32" t="n">
        <v>0</v>
      </c>
      <c r="O268" s="42" t="s">
        <v>11367</v>
      </c>
      <c r="P268" s="41"/>
      <c r="T268" s="42" t="n">
        <v>0</v>
      </c>
      <c r="W268" s="42" t="n">
        <v>0</v>
      </c>
      <c r="Z268" s="42" t="n">
        <v>0</v>
      </c>
      <c r="AA268" s="60" t="n">
        <v>0</v>
      </c>
      <c r="AB268" s="60" t="n">
        <v>0</v>
      </c>
    </row>
    <row r="269" customFormat="false" ht="12.75" hidden="true" customHeight="true" outlineLevel="0" collapsed="false">
      <c r="A269" s="55" t="s">
        <v>12736</v>
      </c>
      <c r="B269" s="55" t="s">
        <v>119</v>
      </c>
      <c r="C269" s="55" t="s">
        <v>6887</v>
      </c>
      <c r="D269" s="32" t="n">
        <v>75007</v>
      </c>
      <c r="E269" s="32" t="s">
        <v>55</v>
      </c>
      <c r="F269" s="32" t="s">
        <v>6888</v>
      </c>
      <c r="G269" s="55" t="s">
        <v>12737</v>
      </c>
      <c r="H269" s="55" t="s">
        <v>12738</v>
      </c>
      <c r="I269" s="32" t="n">
        <v>0</v>
      </c>
      <c r="J269" s="32" t="n">
        <v>0</v>
      </c>
      <c r="K269" s="43" t="e">
        <f aca="false">VLOOKUP(A269,#REF!,2, )</f>
        <v>#VALUE!</v>
      </c>
      <c r="L269" s="32" t="n">
        <v>0</v>
      </c>
      <c r="M269" s="32" t="n">
        <v>0</v>
      </c>
      <c r="N269" s="32" t="n">
        <v>0</v>
      </c>
      <c r="O269" s="42" t="s">
        <v>11367</v>
      </c>
      <c r="P269" s="41"/>
      <c r="T269" s="42" t="n">
        <v>0</v>
      </c>
      <c r="W269" s="42" t="n">
        <v>0</v>
      </c>
      <c r="Z269" s="42" t="n">
        <v>0</v>
      </c>
      <c r="AA269" s="60" t="n">
        <v>0</v>
      </c>
      <c r="AB269" s="60" t="n">
        <v>0</v>
      </c>
    </row>
    <row r="270" customFormat="false" ht="12.75" hidden="true" customHeight="true" outlineLevel="0" collapsed="false">
      <c r="A270" s="55" t="s">
        <v>12739</v>
      </c>
      <c r="B270" s="55" t="s">
        <v>51</v>
      </c>
      <c r="C270" s="55" t="s">
        <v>12740</v>
      </c>
      <c r="D270" s="32" t="n">
        <v>75015</v>
      </c>
      <c r="E270" s="32" t="s">
        <v>55</v>
      </c>
      <c r="F270" s="32" t="s">
        <v>12741</v>
      </c>
      <c r="G270" s="55" t="s">
        <v>12742</v>
      </c>
      <c r="H270" s="55" t="s">
        <v>12743</v>
      </c>
      <c r="I270" s="32" t="n">
        <v>0</v>
      </c>
      <c r="J270" s="32" t="n">
        <v>0</v>
      </c>
      <c r="K270" s="43" t="e">
        <f aca="false">VLOOKUP(A270,#REF!,2, )</f>
        <v>#VALUE!</v>
      </c>
      <c r="L270" s="32" t="n">
        <v>0</v>
      </c>
      <c r="M270" s="32" t="n">
        <v>0</v>
      </c>
      <c r="N270" s="32" t="n">
        <v>0</v>
      </c>
      <c r="O270" s="42" t="s">
        <v>11367</v>
      </c>
      <c r="P270" s="41"/>
      <c r="T270" s="42" t="n">
        <v>0</v>
      </c>
      <c r="W270" s="42" t="n">
        <v>0</v>
      </c>
      <c r="Z270" s="42" t="n">
        <v>0</v>
      </c>
      <c r="AA270" s="60" t="n">
        <v>0</v>
      </c>
      <c r="AB270" s="60" t="n">
        <v>0</v>
      </c>
    </row>
    <row r="271" customFormat="false" ht="12.75" hidden="true" customHeight="true" outlineLevel="0" collapsed="false">
      <c r="A271" s="55" t="s">
        <v>12744</v>
      </c>
      <c r="B271" s="55" t="s">
        <v>233</v>
      </c>
      <c r="C271" s="55" t="s">
        <v>12745</v>
      </c>
      <c r="D271" s="32" t="n">
        <v>75015</v>
      </c>
      <c r="E271" s="32" t="s">
        <v>55</v>
      </c>
      <c r="F271" s="32" t="s">
        <v>10560</v>
      </c>
      <c r="G271" s="55" t="s">
        <v>12746</v>
      </c>
      <c r="H271" s="55" t="s">
        <v>12747</v>
      </c>
      <c r="I271" s="32" t="n">
        <v>0</v>
      </c>
      <c r="J271" s="32" t="n">
        <v>0</v>
      </c>
      <c r="K271" s="43" t="e">
        <f aca="false">VLOOKUP(A271,#REF!,2, )</f>
        <v>#VALUE!</v>
      </c>
      <c r="L271" s="32" t="n">
        <v>0</v>
      </c>
      <c r="M271" s="32" t="n">
        <v>0</v>
      </c>
      <c r="N271" s="32" t="n">
        <v>0</v>
      </c>
      <c r="O271" s="42" t="s">
        <v>11367</v>
      </c>
      <c r="P271" s="41"/>
      <c r="T271" s="42" t="n">
        <v>0</v>
      </c>
      <c r="W271" s="42" t="n">
        <v>0</v>
      </c>
      <c r="Z271" s="42" t="n">
        <v>0</v>
      </c>
      <c r="AA271" s="60" t="n">
        <v>0</v>
      </c>
      <c r="AB271" s="60" t="n">
        <v>0</v>
      </c>
    </row>
    <row r="272" customFormat="false" ht="12.75" hidden="true" customHeight="true" outlineLevel="0" collapsed="false">
      <c r="A272" s="55" t="s">
        <v>12748</v>
      </c>
      <c r="B272" s="55" t="s">
        <v>51</v>
      </c>
      <c r="C272" s="55" t="s">
        <v>12749</v>
      </c>
      <c r="D272" s="32" t="n">
        <v>75015</v>
      </c>
      <c r="E272" s="32" t="s">
        <v>55</v>
      </c>
      <c r="F272" s="32" t="s">
        <v>12750</v>
      </c>
      <c r="G272" s="55" t="s">
        <v>11889</v>
      </c>
      <c r="H272" s="55" t="s">
        <v>11890</v>
      </c>
      <c r="I272" s="32" t="n">
        <v>0</v>
      </c>
      <c r="J272" s="32" t="n">
        <v>0</v>
      </c>
      <c r="K272" s="43" t="e">
        <f aca="false">VLOOKUP(A272,#REF!,2, )</f>
        <v>#VALUE!</v>
      </c>
      <c r="L272" s="32" t="n">
        <v>0</v>
      </c>
      <c r="M272" s="32" t="n">
        <v>0</v>
      </c>
      <c r="N272" s="32" t="n">
        <v>0</v>
      </c>
      <c r="O272" s="42" t="s">
        <v>11367</v>
      </c>
      <c r="P272" s="41"/>
      <c r="T272" s="42" t="n">
        <v>0</v>
      </c>
      <c r="W272" s="42" t="n">
        <v>0</v>
      </c>
      <c r="Z272" s="42" t="n">
        <v>0</v>
      </c>
      <c r="AA272" s="60" t="n">
        <v>0</v>
      </c>
      <c r="AB272" s="60" t="n">
        <v>0</v>
      </c>
    </row>
    <row r="273" customFormat="false" ht="12.75" hidden="true" customHeight="true" outlineLevel="0" collapsed="false">
      <c r="A273" s="55" t="s">
        <v>12751</v>
      </c>
      <c r="B273" s="55" t="s">
        <v>197</v>
      </c>
      <c r="C273" s="55" t="s">
        <v>12752</v>
      </c>
      <c r="D273" s="32" t="n">
        <v>75008</v>
      </c>
      <c r="E273" s="32" t="s">
        <v>55</v>
      </c>
      <c r="F273" s="32" t="s">
        <v>12753</v>
      </c>
      <c r="G273" s="55" t="s">
        <v>12754</v>
      </c>
      <c r="H273" s="55" t="s">
        <v>12755</v>
      </c>
      <c r="I273" s="32" t="n">
        <v>0</v>
      </c>
      <c r="J273" s="32" t="n">
        <v>0</v>
      </c>
      <c r="K273" s="43" t="e">
        <f aca="false">VLOOKUP(A273,#REF!,2, )</f>
        <v>#VALUE!</v>
      </c>
      <c r="L273" s="32" t="n">
        <v>0</v>
      </c>
      <c r="M273" s="32" t="n">
        <v>0</v>
      </c>
      <c r="N273" s="32" t="n">
        <v>0</v>
      </c>
      <c r="O273" s="42" t="s">
        <v>11367</v>
      </c>
      <c r="P273" s="41"/>
      <c r="T273" s="42" t="n">
        <v>0</v>
      </c>
      <c r="W273" s="42" t="n">
        <v>0</v>
      </c>
      <c r="Z273" s="42" t="n">
        <v>0</v>
      </c>
      <c r="AA273" s="60" t="n">
        <v>0</v>
      </c>
      <c r="AB273" s="60" t="n">
        <v>0</v>
      </c>
    </row>
    <row r="274" customFormat="false" ht="12.75" hidden="true" customHeight="true" outlineLevel="0" collapsed="false">
      <c r="A274" s="55" t="s">
        <v>12756</v>
      </c>
      <c r="B274" s="55" t="s">
        <v>99</v>
      </c>
      <c r="C274" s="55" t="s">
        <v>12757</v>
      </c>
      <c r="D274" s="32" t="n">
        <v>75015</v>
      </c>
      <c r="E274" s="32" t="s">
        <v>55</v>
      </c>
      <c r="F274" s="32" t="s">
        <v>12758</v>
      </c>
      <c r="G274" s="55" t="s">
        <v>12759</v>
      </c>
      <c r="H274" s="55" t="s">
        <v>12760</v>
      </c>
      <c r="I274" s="32" t="n">
        <v>0</v>
      </c>
      <c r="J274" s="32" t="n">
        <v>0</v>
      </c>
      <c r="K274" s="43" t="e">
        <f aca="false">VLOOKUP(A274,#REF!,2, )</f>
        <v>#VALUE!</v>
      </c>
      <c r="L274" s="32" t="n">
        <v>0</v>
      </c>
      <c r="M274" s="32" t="n">
        <v>0</v>
      </c>
      <c r="N274" s="32" t="n">
        <v>0</v>
      </c>
      <c r="O274" s="42" t="s">
        <v>11367</v>
      </c>
      <c r="P274" s="41"/>
      <c r="T274" s="42" t="n">
        <v>0</v>
      </c>
      <c r="W274" s="42" t="n">
        <v>0</v>
      </c>
      <c r="Z274" s="42" t="n">
        <v>0</v>
      </c>
      <c r="AA274" s="60" t="n">
        <v>0</v>
      </c>
      <c r="AB274" s="60" t="n">
        <v>0</v>
      </c>
    </row>
    <row r="275" customFormat="false" ht="17.25" hidden="true" customHeight="true" outlineLevel="0" collapsed="false">
      <c r="A275" s="55" t="s">
        <v>12761</v>
      </c>
      <c r="B275" s="55" t="s">
        <v>99</v>
      </c>
      <c r="C275" s="55" t="s">
        <v>9715</v>
      </c>
      <c r="D275" s="32" t="n">
        <v>75015</v>
      </c>
      <c r="E275" s="32" t="s">
        <v>55</v>
      </c>
      <c r="F275" s="32" t="s">
        <v>9716</v>
      </c>
      <c r="G275" s="55" t="s">
        <v>12762</v>
      </c>
      <c r="H275" s="55" t="s">
        <v>12763</v>
      </c>
      <c r="I275" s="32" t="n">
        <v>0</v>
      </c>
      <c r="J275" s="32" t="n">
        <v>0</v>
      </c>
      <c r="K275" s="43" t="e">
        <f aca="false">VLOOKUP(A275,#REF!,2, )</f>
        <v>#VALUE!</v>
      </c>
      <c r="L275" s="32" t="n">
        <v>0</v>
      </c>
      <c r="M275" s="32" t="n">
        <v>0</v>
      </c>
      <c r="N275" s="32" t="n">
        <v>0</v>
      </c>
      <c r="O275" s="42" t="s">
        <v>11367</v>
      </c>
      <c r="P275" s="41"/>
      <c r="T275" s="42" t="n">
        <v>0</v>
      </c>
      <c r="W275" s="42" t="n">
        <v>0</v>
      </c>
      <c r="Z275" s="42" t="n">
        <v>0</v>
      </c>
      <c r="AA275" s="60" t="n">
        <v>0</v>
      </c>
      <c r="AB275" s="60" t="n">
        <v>0</v>
      </c>
    </row>
    <row r="276" customFormat="false" ht="17.25" hidden="true" customHeight="true" outlineLevel="0" collapsed="false">
      <c r="A276" s="55" t="s">
        <v>12764</v>
      </c>
      <c r="B276" s="55" t="s">
        <v>62</v>
      </c>
      <c r="C276" s="55" t="s">
        <v>5472</v>
      </c>
      <c r="D276" s="32" t="n">
        <v>75017</v>
      </c>
      <c r="E276" s="32" t="s">
        <v>55</v>
      </c>
      <c r="F276" s="32" t="s">
        <v>5474</v>
      </c>
      <c r="G276" s="55" t="s">
        <v>12765</v>
      </c>
      <c r="H276" s="55" t="s">
        <v>12766</v>
      </c>
      <c r="I276" s="32" t="n">
        <v>0</v>
      </c>
      <c r="J276" s="32" t="n">
        <v>0</v>
      </c>
      <c r="K276" s="43" t="e">
        <f aca="false">VLOOKUP(A276,#REF!,2, )</f>
        <v>#VALUE!</v>
      </c>
      <c r="L276" s="32" t="n">
        <v>0</v>
      </c>
      <c r="M276" s="32" t="n">
        <v>0</v>
      </c>
      <c r="N276" s="32" t="n">
        <v>0</v>
      </c>
      <c r="O276" s="42" t="s">
        <v>11367</v>
      </c>
      <c r="P276" s="41"/>
      <c r="T276" s="42" t="n">
        <v>0</v>
      </c>
      <c r="W276" s="42" t="n">
        <v>0</v>
      </c>
      <c r="Z276" s="42" t="n">
        <v>0</v>
      </c>
      <c r="AA276" s="60" t="n">
        <v>0</v>
      </c>
      <c r="AB276" s="60" t="n">
        <v>0</v>
      </c>
    </row>
    <row r="277" customFormat="false" ht="12.75" hidden="true" customHeight="true" outlineLevel="0" collapsed="false">
      <c r="A277" s="55" t="s">
        <v>12767</v>
      </c>
      <c r="B277" s="55" t="s">
        <v>77</v>
      </c>
      <c r="C277" s="55" t="s">
        <v>4728</v>
      </c>
      <c r="D277" s="32" t="n">
        <v>92200</v>
      </c>
      <c r="E277" s="32" t="s">
        <v>11393</v>
      </c>
      <c r="F277" s="32" t="s">
        <v>4729</v>
      </c>
      <c r="G277" s="55" t="s">
        <v>12768</v>
      </c>
      <c r="H277" s="55" t="s">
        <v>12769</v>
      </c>
      <c r="I277" s="32" t="n">
        <v>0</v>
      </c>
      <c r="J277" s="32" t="n">
        <v>0</v>
      </c>
      <c r="K277" s="43" t="e">
        <f aca="false">VLOOKUP(A277,#REF!,2, )</f>
        <v>#VALUE!</v>
      </c>
      <c r="L277" s="32" t="n">
        <v>0</v>
      </c>
      <c r="M277" s="32" t="n">
        <v>0</v>
      </c>
      <c r="N277" s="32" t="n">
        <v>0</v>
      </c>
      <c r="O277" s="42" t="s">
        <v>11367</v>
      </c>
      <c r="P277" s="41"/>
      <c r="T277" s="42" t="n">
        <v>0</v>
      </c>
      <c r="W277" s="42" t="n">
        <v>0</v>
      </c>
      <c r="Z277" s="42" t="n">
        <v>0</v>
      </c>
      <c r="AA277" s="60" t="n">
        <v>0</v>
      </c>
      <c r="AB277" s="60" t="n">
        <v>0</v>
      </c>
    </row>
    <row r="278" customFormat="false" ht="17.25" hidden="true" customHeight="true" outlineLevel="0" collapsed="false">
      <c r="A278" s="55" t="s">
        <v>12770</v>
      </c>
      <c r="B278" s="55" t="s">
        <v>197</v>
      </c>
      <c r="C278" s="55" t="s">
        <v>12771</v>
      </c>
      <c r="D278" s="32" t="n">
        <v>75017</v>
      </c>
      <c r="E278" s="32" t="s">
        <v>55</v>
      </c>
      <c r="F278" s="32" t="s">
        <v>12772</v>
      </c>
      <c r="G278" s="55" t="s">
        <v>12773</v>
      </c>
      <c r="H278" s="55" t="s">
        <v>12774</v>
      </c>
      <c r="I278" s="32" t="n">
        <v>0</v>
      </c>
      <c r="J278" s="32" t="n">
        <v>0</v>
      </c>
      <c r="K278" s="43" t="e">
        <f aca="false">VLOOKUP(A278,#REF!,2, )</f>
        <v>#VALUE!</v>
      </c>
      <c r="L278" s="32" t="n">
        <v>0</v>
      </c>
      <c r="M278" s="32" t="n">
        <v>0</v>
      </c>
      <c r="N278" s="32" t="n">
        <v>0</v>
      </c>
      <c r="O278" s="42" t="s">
        <v>11367</v>
      </c>
      <c r="P278" s="41"/>
      <c r="T278" s="42" t="n">
        <v>0</v>
      </c>
      <c r="W278" s="42" t="n">
        <v>0</v>
      </c>
      <c r="Z278" s="42" t="n">
        <v>0</v>
      </c>
      <c r="AA278" s="60" t="n">
        <v>0</v>
      </c>
      <c r="AB278" s="60" t="n">
        <v>0</v>
      </c>
    </row>
    <row r="279" customFormat="false" ht="12.75" hidden="true" customHeight="true" outlineLevel="0" collapsed="false">
      <c r="A279" s="55" t="s">
        <v>12775</v>
      </c>
      <c r="B279" s="55" t="s">
        <v>197</v>
      </c>
      <c r="C279" s="55" t="s">
        <v>12776</v>
      </c>
      <c r="D279" s="32" t="n">
        <v>75017</v>
      </c>
      <c r="E279" s="32" t="s">
        <v>55</v>
      </c>
      <c r="F279" s="32" t="s">
        <v>12777</v>
      </c>
      <c r="G279" s="55" t="s">
        <v>12778</v>
      </c>
      <c r="H279" s="55" t="s">
        <v>12779</v>
      </c>
      <c r="I279" s="32" t="n">
        <v>0</v>
      </c>
      <c r="J279" s="32" t="n">
        <v>0</v>
      </c>
      <c r="K279" s="43" t="e">
        <f aca="false">VLOOKUP(A279,#REF!,2, )</f>
        <v>#VALUE!</v>
      </c>
      <c r="L279" s="32" t="n">
        <v>0</v>
      </c>
      <c r="M279" s="32" t="n">
        <v>0</v>
      </c>
      <c r="N279" s="32" t="n">
        <v>0</v>
      </c>
      <c r="O279" s="42" t="s">
        <v>11367</v>
      </c>
      <c r="P279" s="41"/>
      <c r="T279" s="42" t="n">
        <v>0</v>
      </c>
      <c r="W279" s="42" t="n">
        <v>0</v>
      </c>
      <c r="Z279" s="42" t="n">
        <v>0</v>
      </c>
      <c r="AA279" s="60" t="n">
        <v>0</v>
      </c>
      <c r="AB279" s="60" t="n">
        <v>0</v>
      </c>
    </row>
    <row r="280" customFormat="false" ht="17.25" hidden="true" customHeight="true" outlineLevel="0" collapsed="false">
      <c r="A280" s="55" t="s">
        <v>12780</v>
      </c>
      <c r="B280" s="55" t="s">
        <v>435</v>
      </c>
      <c r="C280" s="55" t="s">
        <v>10563</v>
      </c>
      <c r="D280" s="32" t="n">
        <v>75116</v>
      </c>
      <c r="E280" s="32" t="s">
        <v>55</v>
      </c>
      <c r="F280" s="32" t="s">
        <v>10565</v>
      </c>
      <c r="G280" s="55" t="s">
        <v>12781</v>
      </c>
      <c r="H280" s="55" t="s">
        <v>12782</v>
      </c>
      <c r="I280" s="32" t="n">
        <v>0</v>
      </c>
      <c r="J280" s="32" t="n">
        <v>0</v>
      </c>
      <c r="K280" s="43" t="e">
        <f aca="false">VLOOKUP(A280,#REF!,2, )</f>
        <v>#VALUE!</v>
      </c>
      <c r="L280" s="32" t="n">
        <v>0</v>
      </c>
      <c r="M280" s="32" t="n">
        <v>0</v>
      </c>
      <c r="N280" s="32" t="n">
        <v>0</v>
      </c>
      <c r="O280" s="42" t="s">
        <v>11367</v>
      </c>
      <c r="P280" s="41"/>
      <c r="T280" s="42" t="n">
        <v>0</v>
      </c>
      <c r="W280" s="42" t="n">
        <v>0</v>
      </c>
      <c r="Z280" s="42" t="n">
        <v>0</v>
      </c>
      <c r="AA280" s="60" t="n">
        <v>0</v>
      </c>
      <c r="AB280" s="60" t="n">
        <v>0</v>
      </c>
    </row>
    <row r="281" customFormat="false" ht="17.25" hidden="true" customHeight="true" outlineLevel="0" collapsed="false">
      <c r="A281" s="55" t="s">
        <v>12783</v>
      </c>
      <c r="B281" s="55" t="s">
        <v>197</v>
      </c>
      <c r="C281" s="55" t="s">
        <v>12784</v>
      </c>
      <c r="D281" s="32" t="n">
        <v>75008</v>
      </c>
      <c r="E281" s="32" t="s">
        <v>55</v>
      </c>
      <c r="F281" s="32" t="s">
        <v>12785</v>
      </c>
      <c r="G281" s="55" t="s">
        <v>12786</v>
      </c>
      <c r="H281" s="55" t="s">
        <v>12787</v>
      </c>
      <c r="I281" s="32" t="n">
        <v>0</v>
      </c>
      <c r="J281" s="32" t="n">
        <v>0</v>
      </c>
      <c r="K281" s="43" t="e">
        <f aca="false">VLOOKUP(A281,#REF!,2, )</f>
        <v>#VALUE!</v>
      </c>
      <c r="L281" s="32" t="n">
        <v>0</v>
      </c>
      <c r="M281" s="32" t="n">
        <v>0</v>
      </c>
      <c r="N281" s="32" t="n">
        <v>0</v>
      </c>
      <c r="O281" s="42" t="s">
        <v>11367</v>
      </c>
      <c r="P281" s="41"/>
      <c r="T281" s="42" t="n">
        <v>0</v>
      </c>
      <c r="W281" s="42" t="n">
        <v>0</v>
      </c>
      <c r="Z281" s="42" t="n">
        <v>0</v>
      </c>
      <c r="AA281" s="60" t="n">
        <v>0</v>
      </c>
      <c r="AB281" s="60" t="n">
        <v>0</v>
      </c>
    </row>
    <row r="282" customFormat="false" ht="12.75" hidden="true" customHeight="true" outlineLevel="0" collapsed="false">
      <c r="A282" s="55" t="s">
        <v>12729</v>
      </c>
      <c r="B282" s="55" t="s">
        <v>119</v>
      </c>
      <c r="C282" s="55" t="s">
        <v>4428</v>
      </c>
      <c r="D282" s="32" t="n">
        <v>75007</v>
      </c>
      <c r="E282" s="32" t="s">
        <v>55</v>
      </c>
      <c r="F282" s="32" t="s">
        <v>6563</v>
      </c>
      <c r="G282" s="55" t="s">
        <v>12788</v>
      </c>
      <c r="H282" s="55" t="s">
        <v>12789</v>
      </c>
      <c r="I282" s="32" t="n">
        <v>0</v>
      </c>
      <c r="J282" s="32" t="n">
        <v>0</v>
      </c>
      <c r="K282" s="43" t="e">
        <f aca="false">VLOOKUP(A282,#REF!,2, )</f>
        <v>#VALUE!</v>
      </c>
      <c r="L282" s="32" t="n">
        <v>0</v>
      </c>
      <c r="M282" s="32" t="n">
        <v>0</v>
      </c>
      <c r="N282" s="32" t="n">
        <v>0</v>
      </c>
      <c r="O282" s="42" t="s">
        <v>11367</v>
      </c>
      <c r="P282" s="41"/>
      <c r="T282" s="42" t="n">
        <v>0</v>
      </c>
      <c r="W282" s="42" t="n">
        <v>0</v>
      </c>
      <c r="Z282" s="42" t="n">
        <v>0</v>
      </c>
      <c r="AA282" s="60" t="n">
        <v>0</v>
      </c>
      <c r="AB282" s="60" t="n">
        <v>0</v>
      </c>
    </row>
    <row r="283" customFormat="false" ht="17.25" hidden="true" customHeight="true" outlineLevel="0" collapsed="false">
      <c r="A283" s="55" t="s">
        <v>12790</v>
      </c>
      <c r="B283" s="55" t="s">
        <v>62</v>
      </c>
      <c r="C283" s="55" t="s">
        <v>7446</v>
      </c>
      <c r="D283" s="32" t="n">
        <v>75017</v>
      </c>
      <c r="E283" s="32" t="s">
        <v>55</v>
      </c>
      <c r="F283" s="32" t="s">
        <v>12791</v>
      </c>
      <c r="G283" s="55" t="s">
        <v>12792</v>
      </c>
      <c r="H283" s="55" t="s">
        <v>12793</v>
      </c>
      <c r="I283" s="32" t="n">
        <v>0</v>
      </c>
      <c r="J283" s="32" t="n">
        <v>0</v>
      </c>
      <c r="K283" s="43" t="e">
        <f aca="false">VLOOKUP(A283,#REF!,2, )</f>
        <v>#VALUE!</v>
      </c>
      <c r="L283" s="32" t="n">
        <v>0</v>
      </c>
      <c r="M283" s="32" t="n">
        <v>0</v>
      </c>
      <c r="N283" s="32" t="n">
        <v>0</v>
      </c>
      <c r="O283" s="42" t="s">
        <v>11367</v>
      </c>
      <c r="P283" s="41"/>
      <c r="T283" s="42" t="n">
        <v>0</v>
      </c>
      <c r="W283" s="42" t="n">
        <v>0</v>
      </c>
      <c r="Z283" s="42" t="n">
        <v>0</v>
      </c>
      <c r="AA283" s="60" t="n">
        <v>0</v>
      </c>
      <c r="AB283" s="60" t="n">
        <v>0</v>
      </c>
    </row>
    <row r="284" customFormat="false" ht="12.75" hidden="true" customHeight="true" outlineLevel="0" collapsed="false">
      <c r="A284" s="55" t="s">
        <v>12794</v>
      </c>
      <c r="B284" s="55" t="s">
        <v>62</v>
      </c>
      <c r="C284" s="55" t="s">
        <v>2568</v>
      </c>
      <c r="D284" s="32" t="n">
        <v>75017</v>
      </c>
      <c r="E284" s="32" t="s">
        <v>55</v>
      </c>
      <c r="F284" s="32" t="s">
        <v>2569</v>
      </c>
      <c r="G284" s="55" t="s">
        <v>12795</v>
      </c>
      <c r="H284" s="55" t="s">
        <v>12796</v>
      </c>
      <c r="I284" s="32" t="n">
        <v>0</v>
      </c>
      <c r="J284" s="32" t="n">
        <v>0</v>
      </c>
      <c r="K284" s="43" t="e">
        <f aca="false">VLOOKUP(A284,#REF!,2, )</f>
        <v>#VALUE!</v>
      </c>
      <c r="L284" s="32" t="n">
        <v>0</v>
      </c>
      <c r="M284" s="32" t="n">
        <v>0</v>
      </c>
      <c r="N284" s="32" t="n">
        <v>0</v>
      </c>
      <c r="O284" s="42" t="s">
        <v>11367</v>
      </c>
      <c r="P284" s="41"/>
      <c r="T284" s="42" t="n">
        <v>0</v>
      </c>
      <c r="W284" s="42" t="n">
        <v>0</v>
      </c>
      <c r="Z284" s="42" t="n">
        <v>0</v>
      </c>
      <c r="AA284" s="60" t="n">
        <v>0</v>
      </c>
      <c r="AB284" s="60" t="n">
        <v>0</v>
      </c>
    </row>
    <row r="285" customFormat="false" ht="17.25" hidden="true" customHeight="true" outlineLevel="0" collapsed="false">
      <c r="A285" s="55" t="s">
        <v>12797</v>
      </c>
      <c r="B285" s="55" t="s">
        <v>119</v>
      </c>
      <c r="C285" s="55" t="s">
        <v>12798</v>
      </c>
      <c r="D285" s="32" t="n">
        <v>75007</v>
      </c>
      <c r="E285" s="32" t="s">
        <v>55</v>
      </c>
      <c r="F285" s="32" t="s">
        <v>12799</v>
      </c>
      <c r="G285" s="55" t="s">
        <v>12800</v>
      </c>
      <c r="H285" s="55" t="s">
        <v>12801</v>
      </c>
      <c r="I285" s="32" t="n">
        <v>0</v>
      </c>
      <c r="J285" s="32" t="n">
        <v>0</v>
      </c>
      <c r="K285" s="43" t="e">
        <f aca="false">VLOOKUP(A285,#REF!,2, )</f>
        <v>#VALUE!</v>
      </c>
      <c r="L285" s="32" t="n">
        <v>0</v>
      </c>
      <c r="M285" s="32" t="n">
        <v>0</v>
      </c>
      <c r="N285" s="32" t="n">
        <v>0</v>
      </c>
      <c r="O285" s="42" t="s">
        <v>11367</v>
      </c>
      <c r="P285" s="41"/>
      <c r="T285" s="42" t="n">
        <v>0</v>
      </c>
      <c r="W285" s="42" t="n">
        <v>0</v>
      </c>
      <c r="Z285" s="42" t="n">
        <v>0</v>
      </c>
      <c r="AA285" s="60" t="n">
        <v>0</v>
      </c>
      <c r="AB285" s="60" t="n">
        <v>0</v>
      </c>
    </row>
    <row r="286" customFormat="false" ht="17.25" hidden="true" customHeight="true" outlineLevel="0" collapsed="false">
      <c r="A286" s="55" t="s">
        <v>12802</v>
      </c>
      <c r="B286" s="55" t="s">
        <v>77</v>
      </c>
      <c r="C286" s="55" t="s">
        <v>12803</v>
      </c>
      <c r="D286" s="32" t="n">
        <v>92500</v>
      </c>
      <c r="E286" s="32" t="s">
        <v>11393</v>
      </c>
      <c r="F286" s="32" t="s">
        <v>5787</v>
      </c>
      <c r="G286" s="55" t="s">
        <v>12804</v>
      </c>
      <c r="H286" s="55" t="s">
        <v>12805</v>
      </c>
      <c r="I286" s="32" t="n">
        <v>0</v>
      </c>
      <c r="J286" s="32" t="n">
        <v>0</v>
      </c>
      <c r="K286" s="43" t="e">
        <f aca="false">VLOOKUP(A286,#REF!,2, )</f>
        <v>#VALUE!</v>
      </c>
      <c r="L286" s="32" t="n">
        <v>0</v>
      </c>
      <c r="M286" s="32" t="n">
        <v>0</v>
      </c>
      <c r="N286" s="32" t="n">
        <v>0</v>
      </c>
      <c r="O286" s="42" t="s">
        <v>11367</v>
      </c>
      <c r="P286" s="41"/>
      <c r="T286" s="42" t="n">
        <v>0</v>
      </c>
      <c r="W286" s="42" t="n">
        <v>0</v>
      </c>
      <c r="Z286" s="42" t="n">
        <v>0</v>
      </c>
      <c r="AA286" s="60" t="n">
        <v>0</v>
      </c>
      <c r="AB286" s="60" t="n">
        <v>0</v>
      </c>
    </row>
    <row r="287" customFormat="false" ht="17.25" hidden="true" customHeight="true" outlineLevel="0" collapsed="false">
      <c r="A287" s="55" t="s">
        <v>12806</v>
      </c>
      <c r="B287" s="55" t="s">
        <v>51</v>
      </c>
      <c r="C287" s="55" t="s">
        <v>2011</v>
      </c>
      <c r="D287" s="32" t="n">
        <v>75015</v>
      </c>
      <c r="E287" s="32" t="s">
        <v>55</v>
      </c>
      <c r="F287" s="32" t="s">
        <v>7251</v>
      </c>
      <c r="G287" s="55" t="s">
        <v>12807</v>
      </c>
      <c r="H287" s="55" t="s">
        <v>12808</v>
      </c>
      <c r="I287" s="32" t="n">
        <v>0</v>
      </c>
      <c r="J287" s="32" t="n">
        <v>0</v>
      </c>
      <c r="K287" s="43" t="e">
        <f aca="false">VLOOKUP(A287,#REF!,2, )</f>
        <v>#VALUE!</v>
      </c>
      <c r="L287" s="32" t="n">
        <v>0</v>
      </c>
      <c r="M287" s="32" t="n">
        <v>0</v>
      </c>
      <c r="N287" s="32" t="n">
        <v>0</v>
      </c>
      <c r="O287" s="42" t="s">
        <v>11367</v>
      </c>
      <c r="P287" s="41"/>
      <c r="T287" s="42" t="n">
        <v>0</v>
      </c>
      <c r="W287" s="42" t="n">
        <v>0</v>
      </c>
      <c r="Z287" s="42" t="n">
        <v>0</v>
      </c>
      <c r="AA287" s="60" t="n">
        <v>0</v>
      </c>
      <c r="AB287" s="60" t="n">
        <v>0</v>
      </c>
    </row>
    <row r="288" customFormat="false" ht="17.25" hidden="true" customHeight="true" outlineLevel="0" collapsed="false">
      <c r="A288" s="55" t="s">
        <v>12809</v>
      </c>
      <c r="B288" s="55" t="s">
        <v>572</v>
      </c>
      <c r="C288" s="55" t="s">
        <v>12810</v>
      </c>
      <c r="D288" s="32" t="n">
        <v>75008</v>
      </c>
      <c r="E288" s="32" t="s">
        <v>55</v>
      </c>
      <c r="F288" s="32" t="s">
        <v>12811</v>
      </c>
      <c r="G288" s="55" t="s">
        <v>12812</v>
      </c>
      <c r="H288" s="55" t="s">
        <v>12813</v>
      </c>
      <c r="I288" s="32" t="n">
        <v>0</v>
      </c>
      <c r="J288" s="32" t="n">
        <v>0</v>
      </c>
      <c r="K288" s="43" t="e">
        <f aca="false">VLOOKUP(A288,#REF!,2, )</f>
        <v>#VALUE!</v>
      </c>
      <c r="L288" s="32" t="n">
        <v>0</v>
      </c>
      <c r="M288" s="32" t="n">
        <v>0</v>
      </c>
      <c r="N288" s="32" t="n">
        <v>0</v>
      </c>
      <c r="O288" s="42" t="s">
        <v>11367</v>
      </c>
      <c r="P288" s="41"/>
      <c r="T288" s="42" t="n">
        <v>0</v>
      </c>
      <c r="W288" s="42" t="n">
        <v>0</v>
      </c>
      <c r="Z288" s="42" t="n">
        <v>0</v>
      </c>
      <c r="AA288" s="60" t="n">
        <v>0</v>
      </c>
      <c r="AB288" s="60" t="n">
        <v>0</v>
      </c>
    </row>
    <row r="289" customFormat="false" ht="17.25" hidden="true" customHeight="true" outlineLevel="0" collapsed="false">
      <c r="A289" s="55" t="s">
        <v>12814</v>
      </c>
      <c r="B289" s="55" t="s">
        <v>51</v>
      </c>
      <c r="C289" s="55" t="s">
        <v>53</v>
      </c>
      <c r="D289" s="32" t="n">
        <v>75015</v>
      </c>
      <c r="E289" s="32" t="s">
        <v>55</v>
      </c>
      <c r="F289" s="32" t="s">
        <v>1821</v>
      </c>
      <c r="G289" s="55" t="s">
        <v>12815</v>
      </c>
      <c r="H289" s="55" t="s">
        <v>12816</v>
      </c>
      <c r="I289" s="32" t="n">
        <v>0</v>
      </c>
      <c r="J289" s="32" t="n">
        <v>0</v>
      </c>
      <c r="K289" s="43" t="e">
        <f aca="false">VLOOKUP(A289,#REF!,2, )</f>
        <v>#VALUE!</v>
      </c>
      <c r="L289" s="32" t="n">
        <v>0</v>
      </c>
      <c r="M289" s="32" t="n">
        <v>0</v>
      </c>
      <c r="N289" s="32" t="n">
        <v>0</v>
      </c>
      <c r="O289" s="42" t="s">
        <v>11367</v>
      </c>
      <c r="P289" s="41"/>
      <c r="T289" s="42" t="n">
        <v>0</v>
      </c>
      <c r="W289" s="42" t="n">
        <v>0</v>
      </c>
      <c r="Z289" s="42" t="n">
        <v>0</v>
      </c>
      <c r="AA289" s="60" t="n">
        <v>0</v>
      </c>
      <c r="AB289" s="60" t="n">
        <v>0</v>
      </c>
    </row>
    <row r="290" customFormat="false" ht="17.25" hidden="true" customHeight="true" outlineLevel="0" collapsed="false">
      <c r="A290" s="55" t="s">
        <v>12817</v>
      </c>
      <c r="B290" s="55" t="s">
        <v>51</v>
      </c>
      <c r="C290" s="55" t="s">
        <v>12818</v>
      </c>
      <c r="D290" s="32" t="n">
        <v>75015</v>
      </c>
      <c r="E290" s="32" t="s">
        <v>55</v>
      </c>
      <c r="F290" s="32" t="s">
        <v>12819</v>
      </c>
      <c r="G290" s="55" t="s">
        <v>12820</v>
      </c>
      <c r="H290" s="55" t="s">
        <v>12821</v>
      </c>
      <c r="I290" s="32" t="n">
        <v>0</v>
      </c>
      <c r="J290" s="32" t="n">
        <v>0</v>
      </c>
      <c r="K290" s="43" t="e">
        <f aca="false">VLOOKUP(A290,#REF!,2, )</f>
        <v>#VALUE!</v>
      </c>
      <c r="L290" s="32" t="n">
        <v>0</v>
      </c>
      <c r="M290" s="32" t="n">
        <v>0</v>
      </c>
      <c r="N290" s="32" t="n">
        <v>0</v>
      </c>
      <c r="O290" s="42" t="s">
        <v>11367</v>
      </c>
      <c r="P290" s="41"/>
      <c r="T290" s="42" t="n">
        <v>0</v>
      </c>
      <c r="W290" s="42" t="n">
        <v>0</v>
      </c>
      <c r="Z290" s="42" t="n">
        <v>0</v>
      </c>
      <c r="AA290" s="60" t="n">
        <v>0</v>
      </c>
      <c r="AB290" s="60" t="n">
        <v>0</v>
      </c>
    </row>
    <row r="291" customFormat="false" ht="17.25" hidden="true" customHeight="true" outlineLevel="0" collapsed="false">
      <c r="A291" s="55" t="s">
        <v>12822</v>
      </c>
      <c r="B291" s="55" t="s">
        <v>572</v>
      </c>
      <c r="C291" s="55" t="s">
        <v>12823</v>
      </c>
      <c r="D291" s="32" t="n">
        <v>75008</v>
      </c>
      <c r="E291" s="32" t="s">
        <v>55</v>
      </c>
      <c r="F291" s="32" t="s">
        <v>12824</v>
      </c>
      <c r="G291" s="55" t="s">
        <v>12825</v>
      </c>
      <c r="H291" s="55" t="s">
        <v>12826</v>
      </c>
      <c r="I291" s="32" t="n">
        <v>0</v>
      </c>
      <c r="J291" s="32" t="n">
        <v>0</v>
      </c>
      <c r="K291" s="43" t="e">
        <f aca="false">VLOOKUP(A291,#REF!,2, )</f>
        <v>#VALUE!</v>
      </c>
      <c r="L291" s="32" t="n">
        <v>0</v>
      </c>
      <c r="M291" s="32" t="n">
        <v>0</v>
      </c>
      <c r="N291" s="32" t="n">
        <v>0</v>
      </c>
      <c r="O291" s="42" t="s">
        <v>11367</v>
      </c>
      <c r="P291" s="41"/>
      <c r="T291" s="42" t="n">
        <v>0</v>
      </c>
      <c r="W291" s="42" t="n">
        <v>0</v>
      </c>
      <c r="Z291" s="42" t="n">
        <v>0</v>
      </c>
      <c r="AA291" s="60" t="n">
        <v>0</v>
      </c>
      <c r="AB291" s="60" t="n">
        <v>0</v>
      </c>
    </row>
    <row r="292" customFormat="false" ht="17.25" hidden="true" customHeight="true" outlineLevel="0" collapsed="false">
      <c r="A292" s="55" t="s">
        <v>12827</v>
      </c>
      <c r="B292" s="55" t="s">
        <v>119</v>
      </c>
      <c r="C292" s="55" t="s">
        <v>12828</v>
      </c>
      <c r="D292" s="32" t="n">
        <v>75015</v>
      </c>
      <c r="E292" s="32" t="s">
        <v>55</v>
      </c>
      <c r="F292" s="32" t="s">
        <v>12829</v>
      </c>
      <c r="G292" s="55" t="s">
        <v>12830</v>
      </c>
      <c r="H292" s="55" t="s">
        <v>12831</v>
      </c>
      <c r="I292" s="32" t="n">
        <v>0</v>
      </c>
      <c r="J292" s="32" t="n">
        <v>0</v>
      </c>
      <c r="K292" s="43" t="e">
        <f aca="false">VLOOKUP(A292,#REF!,2, )</f>
        <v>#VALUE!</v>
      </c>
      <c r="L292" s="32" t="n">
        <v>0</v>
      </c>
      <c r="M292" s="32" t="n">
        <v>0</v>
      </c>
      <c r="N292" s="32" t="n">
        <v>0</v>
      </c>
      <c r="O292" s="42" t="s">
        <v>11367</v>
      </c>
      <c r="P292" s="41"/>
      <c r="T292" s="42" t="n">
        <v>0</v>
      </c>
      <c r="W292" s="42" t="n">
        <v>0</v>
      </c>
      <c r="Z292" s="42" t="n">
        <v>0</v>
      </c>
      <c r="AA292" s="60" t="n">
        <v>0</v>
      </c>
      <c r="AB292" s="60" t="n">
        <v>0</v>
      </c>
    </row>
    <row r="293" customFormat="false" ht="17.25" hidden="true" customHeight="true" outlineLevel="0" collapsed="false">
      <c r="A293" s="55" t="s">
        <v>12832</v>
      </c>
      <c r="B293" s="55" t="s">
        <v>119</v>
      </c>
      <c r="C293" s="55" t="s">
        <v>1715</v>
      </c>
      <c r="D293" s="32" t="n">
        <v>75007</v>
      </c>
      <c r="E293" s="32" t="s">
        <v>55</v>
      </c>
      <c r="F293" s="32" t="s">
        <v>1717</v>
      </c>
      <c r="G293" s="55" t="s">
        <v>12833</v>
      </c>
      <c r="H293" s="55" t="s">
        <v>12834</v>
      </c>
      <c r="I293" s="32" t="n">
        <v>0</v>
      </c>
      <c r="J293" s="32" t="n">
        <v>0</v>
      </c>
      <c r="K293" s="43" t="e">
        <f aca="false">VLOOKUP(A293,#REF!,2, )</f>
        <v>#VALUE!</v>
      </c>
      <c r="L293" s="32" t="n">
        <v>0</v>
      </c>
      <c r="M293" s="32" t="n">
        <v>0</v>
      </c>
      <c r="N293" s="32" t="n">
        <v>0</v>
      </c>
      <c r="O293" s="42" t="s">
        <v>11367</v>
      </c>
      <c r="P293" s="41"/>
      <c r="T293" s="42" t="n">
        <v>0</v>
      </c>
      <c r="W293" s="42" t="n">
        <v>0</v>
      </c>
      <c r="Z293" s="42" t="n">
        <v>0</v>
      </c>
      <c r="AA293" s="60" t="n">
        <v>0</v>
      </c>
      <c r="AB293" s="60" t="n">
        <v>0</v>
      </c>
    </row>
    <row r="294" customFormat="false" ht="17.25" hidden="true" customHeight="true" outlineLevel="0" collapsed="false">
      <c r="A294" s="55" t="s">
        <v>12835</v>
      </c>
      <c r="B294" s="55" t="s">
        <v>295</v>
      </c>
      <c r="C294" s="55" t="s">
        <v>12836</v>
      </c>
      <c r="D294" s="32" t="n">
        <v>92300</v>
      </c>
      <c r="E294" s="32" t="s">
        <v>11355</v>
      </c>
      <c r="F294" s="32" t="s">
        <v>12837</v>
      </c>
      <c r="G294" s="55" t="s">
        <v>12838</v>
      </c>
      <c r="H294" s="55" t="s">
        <v>12839</v>
      </c>
      <c r="I294" s="32" t="n">
        <v>0</v>
      </c>
      <c r="J294" s="32" t="n">
        <v>0</v>
      </c>
      <c r="K294" s="43" t="e">
        <f aca="false">VLOOKUP(A294,#REF!,2, )</f>
        <v>#VALUE!</v>
      </c>
      <c r="L294" s="32" t="n">
        <v>0</v>
      </c>
      <c r="M294" s="32" t="n">
        <v>0</v>
      </c>
      <c r="N294" s="32" t="n">
        <v>0</v>
      </c>
      <c r="O294" s="42" t="s">
        <v>11367</v>
      </c>
      <c r="P294" s="41"/>
      <c r="T294" s="42" t="n">
        <v>0</v>
      </c>
      <c r="W294" s="42" t="n">
        <v>0</v>
      </c>
      <c r="Z294" s="42" t="n">
        <v>0</v>
      </c>
      <c r="AA294" s="60" t="n">
        <v>0</v>
      </c>
      <c r="AB294" s="60" t="n">
        <v>0</v>
      </c>
    </row>
    <row r="295" customFormat="false" ht="12.75" hidden="true" customHeight="true" outlineLevel="0" collapsed="false">
      <c r="A295" s="55" t="s">
        <v>12840</v>
      </c>
      <c r="B295" s="55" t="s">
        <v>119</v>
      </c>
      <c r="C295" s="55" t="s">
        <v>12841</v>
      </c>
      <c r="D295" s="32" t="n">
        <v>75007</v>
      </c>
      <c r="E295" s="32" t="s">
        <v>55</v>
      </c>
      <c r="F295" s="32" t="s">
        <v>12842</v>
      </c>
      <c r="G295" s="55" t="s">
        <v>12843</v>
      </c>
      <c r="H295" s="55" t="s">
        <v>12844</v>
      </c>
      <c r="I295" s="32" t="n">
        <v>0</v>
      </c>
      <c r="J295" s="32" t="n">
        <v>0</v>
      </c>
      <c r="K295" s="43" t="e">
        <f aca="false">VLOOKUP(A295,#REF!,2, )</f>
        <v>#VALUE!</v>
      </c>
      <c r="L295" s="32" t="n">
        <v>0</v>
      </c>
      <c r="M295" s="32" t="n">
        <v>0</v>
      </c>
      <c r="N295" s="32" t="n">
        <v>0</v>
      </c>
      <c r="O295" s="42" t="s">
        <v>11367</v>
      </c>
      <c r="P295" s="41"/>
      <c r="T295" s="42" t="n">
        <v>0</v>
      </c>
      <c r="W295" s="42" t="n">
        <v>0</v>
      </c>
      <c r="Z295" s="42" t="n">
        <v>0</v>
      </c>
      <c r="AA295" s="60" t="n">
        <v>0</v>
      </c>
      <c r="AB295" s="60" t="n">
        <v>0</v>
      </c>
    </row>
    <row r="296" customFormat="false" ht="17.25" hidden="true" customHeight="true" outlineLevel="0" collapsed="false">
      <c r="A296" s="55" t="s">
        <v>12845</v>
      </c>
      <c r="B296" s="55" t="s">
        <v>295</v>
      </c>
      <c r="C296" s="55" t="s">
        <v>10553</v>
      </c>
      <c r="D296" s="32" t="n">
        <v>92300</v>
      </c>
      <c r="E296" s="32" t="s">
        <v>11355</v>
      </c>
      <c r="F296" s="32" t="s">
        <v>10555</v>
      </c>
      <c r="G296" s="55" t="s">
        <v>12846</v>
      </c>
      <c r="H296" s="55" t="s">
        <v>12847</v>
      </c>
      <c r="I296" s="32" t="n">
        <v>0</v>
      </c>
      <c r="J296" s="32" t="n">
        <v>0</v>
      </c>
      <c r="K296" s="43" t="e">
        <f aca="false">VLOOKUP(A296,#REF!,2, )</f>
        <v>#VALUE!</v>
      </c>
      <c r="L296" s="32" t="n">
        <v>0</v>
      </c>
      <c r="M296" s="32" t="n">
        <v>0</v>
      </c>
      <c r="N296" s="32" t="n">
        <v>0</v>
      </c>
      <c r="O296" s="42" t="s">
        <v>11367</v>
      </c>
      <c r="P296" s="41"/>
      <c r="T296" s="42" t="n">
        <v>0</v>
      </c>
      <c r="W296" s="42" t="n">
        <v>0</v>
      </c>
      <c r="Z296" s="42" t="n">
        <v>0</v>
      </c>
      <c r="AA296" s="60" t="n">
        <v>0</v>
      </c>
      <c r="AB296" s="60" t="n">
        <v>0</v>
      </c>
    </row>
    <row r="297" customFormat="false" ht="17.25" hidden="true" customHeight="true" outlineLevel="0" collapsed="false">
      <c r="A297" s="55" t="s">
        <v>12848</v>
      </c>
      <c r="B297" s="55" t="s">
        <v>99</v>
      </c>
      <c r="C297" s="55" t="s">
        <v>3355</v>
      </c>
      <c r="D297" s="32" t="n">
        <v>75015</v>
      </c>
      <c r="E297" s="32" t="s">
        <v>55</v>
      </c>
      <c r="F297" s="32" t="s">
        <v>12849</v>
      </c>
      <c r="G297" s="55" t="s">
        <v>12850</v>
      </c>
      <c r="H297" s="55" t="s">
        <v>12851</v>
      </c>
      <c r="I297" s="32" t="n">
        <v>0</v>
      </c>
      <c r="J297" s="32" t="n">
        <v>0</v>
      </c>
      <c r="K297" s="43" t="e">
        <f aca="false">VLOOKUP(A297,#REF!,2, )</f>
        <v>#VALUE!</v>
      </c>
      <c r="L297" s="32" t="n">
        <v>0</v>
      </c>
      <c r="M297" s="32" t="n">
        <v>0</v>
      </c>
      <c r="N297" s="32" t="n">
        <v>0</v>
      </c>
      <c r="O297" s="42" t="s">
        <v>11367</v>
      </c>
      <c r="P297" s="41"/>
      <c r="T297" s="42" t="n">
        <v>0</v>
      </c>
      <c r="W297" s="42" t="n">
        <v>0</v>
      </c>
      <c r="Z297" s="42" t="n">
        <v>0</v>
      </c>
      <c r="AA297" s="60" t="n">
        <v>0</v>
      </c>
      <c r="AB297" s="60" t="n">
        <v>0</v>
      </c>
    </row>
    <row r="298" customFormat="false" ht="12.75" hidden="true" customHeight="true" outlineLevel="0" collapsed="false">
      <c r="A298" s="55" t="s">
        <v>12852</v>
      </c>
      <c r="B298" s="55" t="s">
        <v>119</v>
      </c>
      <c r="C298" s="55" t="s">
        <v>12853</v>
      </c>
      <c r="D298" s="32" t="n">
        <v>75007</v>
      </c>
      <c r="E298" s="32" t="s">
        <v>55</v>
      </c>
      <c r="F298" s="32" t="s">
        <v>3807</v>
      </c>
      <c r="G298" s="55" t="s">
        <v>12854</v>
      </c>
      <c r="H298" s="55" t="s">
        <v>12855</v>
      </c>
      <c r="I298" s="32" t="n">
        <v>0</v>
      </c>
      <c r="J298" s="32" t="n">
        <v>0</v>
      </c>
      <c r="K298" s="43" t="e">
        <f aca="false">VLOOKUP(A298,#REF!,2, )</f>
        <v>#VALUE!</v>
      </c>
      <c r="L298" s="32" t="n">
        <v>0</v>
      </c>
      <c r="M298" s="32" t="n">
        <v>0</v>
      </c>
      <c r="N298" s="32" t="n">
        <v>0</v>
      </c>
      <c r="O298" s="42" t="s">
        <v>11367</v>
      </c>
      <c r="P298" s="41"/>
      <c r="T298" s="42" t="n">
        <v>0</v>
      </c>
      <c r="W298" s="42" t="n">
        <v>0</v>
      </c>
      <c r="Z298" s="42" t="n">
        <v>0</v>
      </c>
      <c r="AA298" s="60" t="n">
        <v>0</v>
      </c>
      <c r="AB298" s="60" t="n">
        <v>0</v>
      </c>
    </row>
    <row r="299" customFormat="false" ht="12.75" hidden="true" customHeight="true" outlineLevel="0" collapsed="false">
      <c r="A299" s="55" t="s">
        <v>12856</v>
      </c>
      <c r="B299" s="55" t="s">
        <v>572</v>
      </c>
      <c r="C299" s="55" t="s">
        <v>12857</v>
      </c>
      <c r="D299" s="32" t="n">
        <v>75008</v>
      </c>
      <c r="E299" s="32" t="s">
        <v>55</v>
      </c>
      <c r="F299" s="32" t="s">
        <v>12858</v>
      </c>
      <c r="G299" s="55" t="s">
        <v>12859</v>
      </c>
      <c r="H299" s="55" t="s">
        <v>12860</v>
      </c>
      <c r="I299" s="32" t="n">
        <v>0</v>
      </c>
      <c r="J299" s="32" t="n">
        <v>0</v>
      </c>
      <c r="K299" s="43" t="e">
        <f aca="false">VLOOKUP(A299,#REF!,2, )</f>
        <v>#VALUE!</v>
      </c>
      <c r="L299" s="32" t="n">
        <v>0</v>
      </c>
      <c r="M299" s="32" t="n">
        <v>0</v>
      </c>
      <c r="N299" s="32" t="n">
        <v>0</v>
      </c>
      <c r="O299" s="42" t="s">
        <v>11367</v>
      </c>
      <c r="P299" s="41"/>
      <c r="T299" s="42" t="n">
        <v>0</v>
      </c>
      <c r="W299" s="42" t="n">
        <v>0</v>
      </c>
      <c r="Z299" s="42" t="n">
        <v>0</v>
      </c>
      <c r="AA299" s="60" t="n">
        <v>0</v>
      </c>
      <c r="AB299" s="60" t="n">
        <v>0</v>
      </c>
    </row>
    <row r="300" customFormat="false" ht="12.75" hidden="true" customHeight="true" outlineLevel="0" collapsed="false">
      <c r="A300" s="55" t="s">
        <v>12861</v>
      </c>
      <c r="B300" s="55" t="s">
        <v>233</v>
      </c>
      <c r="C300" s="55" t="s">
        <v>12862</v>
      </c>
      <c r="D300" s="32" t="n">
        <v>75015</v>
      </c>
      <c r="E300" s="32" t="s">
        <v>55</v>
      </c>
      <c r="F300" s="32" t="s">
        <v>12863</v>
      </c>
      <c r="G300" s="55" t="s">
        <v>12864</v>
      </c>
      <c r="H300" s="55" t="s">
        <v>12865</v>
      </c>
      <c r="I300" s="32" t="n">
        <v>0</v>
      </c>
      <c r="J300" s="32" t="n">
        <v>0</v>
      </c>
      <c r="K300" s="43" t="e">
        <f aca="false">VLOOKUP(A300,#REF!,2, )</f>
        <v>#VALUE!</v>
      </c>
      <c r="L300" s="32" t="n">
        <v>0</v>
      </c>
      <c r="M300" s="32" t="n">
        <v>0</v>
      </c>
      <c r="N300" s="32" t="n">
        <v>0</v>
      </c>
      <c r="O300" s="42" t="s">
        <v>11367</v>
      </c>
      <c r="P300" s="41"/>
      <c r="T300" s="42" t="n">
        <v>0</v>
      </c>
      <c r="W300" s="42" t="n">
        <v>0</v>
      </c>
      <c r="Z300" s="42" t="n">
        <v>0</v>
      </c>
      <c r="AA300" s="60" t="n">
        <v>0</v>
      </c>
      <c r="AB300" s="60" t="n">
        <v>0</v>
      </c>
    </row>
    <row r="301" customFormat="false" ht="12.75" hidden="true" customHeight="true" outlineLevel="0" collapsed="false">
      <c r="A301" s="55" t="s">
        <v>12866</v>
      </c>
      <c r="B301" s="55" t="s">
        <v>62</v>
      </c>
      <c r="C301" s="55" t="s">
        <v>12867</v>
      </c>
      <c r="D301" s="32" t="n">
        <v>75017</v>
      </c>
      <c r="E301" s="32" t="s">
        <v>55</v>
      </c>
      <c r="F301" s="32" t="s">
        <v>12868</v>
      </c>
      <c r="G301" s="55" t="s">
        <v>12869</v>
      </c>
      <c r="H301" s="55" t="s">
        <v>12870</v>
      </c>
      <c r="I301" s="32" t="n">
        <v>0</v>
      </c>
      <c r="J301" s="32" t="n">
        <v>0</v>
      </c>
      <c r="K301" s="43" t="e">
        <f aca="false">VLOOKUP(A301,#REF!,2, )</f>
        <v>#VALUE!</v>
      </c>
      <c r="L301" s="32" t="n">
        <v>0</v>
      </c>
      <c r="M301" s="32" t="n">
        <v>0</v>
      </c>
      <c r="N301" s="32" t="n">
        <v>0</v>
      </c>
      <c r="O301" s="42" t="s">
        <v>11367</v>
      </c>
      <c r="P301" s="41"/>
      <c r="T301" s="42" t="n">
        <v>0</v>
      </c>
      <c r="W301" s="42" t="n">
        <v>0</v>
      </c>
      <c r="Z301" s="42" t="n">
        <v>0</v>
      </c>
      <c r="AA301" s="60" t="n">
        <v>0</v>
      </c>
      <c r="AB301" s="60" t="n">
        <v>0</v>
      </c>
    </row>
    <row r="302" customFormat="false" ht="17.25" hidden="true" customHeight="true" outlineLevel="0" collapsed="false">
      <c r="A302" s="55" t="s">
        <v>12871</v>
      </c>
      <c r="B302" s="55" t="s">
        <v>173</v>
      </c>
      <c r="C302" s="55" t="s">
        <v>12872</v>
      </c>
      <c r="D302" s="32" t="n">
        <v>75116</v>
      </c>
      <c r="E302" s="32" t="s">
        <v>55</v>
      </c>
      <c r="F302" s="32" t="s">
        <v>12873</v>
      </c>
      <c r="G302" s="55" t="s">
        <v>12874</v>
      </c>
      <c r="H302" s="55" t="s">
        <v>12875</v>
      </c>
      <c r="I302" s="32" t="n">
        <v>0</v>
      </c>
      <c r="J302" s="32" t="n">
        <v>0</v>
      </c>
      <c r="K302" s="43" t="e">
        <f aca="false">VLOOKUP(A302,#REF!,2, )</f>
        <v>#VALUE!</v>
      </c>
      <c r="L302" s="32" t="n">
        <v>0</v>
      </c>
      <c r="M302" s="32" t="n">
        <v>0</v>
      </c>
      <c r="N302" s="32" t="n">
        <v>0</v>
      </c>
      <c r="O302" s="42" t="s">
        <v>11367</v>
      </c>
      <c r="P302" s="41"/>
      <c r="T302" s="42" t="n">
        <v>0</v>
      </c>
      <c r="W302" s="42" t="n">
        <v>0</v>
      </c>
      <c r="Z302" s="42" t="n">
        <v>0</v>
      </c>
      <c r="AA302" s="60" t="n">
        <v>0</v>
      </c>
      <c r="AB302" s="60" t="n">
        <v>0</v>
      </c>
    </row>
    <row r="303" customFormat="false" ht="12.75" hidden="true" customHeight="true" outlineLevel="0" collapsed="false">
      <c r="A303" s="55" t="s">
        <v>12876</v>
      </c>
      <c r="B303" s="55" t="s">
        <v>572</v>
      </c>
      <c r="C303" s="55" t="s">
        <v>12877</v>
      </c>
      <c r="D303" s="32" t="n">
        <v>75008</v>
      </c>
      <c r="E303" s="32" t="s">
        <v>55</v>
      </c>
      <c r="F303" s="32" t="s">
        <v>12878</v>
      </c>
      <c r="G303" s="55" t="s">
        <v>12879</v>
      </c>
      <c r="H303" s="55" t="s">
        <v>12880</v>
      </c>
      <c r="I303" s="32" t="n">
        <v>0</v>
      </c>
      <c r="J303" s="32" t="n">
        <v>0</v>
      </c>
      <c r="K303" s="43" t="e">
        <f aca="false">VLOOKUP(A303,#REF!,2, )</f>
        <v>#VALUE!</v>
      </c>
      <c r="L303" s="32" t="n">
        <v>0</v>
      </c>
      <c r="M303" s="32" t="n">
        <v>0</v>
      </c>
      <c r="N303" s="32" t="n">
        <v>0</v>
      </c>
      <c r="O303" s="42" t="s">
        <v>11367</v>
      </c>
      <c r="P303" s="41"/>
      <c r="T303" s="42" t="n">
        <v>0</v>
      </c>
      <c r="W303" s="42" t="n">
        <v>0</v>
      </c>
      <c r="Z303" s="42" t="n">
        <v>0</v>
      </c>
      <c r="AA303" s="60" t="n">
        <v>0</v>
      </c>
      <c r="AB303" s="60" t="n">
        <v>0</v>
      </c>
    </row>
    <row r="304" customFormat="false" ht="12.75" hidden="true" customHeight="true" outlineLevel="0" collapsed="false">
      <c r="A304" s="55" t="s">
        <v>12881</v>
      </c>
      <c r="B304" s="55" t="s">
        <v>295</v>
      </c>
      <c r="C304" s="55" t="s">
        <v>7156</v>
      </c>
      <c r="D304" s="32" t="n">
        <v>92300</v>
      </c>
      <c r="E304" s="32" t="s">
        <v>11355</v>
      </c>
      <c r="F304" s="32" t="s">
        <v>7157</v>
      </c>
      <c r="G304" s="55" t="s">
        <v>12882</v>
      </c>
      <c r="H304" s="55" t="s">
        <v>12883</v>
      </c>
      <c r="I304" s="32" t="n">
        <v>0</v>
      </c>
      <c r="J304" s="32" t="n">
        <v>0</v>
      </c>
      <c r="K304" s="43" t="e">
        <f aca="false">VLOOKUP(A304,#REF!,2, )</f>
        <v>#VALUE!</v>
      </c>
      <c r="L304" s="32" t="n">
        <v>0</v>
      </c>
      <c r="M304" s="32" t="n">
        <v>0</v>
      </c>
      <c r="N304" s="32" t="n">
        <v>0</v>
      </c>
      <c r="O304" s="42" t="s">
        <v>11367</v>
      </c>
      <c r="P304" s="41"/>
      <c r="T304" s="42" t="n">
        <v>0</v>
      </c>
      <c r="W304" s="42" t="n">
        <v>0</v>
      </c>
      <c r="Z304" s="42" t="n">
        <v>0</v>
      </c>
      <c r="AA304" s="60" t="n">
        <v>0</v>
      </c>
      <c r="AB304" s="60" t="n">
        <v>0</v>
      </c>
    </row>
    <row r="305" customFormat="false" ht="12.75" hidden="true" customHeight="true" outlineLevel="0" collapsed="false">
      <c r="A305" s="55" t="s">
        <v>12884</v>
      </c>
      <c r="B305" s="55" t="s">
        <v>173</v>
      </c>
      <c r="C305" s="55" t="s">
        <v>2537</v>
      </c>
      <c r="D305" s="32" t="n">
        <v>75116</v>
      </c>
      <c r="E305" s="32" t="s">
        <v>55</v>
      </c>
      <c r="F305" s="32" t="s">
        <v>7255</v>
      </c>
      <c r="G305" s="55" t="s">
        <v>12885</v>
      </c>
      <c r="H305" s="55" t="s">
        <v>12886</v>
      </c>
      <c r="I305" s="32" t="n">
        <v>0</v>
      </c>
      <c r="J305" s="32" t="n">
        <v>0</v>
      </c>
      <c r="K305" s="43" t="e">
        <f aca="false">VLOOKUP(A305,#REF!,2, )</f>
        <v>#VALUE!</v>
      </c>
      <c r="L305" s="32" t="n">
        <v>0</v>
      </c>
      <c r="M305" s="32" t="n">
        <v>0</v>
      </c>
      <c r="N305" s="32" t="n">
        <v>0</v>
      </c>
      <c r="O305" s="42" t="s">
        <v>11367</v>
      </c>
      <c r="P305" s="41"/>
      <c r="T305" s="42" t="n">
        <v>0</v>
      </c>
      <c r="W305" s="42" t="n">
        <v>0</v>
      </c>
      <c r="Z305" s="42" t="n">
        <v>0</v>
      </c>
      <c r="AA305" s="60" t="n">
        <v>0</v>
      </c>
      <c r="AB305" s="60" t="n">
        <v>0</v>
      </c>
    </row>
    <row r="306" customFormat="false" ht="12.75" hidden="true" customHeight="true" outlineLevel="0" collapsed="false">
      <c r="A306" s="55" t="s">
        <v>12887</v>
      </c>
      <c r="B306" s="55" t="s">
        <v>99</v>
      </c>
      <c r="C306" s="55" t="s">
        <v>12888</v>
      </c>
      <c r="D306" s="32" t="n">
        <v>75015</v>
      </c>
      <c r="E306" s="32" t="s">
        <v>55</v>
      </c>
      <c r="F306" s="32" t="s">
        <v>12889</v>
      </c>
      <c r="G306" s="55" t="s">
        <v>12890</v>
      </c>
      <c r="H306" s="55" t="s">
        <v>12891</v>
      </c>
      <c r="I306" s="32" t="n">
        <v>0</v>
      </c>
      <c r="J306" s="32" t="n">
        <v>0</v>
      </c>
      <c r="K306" s="43" t="e">
        <f aca="false">VLOOKUP(A306,#REF!,2, )</f>
        <v>#VALUE!</v>
      </c>
      <c r="L306" s="32" t="n">
        <v>0</v>
      </c>
      <c r="M306" s="32" t="n">
        <v>0</v>
      </c>
      <c r="N306" s="32" t="n">
        <v>0</v>
      </c>
      <c r="O306" s="42" t="s">
        <v>11367</v>
      </c>
      <c r="P306" s="41"/>
      <c r="T306" s="42" t="n">
        <v>0</v>
      </c>
      <c r="W306" s="42" t="n">
        <v>0</v>
      </c>
      <c r="Z306" s="42" t="n">
        <v>0</v>
      </c>
      <c r="AA306" s="60" t="n">
        <v>0</v>
      </c>
      <c r="AB306" s="60" t="n">
        <v>0</v>
      </c>
    </row>
    <row r="307" customFormat="false" ht="12.75" hidden="true" customHeight="true" outlineLevel="0" collapsed="false">
      <c r="A307" s="55" t="s">
        <v>12892</v>
      </c>
      <c r="B307" s="55" t="s">
        <v>99</v>
      </c>
      <c r="C307" s="55" t="s">
        <v>12893</v>
      </c>
      <c r="D307" s="32" t="n">
        <v>75015</v>
      </c>
      <c r="E307" s="32" t="s">
        <v>55</v>
      </c>
      <c r="F307" s="32" t="s">
        <v>12894</v>
      </c>
      <c r="G307" s="55" t="s">
        <v>12895</v>
      </c>
      <c r="H307" s="55" t="s">
        <v>12896</v>
      </c>
      <c r="I307" s="32" t="n">
        <v>0</v>
      </c>
      <c r="J307" s="32" t="n">
        <v>0</v>
      </c>
      <c r="K307" s="43" t="e">
        <f aca="false">VLOOKUP(A307,#REF!,2, )</f>
        <v>#VALUE!</v>
      </c>
      <c r="L307" s="32" t="n">
        <v>1</v>
      </c>
      <c r="M307" s="32" t="n">
        <v>0</v>
      </c>
      <c r="N307" s="32" t="n">
        <v>0</v>
      </c>
      <c r="O307" s="42" t="s">
        <v>11367</v>
      </c>
      <c r="P307" s="41"/>
      <c r="T307" s="42" t="n">
        <v>0</v>
      </c>
      <c r="W307" s="42" t="n">
        <v>0</v>
      </c>
      <c r="Z307" s="42" t="n">
        <v>0</v>
      </c>
      <c r="AA307" s="60" t="n">
        <v>0</v>
      </c>
      <c r="AB307" s="60" t="n">
        <v>0</v>
      </c>
      <c r="AE307" s="42" t="s">
        <v>11473</v>
      </c>
    </row>
    <row r="308" customFormat="false" ht="12.75" hidden="true" customHeight="true" outlineLevel="0" collapsed="false">
      <c r="A308" s="55" t="s">
        <v>12897</v>
      </c>
      <c r="B308" s="55" t="s">
        <v>387</v>
      </c>
      <c r="C308" s="55" t="s">
        <v>12898</v>
      </c>
      <c r="D308" s="32" t="n">
        <v>75016</v>
      </c>
      <c r="E308" s="32" t="s">
        <v>55</v>
      </c>
      <c r="F308" s="32" t="s">
        <v>12899</v>
      </c>
      <c r="G308" s="55" t="s">
        <v>12900</v>
      </c>
      <c r="H308" s="55" t="s">
        <v>12901</v>
      </c>
      <c r="I308" s="32" t="n">
        <v>0</v>
      </c>
      <c r="J308" s="32" t="n">
        <v>0</v>
      </c>
      <c r="K308" s="43" t="e">
        <f aca="false">VLOOKUP(A308,#REF!,2, )</f>
        <v>#VALUE!</v>
      </c>
      <c r="L308" s="32" t="n">
        <v>0</v>
      </c>
      <c r="M308" s="32" t="n">
        <v>0</v>
      </c>
      <c r="N308" s="32" t="n">
        <v>0</v>
      </c>
      <c r="O308" s="42" t="s">
        <v>11367</v>
      </c>
      <c r="P308" s="41"/>
      <c r="T308" s="42" t="n">
        <v>0</v>
      </c>
      <c r="W308" s="42" t="n">
        <v>0</v>
      </c>
      <c r="Z308" s="42" t="n">
        <v>0</v>
      </c>
      <c r="AA308" s="60" t="n">
        <v>0</v>
      </c>
      <c r="AB308" s="60" t="n">
        <v>0</v>
      </c>
    </row>
    <row r="309" customFormat="false" ht="12.75" hidden="true" customHeight="true" outlineLevel="0" collapsed="false">
      <c r="A309" s="55" t="s">
        <v>12902</v>
      </c>
      <c r="B309" s="55" t="s">
        <v>99</v>
      </c>
      <c r="C309" s="55" t="s">
        <v>12903</v>
      </c>
      <c r="D309" s="32" t="n">
        <v>75015</v>
      </c>
      <c r="E309" s="32" t="s">
        <v>55</v>
      </c>
      <c r="F309" s="32" t="s">
        <v>12904</v>
      </c>
      <c r="G309" s="55" t="s">
        <v>12905</v>
      </c>
      <c r="H309" s="55" t="s">
        <v>12906</v>
      </c>
      <c r="I309" s="32" t="n">
        <v>0</v>
      </c>
      <c r="J309" s="32" t="n">
        <v>0</v>
      </c>
      <c r="K309" s="43" t="e">
        <f aca="false">VLOOKUP(A309,#REF!,2, )</f>
        <v>#VALUE!</v>
      </c>
      <c r="L309" s="32" t="n">
        <v>0</v>
      </c>
      <c r="M309" s="32" t="n">
        <v>0</v>
      </c>
      <c r="N309" s="32" t="n">
        <v>0</v>
      </c>
      <c r="O309" s="42" t="s">
        <v>11367</v>
      </c>
      <c r="P309" s="41"/>
      <c r="T309" s="42" t="n">
        <v>0</v>
      </c>
      <c r="W309" s="42" t="n">
        <v>0</v>
      </c>
      <c r="Z309" s="42" t="n">
        <v>0</v>
      </c>
      <c r="AA309" s="60" t="n">
        <v>0</v>
      </c>
      <c r="AB309" s="60" t="n">
        <v>0</v>
      </c>
    </row>
    <row r="310" customFormat="false" ht="12.75" hidden="true" customHeight="true" outlineLevel="0" collapsed="false">
      <c r="A310" s="55" t="s">
        <v>12907</v>
      </c>
      <c r="B310" s="55" t="s">
        <v>572</v>
      </c>
      <c r="C310" s="55" t="s">
        <v>12908</v>
      </c>
      <c r="D310" s="32" t="n">
        <v>75008</v>
      </c>
      <c r="E310" s="32" t="s">
        <v>55</v>
      </c>
      <c r="F310" s="32" t="s">
        <v>12909</v>
      </c>
      <c r="G310" s="55" t="s">
        <v>12910</v>
      </c>
      <c r="H310" s="55" t="s">
        <v>12911</v>
      </c>
      <c r="I310" s="32" t="n">
        <v>0</v>
      </c>
      <c r="J310" s="32" t="n">
        <v>0</v>
      </c>
      <c r="K310" s="43" t="e">
        <f aca="false">VLOOKUP(A310,#REF!,2, )</f>
        <v>#VALUE!</v>
      </c>
      <c r="L310" s="32" t="n">
        <v>0</v>
      </c>
      <c r="M310" s="32" t="n">
        <v>0</v>
      </c>
      <c r="N310" s="32" t="n">
        <v>0</v>
      </c>
      <c r="O310" s="42" t="s">
        <v>11367</v>
      </c>
      <c r="P310" s="41"/>
      <c r="T310" s="42" t="n">
        <v>0</v>
      </c>
      <c r="W310" s="42" t="n">
        <v>0</v>
      </c>
      <c r="Z310" s="42" t="n">
        <v>0</v>
      </c>
      <c r="AA310" s="60" t="n">
        <v>0</v>
      </c>
      <c r="AB310" s="60" t="n">
        <v>0</v>
      </c>
      <c r="AD310" s="42" t="s">
        <v>12912</v>
      </c>
    </row>
    <row r="311" customFormat="false" ht="12.75" hidden="true" customHeight="true" outlineLevel="0" collapsed="false">
      <c r="A311" s="55" t="s">
        <v>12913</v>
      </c>
      <c r="B311" s="55" t="s">
        <v>77</v>
      </c>
      <c r="C311" s="55" t="s">
        <v>12914</v>
      </c>
      <c r="D311" s="32" t="n">
        <v>92200</v>
      </c>
      <c r="E311" s="32" t="s">
        <v>11393</v>
      </c>
      <c r="F311" s="32" t="s">
        <v>12915</v>
      </c>
      <c r="G311" s="55" t="s">
        <v>12916</v>
      </c>
      <c r="H311" s="55" t="s">
        <v>12917</v>
      </c>
      <c r="I311" s="32" t="n">
        <v>0</v>
      </c>
      <c r="J311" s="32" t="n">
        <v>0</v>
      </c>
      <c r="K311" s="43" t="e">
        <f aca="false">VLOOKUP(A311,#REF!,2, )</f>
        <v>#VALUE!</v>
      </c>
      <c r="L311" s="32" t="n">
        <v>0</v>
      </c>
      <c r="M311" s="32" t="n">
        <v>0</v>
      </c>
      <c r="N311" s="32" t="n">
        <v>0</v>
      </c>
      <c r="O311" s="42" t="s">
        <v>11367</v>
      </c>
      <c r="P311" s="41"/>
      <c r="T311" s="42" t="n">
        <v>0</v>
      </c>
      <c r="W311" s="42" t="n">
        <v>0</v>
      </c>
      <c r="Z311" s="42" t="n">
        <v>0</v>
      </c>
      <c r="AA311" s="60" t="n">
        <v>0</v>
      </c>
      <c r="AB311" s="60" t="n">
        <v>0</v>
      </c>
    </row>
    <row r="312" customFormat="false" ht="15.75" hidden="true" customHeight="true" outlineLevel="0" collapsed="false">
      <c r="A312" s="55" t="s">
        <v>12918</v>
      </c>
      <c r="B312" s="55" t="s">
        <v>197</v>
      </c>
      <c r="C312" s="55" t="s">
        <v>12919</v>
      </c>
      <c r="D312" s="32" t="n">
        <v>75008</v>
      </c>
      <c r="E312" s="32" t="s">
        <v>55</v>
      </c>
      <c r="F312" s="32" t="s">
        <v>12909</v>
      </c>
      <c r="G312" s="55" t="s">
        <v>12920</v>
      </c>
      <c r="H312" s="55" t="s">
        <v>12921</v>
      </c>
      <c r="I312" s="32" t="n">
        <v>0</v>
      </c>
      <c r="J312" s="32" t="n">
        <v>0</v>
      </c>
      <c r="K312" s="43" t="e">
        <f aca="false">VLOOKUP(A312,#REF!,2, )</f>
        <v>#VALUE!</v>
      </c>
      <c r="L312" s="32" t="n">
        <v>0</v>
      </c>
      <c r="M312" s="32" t="n">
        <v>0</v>
      </c>
      <c r="N312" s="32" t="n">
        <v>0</v>
      </c>
      <c r="O312" s="42" t="s">
        <v>11367</v>
      </c>
      <c r="P312" s="41"/>
      <c r="T312" s="42" t="n">
        <v>0</v>
      </c>
      <c r="W312" s="42" t="n">
        <v>0</v>
      </c>
      <c r="Z312" s="42" t="n">
        <v>0</v>
      </c>
      <c r="AA312" s="60" t="n">
        <v>0</v>
      </c>
      <c r="AB312" s="60" t="n">
        <v>0</v>
      </c>
    </row>
    <row r="313" customFormat="false" ht="12.75" hidden="true" customHeight="true" outlineLevel="0" collapsed="false">
      <c r="A313" s="55" t="s">
        <v>12922</v>
      </c>
      <c r="B313" s="55" t="s">
        <v>197</v>
      </c>
      <c r="C313" s="55" t="s">
        <v>12923</v>
      </c>
      <c r="D313" s="32" t="n">
        <v>75008</v>
      </c>
      <c r="E313" s="32" t="s">
        <v>55</v>
      </c>
      <c r="F313" s="32" t="s">
        <v>12909</v>
      </c>
      <c r="G313" s="55" t="s">
        <v>12924</v>
      </c>
      <c r="H313" s="55" t="s">
        <v>12925</v>
      </c>
      <c r="I313" s="32" t="n">
        <v>0</v>
      </c>
      <c r="J313" s="32" t="n">
        <v>0</v>
      </c>
      <c r="K313" s="43" t="e">
        <f aca="false">VLOOKUP(A313,#REF!,2, )</f>
        <v>#VALUE!</v>
      </c>
      <c r="L313" s="32" t="n">
        <v>0</v>
      </c>
      <c r="M313" s="32" t="n">
        <v>0</v>
      </c>
      <c r="N313" s="32" t="n">
        <v>0</v>
      </c>
      <c r="O313" s="42" t="s">
        <v>11367</v>
      </c>
      <c r="P313" s="41"/>
      <c r="T313" s="42" t="n">
        <v>0</v>
      </c>
      <c r="W313" s="42" t="n">
        <v>0</v>
      </c>
      <c r="Z313" s="42" t="n">
        <v>0</v>
      </c>
      <c r="AA313" s="60" t="n">
        <v>0</v>
      </c>
      <c r="AB313" s="60" t="n">
        <v>0</v>
      </c>
    </row>
    <row r="314" customFormat="false" ht="17.25" hidden="true" customHeight="true" outlineLevel="0" collapsed="false">
      <c r="A314" s="55" t="s">
        <v>12926</v>
      </c>
      <c r="B314" s="55" t="s">
        <v>435</v>
      </c>
      <c r="C314" s="55" t="s">
        <v>12927</v>
      </c>
      <c r="D314" s="32" t="n">
        <v>75116</v>
      </c>
      <c r="E314" s="32" t="s">
        <v>55</v>
      </c>
      <c r="F314" s="32" t="s">
        <v>12909</v>
      </c>
      <c r="G314" s="55" t="s">
        <v>12928</v>
      </c>
      <c r="H314" s="55" t="s">
        <v>12929</v>
      </c>
      <c r="I314" s="32" t="n">
        <v>0</v>
      </c>
      <c r="J314" s="32" t="n">
        <v>0</v>
      </c>
      <c r="K314" s="43" t="e">
        <f aca="false">VLOOKUP(A314,#REF!,2, )</f>
        <v>#VALUE!</v>
      </c>
      <c r="L314" s="32" t="n">
        <v>0</v>
      </c>
      <c r="M314" s="32" t="n">
        <v>0</v>
      </c>
      <c r="N314" s="32" t="n">
        <v>0</v>
      </c>
      <c r="O314" s="42" t="s">
        <v>11367</v>
      </c>
      <c r="P314" s="41"/>
      <c r="T314" s="42" t="n">
        <v>0</v>
      </c>
      <c r="W314" s="42" t="n">
        <v>0</v>
      </c>
      <c r="Z314" s="42" t="n">
        <v>0</v>
      </c>
      <c r="AA314" s="60" t="n">
        <v>0</v>
      </c>
      <c r="AB314" s="60" t="n">
        <v>0</v>
      </c>
    </row>
    <row r="315" customFormat="false" ht="12.75" hidden="true" customHeight="true" outlineLevel="0" collapsed="false">
      <c r="A315" s="55" t="s">
        <v>12930</v>
      </c>
      <c r="B315" s="55" t="s">
        <v>572</v>
      </c>
      <c r="C315" s="55" t="s">
        <v>12931</v>
      </c>
      <c r="D315" s="32" t="n">
        <v>75001</v>
      </c>
      <c r="E315" s="32" t="s">
        <v>55</v>
      </c>
      <c r="F315" s="32" t="s">
        <v>12932</v>
      </c>
      <c r="G315" s="55" t="s">
        <v>12933</v>
      </c>
      <c r="H315" s="55" t="s">
        <v>12934</v>
      </c>
      <c r="I315" s="32" t="n">
        <v>10</v>
      </c>
      <c r="J315" s="32" t="n">
        <v>0</v>
      </c>
      <c r="K315" s="43" t="e">
        <f aca="false">VLOOKUP(A315,#REF!,2, )</f>
        <v>#VALUE!</v>
      </c>
      <c r="L315" s="32" t="n">
        <v>0</v>
      </c>
      <c r="M315" s="32" t="n">
        <v>0</v>
      </c>
      <c r="N315" s="32" t="n">
        <v>0</v>
      </c>
      <c r="O315" s="42" t="s">
        <v>11367</v>
      </c>
      <c r="P315" s="41"/>
      <c r="T315" s="42" t="n">
        <v>0</v>
      </c>
      <c r="W315" s="42" t="n">
        <v>0</v>
      </c>
      <c r="Z315" s="42" t="n">
        <v>0</v>
      </c>
      <c r="AA315" s="60" t="n">
        <v>0</v>
      </c>
      <c r="AB315" s="60" t="n">
        <v>0</v>
      </c>
    </row>
    <row r="316" customFormat="false" ht="12.75" hidden="true" customHeight="true" outlineLevel="0" collapsed="false">
      <c r="A316" s="55" t="s">
        <v>12935</v>
      </c>
      <c r="B316" s="55" t="s">
        <v>119</v>
      </c>
      <c r="C316" s="55" t="s">
        <v>12936</v>
      </c>
      <c r="D316" s="32" t="n">
        <v>75007</v>
      </c>
      <c r="E316" s="32" t="s">
        <v>55</v>
      </c>
      <c r="F316" s="32" t="s">
        <v>12937</v>
      </c>
      <c r="G316" s="55" t="s">
        <v>12938</v>
      </c>
      <c r="H316" s="55" t="s">
        <v>12939</v>
      </c>
      <c r="I316" s="32" t="n">
        <v>10</v>
      </c>
      <c r="J316" s="32" t="n">
        <v>0</v>
      </c>
      <c r="K316" s="43" t="e">
        <f aca="false">VLOOKUP(A316,#REF!,2, )</f>
        <v>#VALUE!</v>
      </c>
      <c r="L316" s="32" t="n">
        <v>0</v>
      </c>
      <c r="M316" s="32" t="n">
        <v>0</v>
      </c>
      <c r="N316" s="32" t="n">
        <v>0</v>
      </c>
      <c r="O316" s="42" t="s">
        <v>11367</v>
      </c>
      <c r="P316" s="41"/>
      <c r="T316" s="42" t="n">
        <v>0</v>
      </c>
      <c r="W316" s="42" t="n">
        <v>0</v>
      </c>
      <c r="X316" s="60" t="n">
        <v>191</v>
      </c>
      <c r="Z316" s="42" t="n">
        <v>0</v>
      </c>
      <c r="AA316" s="60" t="n">
        <v>381.34</v>
      </c>
      <c r="AB316" s="60" t="n">
        <v>0</v>
      </c>
      <c r="AD316" s="42" t="s">
        <v>11375</v>
      </c>
    </row>
    <row r="317" customFormat="false" ht="12.75" hidden="true" customHeight="true" outlineLevel="0" collapsed="false">
      <c r="A317" s="55" t="s">
        <v>12940</v>
      </c>
      <c r="B317" s="55" t="s">
        <v>119</v>
      </c>
      <c r="C317" s="55" t="s">
        <v>12941</v>
      </c>
      <c r="D317" s="32" t="n">
        <v>75015</v>
      </c>
      <c r="E317" s="32" t="s">
        <v>55</v>
      </c>
      <c r="F317" s="32" t="s">
        <v>12942</v>
      </c>
      <c r="G317" s="55" t="s">
        <v>12943</v>
      </c>
      <c r="H317" s="55" t="s">
        <v>12944</v>
      </c>
      <c r="I317" s="32" t="n">
        <v>7</v>
      </c>
      <c r="J317" s="32" t="n">
        <v>0</v>
      </c>
      <c r="K317" s="43" t="e">
        <f aca="false">VLOOKUP(A317,#REF!,2, )</f>
        <v>#VALUE!</v>
      </c>
      <c r="L317" s="32" t="n">
        <v>0</v>
      </c>
      <c r="M317" s="32" t="n">
        <v>0</v>
      </c>
      <c r="N317" s="32" t="n">
        <v>0</v>
      </c>
      <c r="O317" s="42" t="s">
        <v>11367</v>
      </c>
      <c r="P317" s="41"/>
      <c r="T317" s="42" t="n">
        <v>0</v>
      </c>
      <c r="W317" s="42" t="n">
        <v>0</v>
      </c>
      <c r="Z317" s="42" t="n">
        <v>0</v>
      </c>
      <c r="AA317" s="60" t="n">
        <v>0</v>
      </c>
      <c r="AB317" s="60" t="n">
        <v>0</v>
      </c>
    </row>
    <row r="318" customFormat="false" ht="12.75" hidden="true" customHeight="true" outlineLevel="0" collapsed="false">
      <c r="A318" s="55" t="s">
        <v>12945</v>
      </c>
      <c r="B318" s="55" t="s">
        <v>233</v>
      </c>
      <c r="C318" s="55" t="s">
        <v>12946</v>
      </c>
      <c r="D318" s="32" t="n">
        <v>75015</v>
      </c>
      <c r="E318" s="32" t="s">
        <v>55</v>
      </c>
      <c r="F318" s="32" t="s">
        <v>12947</v>
      </c>
      <c r="G318" s="55" t="s">
        <v>12948</v>
      </c>
      <c r="H318" s="55" t="s">
        <v>12949</v>
      </c>
      <c r="I318" s="32" t="n">
        <v>10</v>
      </c>
      <c r="J318" s="32" t="n">
        <v>0</v>
      </c>
      <c r="K318" s="43" t="e">
        <f aca="false">VLOOKUP(A318,#REF!,2, )</f>
        <v>#VALUE!</v>
      </c>
      <c r="L318" s="32" t="n">
        <v>0</v>
      </c>
      <c r="M318" s="32" t="n">
        <v>0</v>
      </c>
      <c r="N318" s="32" t="n">
        <v>0</v>
      </c>
      <c r="O318" s="42" t="s">
        <v>11367</v>
      </c>
      <c r="P318" s="41"/>
      <c r="T318" s="42" t="n">
        <v>0</v>
      </c>
      <c r="W318" s="42" t="n">
        <v>0</v>
      </c>
      <c r="Z318" s="42" t="n">
        <v>0</v>
      </c>
      <c r="AA318" s="60" t="n">
        <v>0</v>
      </c>
      <c r="AB318" s="60" t="n">
        <v>0</v>
      </c>
    </row>
    <row r="319" customFormat="false" ht="12.75" hidden="true" customHeight="true" outlineLevel="0" collapsed="false">
      <c r="A319" s="55" t="s">
        <v>12950</v>
      </c>
      <c r="B319" s="55" t="s">
        <v>173</v>
      </c>
      <c r="C319" s="55" t="s">
        <v>12951</v>
      </c>
      <c r="D319" s="32" t="n">
        <v>75116</v>
      </c>
      <c r="E319" s="32" t="s">
        <v>55</v>
      </c>
      <c r="F319" s="32" t="s">
        <v>12952</v>
      </c>
      <c r="G319" s="55" t="s">
        <v>12953</v>
      </c>
      <c r="H319" s="55" t="s">
        <v>12954</v>
      </c>
      <c r="I319" s="32" t="n">
        <v>4</v>
      </c>
      <c r="J319" s="32" t="n">
        <v>0</v>
      </c>
      <c r="K319" s="43" t="e">
        <f aca="false">VLOOKUP(A319,#REF!,2, )</f>
        <v>#VALUE!</v>
      </c>
      <c r="L319" s="32" t="n">
        <v>0</v>
      </c>
      <c r="M319" s="32" t="n">
        <v>0</v>
      </c>
      <c r="N319" s="32" t="n">
        <v>0</v>
      </c>
      <c r="O319" s="42" t="s">
        <v>11367</v>
      </c>
      <c r="P319" s="41"/>
      <c r="T319" s="42" t="n">
        <v>0</v>
      </c>
      <c r="W319" s="42" t="n">
        <v>0</v>
      </c>
      <c r="Z319" s="42" t="n">
        <v>0</v>
      </c>
      <c r="AA319" s="60" t="n">
        <v>0</v>
      </c>
      <c r="AB319" s="60" t="n">
        <v>0</v>
      </c>
      <c r="AD319" s="42" t="s">
        <v>11411</v>
      </c>
    </row>
    <row r="320" customFormat="false" ht="12.75" hidden="true" customHeight="true" outlineLevel="0" collapsed="false">
      <c r="A320" s="55" t="s">
        <v>12955</v>
      </c>
      <c r="B320" s="55" t="s">
        <v>435</v>
      </c>
      <c r="C320" s="55" t="s">
        <v>12956</v>
      </c>
      <c r="D320" s="32" t="n">
        <v>75016</v>
      </c>
      <c r="E320" s="32" t="s">
        <v>55</v>
      </c>
      <c r="F320" s="32" t="s">
        <v>12957</v>
      </c>
      <c r="G320" s="55" t="s">
        <v>12958</v>
      </c>
      <c r="H320" s="55" t="s">
        <v>12959</v>
      </c>
      <c r="I320" s="32" t="n">
        <v>8</v>
      </c>
      <c r="J320" s="32" t="n">
        <v>0</v>
      </c>
      <c r="K320" s="43" t="e">
        <f aca="false">VLOOKUP(A320,#REF!,2, )</f>
        <v>#VALUE!</v>
      </c>
      <c r="L320" s="32" t="n">
        <v>1</v>
      </c>
      <c r="M320" s="32" t="n">
        <v>0</v>
      </c>
      <c r="N320" s="32" t="n">
        <v>0</v>
      </c>
      <c r="O320" s="42" t="s">
        <v>11367</v>
      </c>
      <c r="P320" s="41"/>
      <c r="T320" s="42" t="n">
        <v>0</v>
      </c>
      <c r="W320" s="42" t="n">
        <v>0</v>
      </c>
      <c r="Z320" s="42" t="n">
        <v>0</v>
      </c>
      <c r="AA320" s="60" t="n">
        <v>0</v>
      </c>
      <c r="AB320" s="60" t="n">
        <v>0</v>
      </c>
      <c r="AD320" s="42" t="s">
        <v>11375</v>
      </c>
    </row>
    <row r="321" customFormat="false" ht="12.75" hidden="true" customHeight="true" outlineLevel="0" collapsed="false">
      <c r="A321" s="55" t="s">
        <v>12960</v>
      </c>
      <c r="B321" s="55" t="s">
        <v>173</v>
      </c>
      <c r="C321" s="55" t="s">
        <v>12961</v>
      </c>
      <c r="D321" s="32" t="n">
        <v>75116</v>
      </c>
      <c r="E321" s="32" t="s">
        <v>55</v>
      </c>
      <c r="F321" s="32" t="s">
        <v>12962</v>
      </c>
      <c r="G321" s="55" t="s">
        <v>12963</v>
      </c>
      <c r="H321" s="55" t="s">
        <v>12964</v>
      </c>
      <c r="I321" s="32" t="n">
        <v>10</v>
      </c>
      <c r="J321" s="32" t="n">
        <v>0</v>
      </c>
      <c r="K321" s="43" t="e">
        <f aca="false">VLOOKUP(A321,#REF!,2, )</f>
        <v>#VALUE!</v>
      </c>
      <c r="L321" s="32" t="n">
        <v>0</v>
      </c>
      <c r="M321" s="32" t="n">
        <v>0</v>
      </c>
      <c r="N321" s="32" t="n">
        <v>0</v>
      </c>
      <c r="O321" s="42" t="s">
        <v>11367</v>
      </c>
      <c r="P321" s="41"/>
      <c r="T321" s="42" t="n">
        <v>0</v>
      </c>
      <c r="W321" s="42" t="n">
        <v>0</v>
      </c>
      <c r="Z321" s="42" t="n">
        <v>0</v>
      </c>
      <c r="AA321" s="60" t="n">
        <v>0</v>
      </c>
      <c r="AB321" s="60" t="n">
        <v>0</v>
      </c>
    </row>
    <row r="322" customFormat="false" ht="12.75" hidden="true" customHeight="true" outlineLevel="0" collapsed="false">
      <c r="A322" s="55" t="s">
        <v>12965</v>
      </c>
      <c r="B322" s="55" t="s">
        <v>62</v>
      </c>
      <c r="C322" s="55" t="s">
        <v>12966</v>
      </c>
      <c r="D322" s="32" t="n">
        <v>75017</v>
      </c>
      <c r="E322" s="32" t="s">
        <v>55</v>
      </c>
      <c r="F322" s="32" t="s">
        <v>12967</v>
      </c>
      <c r="G322" s="55" t="s">
        <v>12968</v>
      </c>
      <c r="H322" s="55" t="s">
        <v>12969</v>
      </c>
      <c r="I322" s="32" t="n">
        <v>7</v>
      </c>
      <c r="J322" s="32" t="n">
        <v>0</v>
      </c>
      <c r="K322" s="43" t="e">
        <f aca="false">VLOOKUP(A322,#REF!,2, )</f>
        <v>#VALUE!</v>
      </c>
      <c r="L322" s="32" t="n">
        <v>0</v>
      </c>
      <c r="M322" s="32" t="n">
        <v>0</v>
      </c>
      <c r="N322" s="32" t="n">
        <v>0</v>
      </c>
      <c r="O322" s="42" t="s">
        <v>11367</v>
      </c>
      <c r="P322" s="41"/>
      <c r="T322" s="42" t="n">
        <v>0</v>
      </c>
      <c r="W322" s="42" t="n">
        <v>0</v>
      </c>
      <c r="Z322" s="42" t="n">
        <v>0</v>
      </c>
      <c r="AA322" s="60" t="n">
        <v>0</v>
      </c>
      <c r="AB322" s="60" t="n">
        <v>0</v>
      </c>
    </row>
    <row r="323" customFormat="false" ht="17.25" hidden="true" customHeight="true" outlineLevel="0" collapsed="false">
      <c r="A323" s="55" t="s">
        <v>12970</v>
      </c>
      <c r="B323" s="55" t="s">
        <v>62</v>
      </c>
      <c r="C323" s="55" t="s">
        <v>12971</v>
      </c>
      <c r="D323" s="32" t="n">
        <v>75017</v>
      </c>
      <c r="E323" s="32" t="s">
        <v>55</v>
      </c>
      <c r="F323" s="32" t="s">
        <v>12972</v>
      </c>
      <c r="G323" s="55" t="s">
        <v>12973</v>
      </c>
      <c r="H323" s="55" t="s">
        <v>12974</v>
      </c>
      <c r="I323" s="32" t="n">
        <v>10</v>
      </c>
      <c r="J323" s="32" t="n">
        <v>0</v>
      </c>
      <c r="K323" s="43" t="e">
        <f aca="false">VLOOKUP(A323,#REF!,2, )</f>
        <v>#VALUE!</v>
      </c>
      <c r="L323" s="32" t="n">
        <v>0</v>
      </c>
      <c r="M323" s="32" t="n">
        <v>0</v>
      </c>
      <c r="N323" s="32" t="n">
        <v>0</v>
      </c>
      <c r="O323" s="42" t="s">
        <v>11367</v>
      </c>
      <c r="P323" s="41"/>
      <c r="T323" s="42" t="n">
        <v>0</v>
      </c>
      <c r="W323" s="42" t="n">
        <v>0</v>
      </c>
      <c r="Z323" s="42" t="n">
        <v>0</v>
      </c>
      <c r="AA323" s="60" t="n">
        <v>0</v>
      </c>
      <c r="AB323" s="60" t="n">
        <v>0</v>
      </c>
    </row>
    <row r="324" customFormat="false" ht="12.75" hidden="true" customHeight="true" outlineLevel="0" collapsed="false">
      <c r="A324" s="55" t="s">
        <v>12975</v>
      </c>
      <c r="B324" s="55" t="s">
        <v>197</v>
      </c>
      <c r="C324" s="55" t="s">
        <v>12976</v>
      </c>
      <c r="D324" s="32" t="n">
        <v>75017</v>
      </c>
      <c r="E324" s="32" t="s">
        <v>55</v>
      </c>
      <c r="F324" s="32" t="s">
        <v>12977</v>
      </c>
      <c r="G324" s="55" t="s">
        <v>12978</v>
      </c>
      <c r="H324" s="55" t="s">
        <v>12979</v>
      </c>
      <c r="I324" s="32" t="n">
        <v>10</v>
      </c>
      <c r="J324" s="32" t="n">
        <v>0</v>
      </c>
      <c r="K324" s="43" t="e">
        <f aca="false">VLOOKUP(A324,#REF!,2, )</f>
        <v>#VALUE!</v>
      </c>
      <c r="L324" s="32" t="n">
        <v>0</v>
      </c>
      <c r="M324" s="32" t="n">
        <v>0</v>
      </c>
      <c r="N324" s="32" t="n">
        <v>0</v>
      </c>
      <c r="O324" s="42" t="s">
        <v>11367</v>
      </c>
      <c r="P324" s="41"/>
      <c r="T324" s="42" t="n">
        <v>0</v>
      </c>
      <c r="W324" s="42" t="n">
        <v>0</v>
      </c>
      <c r="Z324" s="42" t="n">
        <v>0</v>
      </c>
      <c r="AA324" s="60" t="n">
        <v>0</v>
      </c>
      <c r="AB324" s="60" t="n">
        <v>0</v>
      </c>
    </row>
    <row r="325" customFormat="false" ht="12.75" hidden="true" customHeight="true" outlineLevel="0" collapsed="false">
      <c r="A325" s="55" t="s">
        <v>12980</v>
      </c>
      <c r="B325" s="55" t="s">
        <v>197</v>
      </c>
      <c r="C325" s="55" t="s">
        <v>12981</v>
      </c>
      <c r="D325" s="32" t="n">
        <v>75017</v>
      </c>
      <c r="E325" s="32" t="s">
        <v>55</v>
      </c>
      <c r="F325" s="32" t="s">
        <v>12982</v>
      </c>
      <c r="G325" s="55" t="s">
        <v>12983</v>
      </c>
      <c r="H325" s="55" t="s">
        <v>12984</v>
      </c>
      <c r="I325" s="32" t="n">
        <v>7</v>
      </c>
      <c r="J325" s="32" t="n">
        <v>0</v>
      </c>
      <c r="K325" s="43" t="e">
        <f aca="false">VLOOKUP(A325,#REF!,2, )</f>
        <v>#VALUE!</v>
      </c>
      <c r="L325" s="32" t="n">
        <v>0</v>
      </c>
      <c r="M325" s="32" t="n">
        <v>0</v>
      </c>
      <c r="N325" s="32" t="n">
        <v>0</v>
      </c>
      <c r="O325" s="42" t="s">
        <v>11367</v>
      </c>
      <c r="P325" s="41"/>
      <c r="T325" s="42" t="n">
        <v>0</v>
      </c>
      <c r="W325" s="42" t="n">
        <v>0</v>
      </c>
      <c r="Z325" s="42" t="n">
        <v>0</v>
      </c>
      <c r="AA325" s="60" t="n">
        <v>0</v>
      </c>
      <c r="AB325" s="60" t="n">
        <v>0</v>
      </c>
    </row>
    <row r="326" customFormat="false" ht="12.75" hidden="true" customHeight="true" outlineLevel="0" collapsed="false">
      <c r="A326" s="55" t="s">
        <v>12985</v>
      </c>
      <c r="B326" s="55" t="s">
        <v>119</v>
      </c>
      <c r="C326" s="55" t="s">
        <v>12986</v>
      </c>
      <c r="D326" s="32" t="n">
        <v>75006</v>
      </c>
      <c r="E326" s="32" t="s">
        <v>55</v>
      </c>
      <c r="F326" s="32" t="s">
        <v>12987</v>
      </c>
      <c r="G326" s="55" t="s">
        <v>12988</v>
      </c>
      <c r="H326" s="55" t="s">
        <v>12989</v>
      </c>
      <c r="I326" s="32" t="n">
        <v>10</v>
      </c>
      <c r="J326" s="32" t="n">
        <v>0</v>
      </c>
      <c r="K326" s="43" t="e">
        <f aca="false">VLOOKUP(A326,#REF!,2, )</f>
        <v>#VALUE!</v>
      </c>
      <c r="L326" s="32" t="n">
        <v>0</v>
      </c>
      <c r="M326" s="32" t="n">
        <v>0</v>
      </c>
      <c r="N326" s="32" t="n">
        <v>0</v>
      </c>
      <c r="O326" s="42" t="s">
        <v>11367</v>
      </c>
      <c r="P326" s="41"/>
      <c r="T326" s="42" t="n">
        <v>0</v>
      </c>
      <c r="W326" s="42" t="n">
        <v>0</v>
      </c>
      <c r="Z326" s="42" t="n">
        <v>0</v>
      </c>
      <c r="AA326" s="60" t="n">
        <v>0</v>
      </c>
      <c r="AB326" s="60" t="n">
        <v>0</v>
      </c>
    </row>
    <row r="327" customFormat="false" ht="17.25" hidden="true" customHeight="true" outlineLevel="0" collapsed="false">
      <c r="A327" s="55" t="s">
        <v>12990</v>
      </c>
      <c r="B327" s="55" t="s">
        <v>119</v>
      </c>
      <c r="C327" s="55" t="s">
        <v>12991</v>
      </c>
      <c r="D327" s="32" t="n">
        <v>75007</v>
      </c>
      <c r="E327" s="32" t="s">
        <v>55</v>
      </c>
      <c r="F327" s="32" t="s">
        <v>12992</v>
      </c>
      <c r="G327" s="55" t="s">
        <v>12993</v>
      </c>
      <c r="H327" s="55" t="s">
        <v>12994</v>
      </c>
      <c r="I327" s="32" t="n">
        <v>8</v>
      </c>
      <c r="J327" s="32" t="n">
        <v>0</v>
      </c>
      <c r="K327" s="43" t="e">
        <f aca="false">VLOOKUP(A327,#REF!,2, )</f>
        <v>#VALUE!</v>
      </c>
      <c r="L327" s="32" t="n">
        <v>0</v>
      </c>
      <c r="M327" s="32" t="n">
        <v>0</v>
      </c>
      <c r="N327" s="32" t="n">
        <v>0</v>
      </c>
      <c r="O327" s="42" t="s">
        <v>11367</v>
      </c>
      <c r="P327" s="41"/>
      <c r="T327" s="42" t="n">
        <v>0</v>
      </c>
      <c r="W327" s="42" t="n">
        <v>0</v>
      </c>
      <c r="Z327" s="42" t="n">
        <v>0</v>
      </c>
      <c r="AA327" s="60" t="n">
        <v>0</v>
      </c>
      <c r="AB327" s="60" t="n">
        <v>0</v>
      </c>
    </row>
    <row r="328" customFormat="false" ht="12.75" hidden="true" customHeight="true" outlineLevel="0" collapsed="false">
      <c r="A328" s="55" t="s">
        <v>12995</v>
      </c>
      <c r="B328" s="55" t="s">
        <v>119</v>
      </c>
      <c r="C328" s="55" t="s">
        <v>12996</v>
      </c>
      <c r="D328" s="32" t="n">
        <v>75007</v>
      </c>
      <c r="E328" s="32" t="s">
        <v>55</v>
      </c>
      <c r="F328" s="32" t="s">
        <v>12997</v>
      </c>
      <c r="G328" s="55" t="s">
        <v>12998</v>
      </c>
      <c r="H328" s="55" t="s">
        <v>12999</v>
      </c>
      <c r="I328" s="32" t="n">
        <v>10</v>
      </c>
      <c r="J328" s="32" t="n">
        <v>0</v>
      </c>
      <c r="K328" s="43" t="e">
        <f aca="false">VLOOKUP(A328,#REF!,2, )</f>
        <v>#VALUE!</v>
      </c>
      <c r="L328" s="32" t="n">
        <v>0</v>
      </c>
      <c r="M328" s="32" t="n">
        <v>0</v>
      </c>
      <c r="N328" s="32" t="n">
        <v>0</v>
      </c>
      <c r="O328" s="42" t="s">
        <v>11367</v>
      </c>
      <c r="P328" s="41"/>
      <c r="T328" s="42" t="n">
        <v>0</v>
      </c>
      <c r="W328" s="42" t="n">
        <v>0</v>
      </c>
      <c r="Z328" s="42" t="n">
        <v>0</v>
      </c>
      <c r="AA328" s="60" t="n">
        <v>0</v>
      </c>
      <c r="AB328" s="60" t="n">
        <v>0</v>
      </c>
    </row>
    <row r="329" customFormat="false" ht="12.75" hidden="true" customHeight="true" outlineLevel="0" collapsed="false">
      <c r="A329" s="55" t="s">
        <v>13000</v>
      </c>
      <c r="B329" s="55" t="s">
        <v>119</v>
      </c>
      <c r="C329" s="55" t="s">
        <v>13001</v>
      </c>
      <c r="D329" s="32" t="n">
        <v>75007</v>
      </c>
      <c r="E329" s="32" t="s">
        <v>55</v>
      </c>
      <c r="F329" s="32" t="s">
        <v>13002</v>
      </c>
      <c r="G329" s="55" t="s">
        <v>13003</v>
      </c>
      <c r="H329" s="55" t="s">
        <v>13004</v>
      </c>
      <c r="I329" s="32" t="n">
        <v>10</v>
      </c>
      <c r="J329" s="32" t="n">
        <v>0</v>
      </c>
      <c r="K329" s="43" t="e">
        <f aca="false">VLOOKUP(A329,#REF!,2, )</f>
        <v>#VALUE!</v>
      </c>
      <c r="L329" s="32" t="n">
        <v>0</v>
      </c>
      <c r="M329" s="32" t="n">
        <v>0</v>
      </c>
      <c r="N329" s="32" t="n">
        <v>0</v>
      </c>
      <c r="O329" s="42" t="s">
        <v>11367</v>
      </c>
      <c r="P329" s="41"/>
      <c r="T329" s="42" t="n">
        <v>0</v>
      </c>
      <c r="W329" s="42" t="n">
        <v>0</v>
      </c>
      <c r="Z329" s="42" t="n">
        <v>0</v>
      </c>
      <c r="AA329" s="60" t="n">
        <v>0</v>
      </c>
      <c r="AB329" s="60" t="n">
        <v>0</v>
      </c>
    </row>
    <row r="330" customFormat="false" ht="12.75" hidden="true" customHeight="true" outlineLevel="0" collapsed="false">
      <c r="A330" s="55" t="s">
        <v>13005</v>
      </c>
      <c r="B330" s="55" t="s">
        <v>197</v>
      </c>
      <c r="C330" s="55" t="s">
        <v>13006</v>
      </c>
      <c r="D330" s="32" t="n">
        <v>75008</v>
      </c>
      <c r="E330" s="32" t="s">
        <v>55</v>
      </c>
      <c r="F330" s="32" t="s">
        <v>13007</v>
      </c>
      <c r="G330" s="55" t="s">
        <v>13008</v>
      </c>
      <c r="H330" s="55" t="s">
        <v>13009</v>
      </c>
      <c r="I330" s="32" t="n">
        <v>9</v>
      </c>
      <c r="J330" s="32" t="n">
        <v>0</v>
      </c>
      <c r="K330" s="43" t="e">
        <f aca="false">VLOOKUP(A330,#REF!,2, )</f>
        <v>#VALUE!</v>
      </c>
      <c r="L330" s="32" t="n">
        <v>0</v>
      </c>
      <c r="M330" s="32" t="n">
        <v>0</v>
      </c>
      <c r="N330" s="32" t="n">
        <v>0</v>
      </c>
      <c r="O330" s="42" t="s">
        <v>11367</v>
      </c>
      <c r="P330" s="41"/>
      <c r="T330" s="42" t="n">
        <v>0</v>
      </c>
      <c r="W330" s="42" t="n">
        <v>0</v>
      </c>
      <c r="Z330" s="42" t="n">
        <v>0</v>
      </c>
      <c r="AA330" s="60" t="n">
        <v>0</v>
      </c>
      <c r="AB330" s="60" t="n">
        <v>0</v>
      </c>
    </row>
    <row r="331" customFormat="false" ht="12.75" hidden="true" customHeight="true" outlineLevel="0" collapsed="false">
      <c r="A331" s="55" t="s">
        <v>13010</v>
      </c>
      <c r="B331" s="55" t="s">
        <v>572</v>
      </c>
      <c r="C331" s="55" t="s">
        <v>13011</v>
      </c>
      <c r="D331" s="32" t="n">
        <v>75008</v>
      </c>
      <c r="E331" s="32" t="s">
        <v>55</v>
      </c>
      <c r="F331" s="32" t="s">
        <v>13012</v>
      </c>
      <c r="G331" s="55" t="s">
        <v>13013</v>
      </c>
      <c r="H331" s="55" t="s">
        <v>13014</v>
      </c>
      <c r="I331" s="32" t="n">
        <v>6</v>
      </c>
      <c r="J331" s="32" t="n">
        <v>0</v>
      </c>
      <c r="K331" s="43" t="e">
        <f aca="false">VLOOKUP(A331,#REF!,2, )</f>
        <v>#VALUE!</v>
      </c>
      <c r="L331" s="32" t="n">
        <v>0</v>
      </c>
      <c r="M331" s="32" t="n">
        <v>0</v>
      </c>
      <c r="N331" s="32" t="n">
        <v>0</v>
      </c>
      <c r="O331" s="42" t="s">
        <v>11367</v>
      </c>
      <c r="P331" s="41"/>
      <c r="T331" s="42" t="n">
        <v>0</v>
      </c>
      <c r="W331" s="42" t="n">
        <v>0</v>
      </c>
      <c r="Z331" s="42" t="n">
        <v>0</v>
      </c>
      <c r="AA331" s="60" t="n">
        <v>0</v>
      </c>
      <c r="AB331" s="60" t="n">
        <v>0</v>
      </c>
      <c r="AD331" s="42" t="s">
        <v>11759</v>
      </c>
    </row>
    <row r="332" customFormat="false" ht="12.75" hidden="true" customHeight="true" outlineLevel="0" collapsed="false">
      <c r="A332" s="55" t="s">
        <v>13015</v>
      </c>
      <c r="B332" s="55" t="s">
        <v>572</v>
      </c>
      <c r="C332" s="55" t="s">
        <v>13016</v>
      </c>
      <c r="D332" s="32" t="n">
        <v>75008</v>
      </c>
      <c r="E332" s="32" t="s">
        <v>55</v>
      </c>
      <c r="F332" s="32" t="s">
        <v>13017</v>
      </c>
      <c r="G332" s="55" t="s">
        <v>13018</v>
      </c>
      <c r="H332" s="55" t="s">
        <v>13019</v>
      </c>
      <c r="I332" s="32" t="n">
        <v>8</v>
      </c>
      <c r="J332" s="32" t="n">
        <v>0</v>
      </c>
      <c r="K332" s="43" t="e">
        <f aca="false">VLOOKUP(A332,#REF!,2, )</f>
        <v>#VALUE!</v>
      </c>
      <c r="L332" s="32" t="n">
        <v>0</v>
      </c>
      <c r="M332" s="32" t="n">
        <v>0</v>
      </c>
      <c r="N332" s="32" t="n">
        <v>0</v>
      </c>
      <c r="O332" s="42" t="s">
        <v>13020</v>
      </c>
      <c r="P332" s="41" t="n">
        <v>45166.6666666667</v>
      </c>
      <c r="T332" s="42" t="n">
        <v>0</v>
      </c>
      <c r="W332" s="42" t="n">
        <v>0</v>
      </c>
      <c r="Z332" s="42" t="n">
        <v>0</v>
      </c>
      <c r="AA332" s="60" t="n">
        <v>0</v>
      </c>
      <c r="AB332" s="60" t="n">
        <v>0</v>
      </c>
      <c r="AD332" s="42" t="s">
        <v>11472</v>
      </c>
    </row>
    <row r="333" customFormat="false" ht="12.75" hidden="true" customHeight="true" outlineLevel="0" collapsed="false">
      <c r="A333" s="55" t="s">
        <v>13021</v>
      </c>
      <c r="B333" s="55" t="s">
        <v>99</v>
      </c>
      <c r="C333" s="55" t="s">
        <v>13022</v>
      </c>
      <c r="D333" s="32" t="n">
        <v>75015</v>
      </c>
      <c r="E333" s="32" t="s">
        <v>55</v>
      </c>
      <c r="F333" s="32" t="s">
        <v>13023</v>
      </c>
      <c r="G333" s="55" t="s">
        <v>13024</v>
      </c>
      <c r="H333" s="55" t="s">
        <v>13025</v>
      </c>
      <c r="I333" s="32" t="n">
        <v>9</v>
      </c>
      <c r="J333" s="32" t="n">
        <v>0</v>
      </c>
      <c r="K333" s="43" t="e">
        <f aca="false">VLOOKUP(A333,#REF!,2, )</f>
        <v>#VALUE!</v>
      </c>
      <c r="L333" s="32" t="n">
        <v>0</v>
      </c>
      <c r="M333" s="32" t="n">
        <v>0</v>
      </c>
      <c r="N333" s="32" t="n">
        <v>0</v>
      </c>
      <c r="O333" s="42" t="s">
        <v>11367</v>
      </c>
      <c r="P333" s="41"/>
      <c r="T333" s="42" t="n">
        <v>0</v>
      </c>
      <c r="W333" s="42" t="n">
        <v>0</v>
      </c>
      <c r="Z333" s="42" t="n">
        <v>0</v>
      </c>
      <c r="AA333" s="60" t="n">
        <v>0</v>
      </c>
      <c r="AB333" s="60" t="n">
        <v>0</v>
      </c>
      <c r="AD333" s="42" t="s">
        <v>11501</v>
      </c>
    </row>
    <row r="334" customFormat="false" ht="17.25" hidden="true" customHeight="true" outlineLevel="0" collapsed="false">
      <c r="A334" s="55" t="s">
        <v>13026</v>
      </c>
      <c r="B334" s="55" t="s">
        <v>119</v>
      </c>
      <c r="C334" s="55" t="s">
        <v>13027</v>
      </c>
      <c r="D334" s="32" t="n">
        <v>75015</v>
      </c>
      <c r="E334" s="32" t="s">
        <v>55</v>
      </c>
      <c r="F334" s="32" t="s">
        <v>13028</v>
      </c>
      <c r="G334" s="55" t="s">
        <v>13029</v>
      </c>
      <c r="H334" s="55" t="s">
        <v>13030</v>
      </c>
      <c r="I334" s="32" t="n">
        <v>9</v>
      </c>
      <c r="J334" s="32" t="n">
        <v>0</v>
      </c>
      <c r="K334" s="43" t="e">
        <f aca="false">VLOOKUP(A334,#REF!,2, )</f>
        <v>#VALUE!</v>
      </c>
      <c r="L334" s="32" t="n">
        <v>0</v>
      </c>
      <c r="M334" s="32" t="n">
        <v>0</v>
      </c>
      <c r="N334" s="32" t="n">
        <v>0</v>
      </c>
      <c r="O334" s="42" t="s">
        <v>11367</v>
      </c>
      <c r="P334" s="41"/>
      <c r="T334" s="42" t="n">
        <v>0</v>
      </c>
      <c r="W334" s="42" t="n">
        <v>0</v>
      </c>
      <c r="Z334" s="42" t="n">
        <v>0</v>
      </c>
      <c r="AA334" s="60" t="n">
        <v>0</v>
      </c>
      <c r="AB334" s="60" t="n">
        <v>0</v>
      </c>
      <c r="AD334" s="42" t="s">
        <v>12545</v>
      </c>
    </row>
    <row r="335" customFormat="false" ht="12.75" hidden="true" customHeight="true" outlineLevel="0" collapsed="false">
      <c r="A335" s="55" t="s">
        <v>13031</v>
      </c>
      <c r="B335" s="55" t="s">
        <v>51</v>
      </c>
      <c r="C335" s="55" t="s">
        <v>13032</v>
      </c>
      <c r="D335" s="32" t="n">
        <v>75015</v>
      </c>
      <c r="E335" s="32" t="s">
        <v>55</v>
      </c>
      <c r="F335" s="32" t="s">
        <v>13033</v>
      </c>
      <c r="G335" s="55" t="s">
        <v>13034</v>
      </c>
      <c r="H335" s="55" t="s">
        <v>13035</v>
      </c>
      <c r="I335" s="32" t="n">
        <v>10</v>
      </c>
      <c r="J335" s="32" t="n">
        <v>0</v>
      </c>
      <c r="K335" s="43" t="e">
        <f aca="false">VLOOKUP(A335,#REF!,2, )</f>
        <v>#VALUE!</v>
      </c>
      <c r="L335" s="32" t="n">
        <v>0</v>
      </c>
      <c r="M335" s="32" t="n">
        <v>0</v>
      </c>
      <c r="N335" s="32" t="n">
        <v>0</v>
      </c>
      <c r="O335" s="42" t="s">
        <v>11367</v>
      </c>
      <c r="P335" s="41"/>
      <c r="T335" s="42" t="n">
        <v>0</v>
      </c>
      <c r="W335" s="42" t="n">
        <v>0</v>
      </c>
      <c r="Z335" s="42" t="n">
        <v>0</v>
      </c>
      <c r="AA335" s="60" t="n">
        <v>0</v>
      </c>
      <c r="AB335" s="60" t="n">
        <v>0</v>
      </c>
      <c r="AD335" s="42" t="s">
        <v>13036</v>
      </c>
    </row>
    <row r="336" customFormat="false" ht="12.75" hidden="true" customHeight="true" outlineLevel="0" collapsed="false">
      <c r="A336" s="55" t="s">
        <v>13037</v>
      </c>
      <c r="B336" s="55" t="s">
        <v>51</v>
      </c>
      <c r="C336" s="55" t="s">
        <v>13038</v>
      </c>
      <c r="D336" s="32" t="n">
        <v>75015</v>
      </c>
      <c r="E336" s="32" t="s">
        <v>55</v>
      </c>
      <c r="F336" s="32" t="s">
        <v>13039</v>
      </c>
      <c r="G336" s="55" t="s">
        <v>13040</v>
      </c>
      <c r="H336" s="55" t="s">
        <v>13041</v>
      </c>
      <c r="I336" s="32" t="n">
        <v>10</v>
      </c>
      <c r="J336" s="32" t="n">
        <v>0</v>
      </c>
      <c r="K336" s="43" t="e">
        <f aca="false">VLOOKUP(A336,#REF!,2, )</f>
        <v>#VALUE!</v>
      </c>
      <c r="L336" s="32" t="n">
        <v>0</v>
      </c>
      <c r="M336" s="32" t="n">
        <v>0</v>
      </c>
      <c r="N336" s="32" t="n">
        <v>0</v>
      </c>
      <c r="O336" s="42" t="s">
        <v>11367</v>
      </c>
      <c r="P336" s="41"/>
      <c r="T336" s="42" t="n">
        <v>0</v>
      </c>
      <c r="W336" s="42" t="n">
        <v>0</v>
      </c>
      <c r="Z336" s="42" t="n">
        <v>0</v>
      </c>
      <c r="AA336" s="60" t="n">
        <v>0</v>
      </c>
      <c r="AB336" s="60" t="n">
        <v>0</v>
      </c>
    </row>
    <row r="337" customFormat="false" ht="12.75" hidden="true" customHeight="true" outlineLevel="0" collapsed="false">
      <c r="A337" s="55" t="s">
        <v>13042</v>
      </c>
      <c r="B337" s="55" t="s">
        <v>119</v>
      </c>
      <c r="C337" s="55" t="s">
        <v>13043</v>
      </c>
      <c r="D337" s="32" t="n">
        <v>75015</v>
      </c>
      <c r="E337" s="32" t="s">
        <v>55</v>
      </c>
      <c r="F337" s="32" t="s">
        <v>13044</v>
      </c>
      <c r="G337" s="55" t="s">
        <v>13045</v>
      </c>
      <c r="H337" s="55" t="s">
        <v>13046</v>
      </c>
      <c r="I337" s="32" t="n">
        <v>9</v>
      </c>
      <c r="J337" s="32" t="n">
        <v>0</v>
      </c>
      <c r="K337" s="43" t="e">
        <f aca="false">VLOOKUP(A337,#REF!,2, )</f>
        <v>#VALUE!</v>
      </c>
      <c r="L337" s="32" t="n">
        <v>0</v>
      </c>
      <c r="M337" s="32" t="n">
        <v>0</v>
      </c>
      <c r="N337" s="32" t="n">
        <v>0</v>
      </c>
      <c r="O337" s="42" t="s">
        <v>11367</v>
      </c>
      <c r="P337" s="41"/>
      <c r="T337" s="42" t="n">
        <v>0</v>
      </c>
      <c r="W337" s="42" t="n">
        <v>0</v>
      </c>
      <c r="Z337" s="42" t="n">
        <v>0</v>
      </c>
      <c r="AA337" s="60" t="n">
        <v>0</v>
      </c>
      <c r="AB337" s="60" t="n">
        <v>0</v>
      </c>
    </row>
    <row r="338" customFormat="false" ht="17.25" hidden="true" customHeight="true" outlineLevel="0" collapsed="false">
      <c r="A338" s="55" t="s">
        <v>13047</v>
      </c>
      <c r="B338" s="55" t="s">
        <v>51</v>
      </c>
      <c r="C338" s="55" t="s">
        <v>13048</v>
      </c>
      <c r="D338" s="32" t="n">
        <v>75015</v>
      </c>
      <c r="E338" s="32" t="s">
        <v>55</v>
      </c>
      <c r="F338" s="32" t="s">
        <v>13049</v>
      </c>
      <c r="G338" s="55" t="s">
        <v>13050</v>
      </c>
      <c r="H338" s="55" t="s">
        <v>13051</v>
      </c>
      <c r="I338" s="32" t="n">
        <v>10</v>
      </c>
      <c r="J338" s="32" t="n">
        <v>0</v>
      </c>
      <c r="K338" s="43" t="e">
        <f aca="false">VLOOKUP(A338,#REF!,2, )</f>
        <v>#VALUE!</v>
      </c>
      <c r="L338" s="32" t="n">
        <v>0</v>
      </c>
      <c r="M338" s="32" t="n">
        <v>0</v>
      </c>
      <c r="N338" s="32" t="n">
        <v>0</v>
      </c>
      <c r="O338" s="42" t="s">
        <v>11367</v>
      </c>
      <c r="P338" s="41"/>
      <c r="T338" s="42" t="n">
        <v>0</v>
      </c>
      <c r="W338" s="42" t="n">
        <v>0</v>
      </c>
      <c r="Z338" s="42" t="n">
        <v>0</v>
      </c>
      <c r="AA338" s="60" t="n">
        <v>0</v>
      </c>
      <c r="AB338" s="60" t="n">
        <v>0</v>
      </c>
      <c r="AD338" s="42" t="s">
        <v>11375</v>
      </c>
    </row>
    <row r="339" customFormat="false" ht="17.25" hidden="true" customHeight="true" outlineLevel="0" collapsed="false">
      <c r="A339" s="55" t="s">
        <v>13052</v>
      </c>
      <c r="B339" s="55" t="s">
        <v>99</v>
      </c>
      <c r="C339" s="55" t="s">
        <v>13053</v>
      </c>
      <c r="D339" s="32" t="n">
        <v>75015</v>
      </c>
      <c r="E339" s="32" t="s">
        <v>55</v>
      </c>
      <c r="F339" s="32" t="s">
        <v>13054</v>
      </c>
      <c r="G339" s="55" t="s">
        <v>13055</v>
      </c>
      <c r="H339" s="55" t="s">
        <v>13056</v>
      </c>
      <c r="I339" s="32" t="n">
        <v>10</v>
      </c>
      <c r="J339" s="32" t="n">
        <v>0</v>
      </c>
      <c r="K339" s="43" t="e">
        <f aca="false">VLOOKUP(A339,#REF!,2, )</f>
        <v>#VALUE!</v>
      </c>
      <c r="L339" s="32" t="n">
        <v>1</v>
      </c>
      <c r="M339" s="32" t="n">
        <v>0</v>
      </c>
      <c r="N339" s="32" t="n">
        <v>0</v>
      </c>
      <c r="O339" s="42" t="s">
        <v>11367</v>
      </c>
      <c r="P339" s="41"/>
      <c r="T339" s="42" t="n">
        <v>0</v>
      </c>
      <c r="W339" s="42" t="n">
        <v>0</v>
      </c>
      <c r="Z339" s="42" t="n">
        <v>0</v>
      </c>
      <c r="AA339" s="60" t="n">
        <v>0</v>
      </c>
      <c r="AB339" s="60" t="n">
        <v>0</v>
      </c>
    </row>
    <row r="340" customFormat="false" ht="17.25" hidden="true" customHeight="true" outlineLevel="0" collapsed="false">
      <c r="A340" s="55" t="s">
        <v>13057</v>
      </c>
      <c r="B340" s="55" t="s">
        <v>435</v>
      </c>
      <c r="C340" s="55" t="s">
        <v>13058</v>
      </c>
      <c r="D340" s="32" t="n">
        <v>75016</v>
      </c>
      <c r="E340" s="32" t="s">
        <v>55</v>
      </c>
      <c r="F340" s="32" t="s">
        <v>13059</v>
      </c>
      <c r="G340" s="55" t="s">
        <v>13060</v>
      </c>
      <c r="H340" s="55" t="s">
        <v>13061</v>
      </c>
      <c r="I340" s="32" t="n">
        <v>10</v>
      </c>
      <c r="J340" s="32" t="n">
        <v>0</v>
      </c>
      <c r="K340" s="43" t="e">
        <f aca="false">VLOOKUP(A340,#REF!,2, )</f>
        <v>#VALUE!</v>
      </c>
      <c r="L340" s="32" t="n">
        <v>0</v>
      </c>
      <c r="M340" s="32" t="n">
        <v>0</v>
      </c>
      <c r="N340" s="32" t="n">
        <v>0</v>
      </c>
      <c r="O340" s="42" t="s">
        <v>13062</v>
      </c>
      <c r="P340" s="41" t="n">
        <v>45186.7013888889</v>
      </c>
      <c r="T340" s="42" t="n">
        <v>0</v>
      </c>
      <c r="W340" s="42" t="n">
        <v>0</v>
      </c>
      <c r="Z340" s="42" t="n">
        <v>0</v>
      </c>
      <c r="AA340" s="60" t="n">
        <v>63.56</v>
      </c>
      <c r="AB340" s="60" t="n">
        <v>0</v>
      </c>
      <c r="AD340" s="42" t="s">
        <v>11375</v>
      </c>
    </row>
    <row r="341" customFormat="false" ht="17.25" hidden="true" customHeight="true" outlineLevel="0" collapsed="false">
      <c r="A341" s="55" t="s">
        <v>13063</v>
      </c>
      <c r="B341" s="55" t="s">
        <v>435</v>
      </c>
      <c r="C341" s="55" t="s">
        <v>13064</v>
      </c>
      <c r="D341" s="32" t="n">
        <v>75016</v>
      </c>
      <c r="E341" s="32" t="s">
        <v>55</v>
      </c>
      <c r="F341" s="32" t="s">
        <v>13065</v>
      </c>
      <c r="G341" s="55" t="s">
        <v>13066</v>
      </c>
      <c r="H341" s="55" t="s">
        <v>13067</v>
      </c>
      <c r="I341" s="32" t="n">
        <v>10</v>
      </c>
      <c r="J341" s="32" t="n">
        <v>0</v>
      </c>
      <c r="K341" s="43" t="e">
        <f aca="false">VLOOKUP(A341,#REF!,2, )</f>
        <v>#VALUE!</v>
      </c>
      <c r="L341" s="32" t="n">
        <v>1</v>
      </c>
      <c r="M341" s="32" t="n">
        <v>0</v>
      </c>
      <c r="N341" s="32" t="n">
        <v>0</v>
      </c>
      <c r="O341" s="42" t="s">
        <v>11367</v>
      </c>
      <c r="P341" s="41"/>
      <c r="T341" s="42" t="n">
        <v>0</v>
      </c>
      <c r="W341" s="42" t="n">
        <v>0</v>
      </c>
      <c r="Z341" s="42" t="n">
        <v>0</v>
      </c>
      <c r="AA341" s="60" t="n">
        <v>0</v>
      </c>
      <c r="AB341" s="60" t="n">
        <v>0</v>
      </c>
    </row>
    <row r="342" customFormat="false" ht="17.25" hidden="true" customHeight="true" outlineLevel="0" collapsed="false">
      <c r="A342" s="55" t="s">
        <v>13068</v>
      </c>
      <c r="B342" s="55" t="s">
        <v>173</v>
      </c>
      <c r="C342" s="55" t="s">
        <v>13069</v>
      </c>
      <c r="D342" s="32" t="n">
        <v>75116</v>
      </c>
      <c r="E342" s="32" t="s">
        <v>55</v>
      </c>
      <c r="F342" s="32" t="s">
        <v>13070</v>
      </c>
      <c r="G342" s="55" t="s">
        <v>13071</v>
      </c>
      <c r="H342" s="55" t="s">
        <v>13072</v>
      </c>
      <c r="I342" s="32" t="n">
        <v>10</v>
      </c>
      <c r="J342" s="32" t="n">
        <v>0</v>
      </c>
      <c r="K342" s="43" t="e">
        <f aca="false">VLOOKUP(A342,#REF!,2, )</f>
        <v>#VALUE!</v>
      </c>
      <c r="L342" s="32" t="n">
        <v>0</v>
      </c>
      <c r="M342" s="32" t="n">
        <v>0</v>
      </c>
      <c r="N342" s="32" t="n">
        <v>0</v>
      </c>
      <c r="O342" s="42" t="s">
        <v>11367</v>
      </c>
      <c r="P342" s="41"/>
      <c r="T342" s="42" t="n">
        <v>0</v>
      </c>
      <c r="W342" s="42" t="n">
        <v>0</v>
      </c>
      <c r="Z342" s="42" t="n">
        <v>0</v>
      </c>
      <c r="AA342" s="60" t="n">
        <v>0</v>
      </c>
      <c r="AB342" s="60" t="n">
        <v>0</v>
      </c>
    </row>
    <row r="343" customFormat="false" ht="12.75" hidden="true" customHeight="true" outlineLevel="0" collapsed="false">
      <c r="A343" s="55" t="s">
        <v>13073</v>
      </c>
      <c r="B343" s="55" t="s">
        <v>173</v>
      </c>
      <c r="C343" s="55" t="s">
        <v>13074</v>
      </c>
      <c r="D343" s="32" t="n">
        <v>75116</v>
      </c>
      <c r="E343" s="32" t="s">
        <v>55</v>
      </c>
      <c r="F343" s="32" t="s">
        <v>13075</v>
      </c>
      <c r="G343" s="55" t="s">
        <v>13076</v>
      </c>
      <c r="H343" s="55" t="s">
        <v>13077</v>
      </c>
      <c r="I343" s="32" t="n">
        <v>10</v>
      </c>
      <c r="J343" s="32" t="n">
        <v>0</v>
      </c>
      <c r="K343" s="43" t="e">
        <f aca="false">VLOOKUP(A343,#REF!,2, )</f>
        <v>#VALUE!</v>
      </c>
      <c r="L343" s="32" t="n">
        <v>0</v>
      </c>
      <c r="M343" s="32" t="n">
        <v>0</v>
      </c>
      <c r="N343" s="32" t="n">
        <v>0</v>
      </c>
      <c r="O343" s="42" t="s">
        <v>11367</v>
      </c>
      <c r="P343" s="41"/>
      <c r="T343" s="42" t="n">
        <v>0</v>
      </c>
      <c r="W343" s="42" t="n">
        <v>0</v>
      </c>
      <c r="Z343" s="42" t="n">
        <v>0</v>
      </c>
      <c r="AA343" s="60" t="n">
        <v>0</v>
      </c>
      <c r="AB343" s="60" t="n">
        <v>0</v>
      </c>
    </row>
    <row r="344" customFormat="false" ht="12.75" hidden="true" customHeight="true" outlineLevel="0" collapsed="false">
      <c r="A344" s="55" t="s">
        <v>13078</v>
      </c>
      <c r="B344" s="55" t="s">
        <v>387</v>
      </c>
      <c r="C344" s="55" t="s">
        <v>13079</v>
      </c>
      <c r="D344" s="32" t="n">
        <v>75016</v>
      </c>
      <c r="E344" s="32" t="s">
        <v>55</v>
      </c>
      <c r="F344" s="32" t="s">
        <v>13080</v>
      </c>
      <c r="G344" s="55" t="s">
        <v>13081</v>
      </c>
      <c r="H344" s="55" t="s">
        <v>13082</v>
      </c>
      <c r="I344" s="32" t="n">
        <v>5</v>
      </c>
      <c r="J344" s="32" t="n">
        <v>0</v>
      </c>
      <c r="K344" s="43" t="e">
        <f aca="false">VLOOKUP(A344,#REF!,2, )</f>
        <v>#VALUE!</v>
      </c>
      <c r="L344" s="32" t="n">
        <v>0</v>
      </c>
      <c r="M344" s="32" t="n">
        <v>0</v>
      </c>
      <c r="N344" s="32" t="n">
        <v>0</v>
      </c>
      <c r="O344" s="42" t="s">
        <v>13083</v>
      </c>
      <c r="P344" s="41" t="n">
        <v>45193.6770833333</v>
      </c>
      <c r="T344" s="42" t="n">
        <v>0</v>
      </c>
      <c r="W344" s="42" t="n">
        <v>0</v>
      </c>
      <c r="Z344" s="42" t="n">
        <v>0</v>
      </c>
      <c r="AA344" s="60" t="n">
        <v>0</v>
      </c>
      <c r="AB344" s="60" t="n">
        <v>0</v>
      </c>
    </row>
    <row r="345" customFormat="false" ht="17.25" hidden="true" customHeight="true" outlineLevel="0" collapsed="false">
      <c r="A345" s="55" t="s">
        <v>13084</v>
      </c>
      <c r="B345" s="55" t="s">
        <v>173</v>
      </c>
      <c r="C345" s="55" t="s">
        <v>13085</v>
      </c>
      <c r="D345" s="32" t="n">
        <v>75116</v>
      </c>
      <c r="E345" s="32" t="s">
        <v>55</v>
      </c>
      <c r="F345" s="32" t="s">
        <v>13086</v>
      </c>
      <c r="G345" s="55" t="s">
        <v>13087</v>
      </c>
      <c r="H345" s="55" t="s">
        <v>13088</v>
      </c>
      <c r="I345" s="32" t="n">
        <v>10</v>
      </c>
      <c r="J345" s="32" t="n">
        <v>0</v>
      </c>
      <c r="K345" s="43" t="e">
        <f aca="false">VLOOKUP(A345,#REF!,2, )</f>
        <v>#VALUE!</v>
      </c>
      <c r="L345" s="32" t="n">
        <v>0</v>
      </c>
      <c r="M345" s="32" t="n">
        <v>0</v>
      </c>
      <c r="N345" s="32" t="n">
        <v>1</v>
      </c>
      <c r="O345" s="42" t="s">
        <v>11367</v>
      </c>
      <c r="P345" s="41" t="n">
        <v>44629</v>
      </c>
      <c r="T345" s="42" t="n">
        <v>0</v>
      </c>
      <c r="W345" s="42" t="n">
        <v>0</v>
      </c>
      <c r="Z345" s="42" t="n">
        <v>0</v>
      </c>
      <c r="AA345" s="60" t="n">
        <v>0</v>
      </c>
      <c r="AB345" s="60" t="n">
        <v>0</v>
      </c>
      <c r="AD345" s="42" t="s">
        <v>11759</v>
      </c>
    </row>
    <row r="346" customFormat="false" ht="12.75" hidden="true" customHeight="true" outlineLevel="0" collapsed="false">
      <c r="A346" s="55" t="s">
        <v>13089</v>
      </c>
      <c r="B346" s="55" t="s">
        <v>197</v>
      </c>
      <c r="C346" s="55" t="s">
        <v>13090</v>
      </c>
      <c r="D346" s="32" t="n">
        <v>75017</v>
      </c>
      <c r="E346" s="32" t="s">
        <v>55</v>
      </c>
      <c r="F346" s="32" t="s">
        <v>13091</v>
      </c>
      <c r="G346" s="55" t="s">
        <v>13092</v>
      </c>
      <c r="H346" s="55" t="s">
        <v>13093</v>
      </c>
      <c r="I346" s="32" t="n">
        <v>8</v>
      </c>
      <c r="J346" s="32" t="n">
        <v>0</v>
      </c>
      <c r="K346" s="43" t="e">
        <f aca="false">VLOOKUP(A346,#REF!,2, )</f>
        <v>#VALUE!</v>
      </c>
      <c r="L346" s="32" t="n">
        <v>0</v>
      </c>
      <c r="M346" s="32" t="n">
        <v>0</v>
      </c>
      <c r="N346" s="32" t="n">
        <v>0</v>
      </c>
      <c r="O346" s="42" t="s">
        <v>11367</v>
      </c>
      <c r="P346" s="41"/>
      <c r="T346" s="42" t="n">
        <v>0</v>
      </c>
      <c r="W346" s="42" t="n">
        <v>0</v>
      </c>
      <c r="Z346" s="42" t="n">
        <v>0</v>
      </c>
      <c r="AA346" s="60" t="n">
        <v>0</v>
      </c>
      <c r="AB346" s="60" t="n">
        <v>0</v>
      </c>
    </row>
    <row r="347" customFormat="false" ht="12.75" hidden="true" customHeight="true" outlineLevel="0" collapsed="false">
      <c r="A347" s="55" t="s">
        <v>13094</v>
      </c>
      <c r="B347" s="55" t="s">
        <v>62</v>
      </c>
      <c r="C347" s="55" t="s">
        <v>13095</v>
      </c>
      <c r="D347" s="32" t="n">
        <v>75017</v>
      </c>
      <c r="E347" s="32" t="s">
        <v>55</v>
      </c>
      <c r="F347" s="32" t="s">
        <v>13096</v>
      </c>
      <c r="G347" s="55" t="s">
        <v>13097</v>
      </c>
      <c r="H347" s="55" t="s">
        <v>13098</v>
      </c>
      <c r="I347" s="32" t="n">
        <v>10</v>
      </c>
      <c r="J347" s="32" t="n">
        <v>0</v>
      </c>
      <c r="K347" s="43" t="e">
        <f aca="false">VLOOKUP(A347,#REF!,2, )</f>
        <v>#VALUE!</v>
      </c>
      <c r="L347" s="32" t="n">
        <v>0</v>
      </c>
      <c r="M347" s="32" t="n">
        <v>0</v>
      </c>
      <c r="N347" s="32" t="n">
        <v>0</v>
      </c>
      <c r="O347" s="42" t="s">
        <v>11367</v>
      </c>
      <c r="P347" s="41"/>
      <c r="T347" s="42" t="n">
        <v>0</v>
      </c>
      <c r="W347" s="42" t="n">
        <v>0</v>
      </c>
      <c r="Z347" s="42" t="n">
        <v>0</v>
      </c>
      <c r="AA347" s="60" t="n">
        <v>0</v>
      </c>
      <c r="AB347" s="60" t="n">
        <v>0</v>
      </c>
      <c r="AD347" s="42" t="s">
        <v>13099</v>
      </c>
    </row>
    <row r="348" customFormat="false" ht="17.25" hidden="true" customHeight="true" outlineLevel="0" collapsed="false">
      <c r="A348" s="55" t="s">
        <v>13100</v>
      </c>
      <c r="B348" s="55" t="s">
        <v>62</v>
      </c>
      <c r="C348" s="55" t="s">
        <v>13101</v>
      </c>
      <c r="D348" s="32" t="n">
        <v>75017</v>
      </c>
      <c r="E348" s="32" t="s">
        <v>55</v>
      </c>
      <c r="F348" s="32" t="s">
        <v>13102</v>
      </c>
      <c r="G348" s="55" t="s">
        <v>13103</v>
      </c>
      <c r="H348" s="55" t="s">
        <v>13104</v>
      </c>
      <c r="I348" s="32" t="n">
        <v>10</v>
      </c>
      <c r="J348" s="32" t="n">
        <v>0</v>
      </c>
      <c r="K348" s="43" t="e">
        <f aca="false">VLOOKUP(A348,#REF!,2, )</f>
        <v>#VALUE!</v>
      </c>
      <c r="L348" s="32" t="n">
        <v>0</v>
      </c>
      <c r="M348" s="32" t="n">
        <v>0</v>
      </c>
      <c r="N348" s="32" t="n">
        <v>0</v>
      </c>
      <c r="O348" s="42" t="s">
        <v>11367</v>
      </c>
      <c r="P348" s="41"/>
      <c r="T348" s="42" t="n">
        <v>0</v>
      </c>
      <c r="W348" s="42" t="n">
        <v>0</v>
      </c>
      <c r="Z348" s="42" t="n">
        <v>0</v>
      </c>
      <c r="AA348" s="60" t="n">
        <v>0</v>
      </c>
      <c r="AB348" s="60" t="n">
        <v>0</v>
      </c>
    </row>
    <row r="349" customFormat="false" ht="12.75" hidden="true" customHeight="true" outlineLevel="0" collapsed="false">
      <c r="A349" s="55" t="s">
        <v>13105</v>
      </c>
      <c r="B349" s="55" t="s">
        <v>62</v>
      </c>
      <c r="C349" s="55" t="s">
        <v>13106</v>
      </c>
      <c r="D349" s="32" t="n">
        <v>75017</v>
      </c>
      <c r="E349" s="32" t="s">
        <v>55</v>
      </c>
      <c r="F349" s="32" t="s">
        <v>13107</v>
      </c>
      <c r="G349" s="55" t="s">
        <v>13108</v>
      </c>
      <c r="H349" s="55" t="s">
        <v>13109</v>
      </c>
      <c r="I349" s="32" t="n">
        <v>8</v>
      </c>
      <c r="J349" s="32" t="n">
        <v>0</v>
      </c>
      <c r="K349" s="43" t="e">
        <f aca="false">VLOOKUP(A349,#REF!,2, )</f>
        <v>#VALUE!</v>
      </c>
      <c r="L349" s="32" t="n">
        <v>0</v>
      </c>
      <c r="M349" s="32" t="n">
        <v>0</v>
      </c>
      <c r="N349" s="32" t="n">
        <v>0</v>
      </c>
      <c r="O349" s="42" t="s">
        <v>11367</v>
      </c>
      <c r="P349" s="41"/>
      <c r="T349" s="42" t="n">
        <v>0</v>
      </c>
      <c r="W349" s="42" t="n">
        <v>0</v>
      </c>
      <c r="Z349" s="42" t="n">
        <v>0</v>
      </c>
      <c r="AA349" s="60" t="n">
        <v>0</v>
      </c>
      <c r="AB349" s="60" t="n">
        <v>0</v>
      </c>
      <c r="AD349" s="42" t="s">
        <v>12612</v>
      </c>
    </row>
    <row r="350" customFormat="false" ht="12.75" hidden="true" customHeight="true" outlineLevel="0" collapsed="false">
      <c r="A350" s="55" t="s">
        <v>13110</v>
      </c>
      <c r="B350" s="55" t="s">
        <v>197</v>
      </c>
      <c r="C350" s="55" t="s">
        <v>13111</v>
      </c>
      <c r="D350" s="32" t="n">
        <v>75017</v>
      </c>
      <c r="E350" s="32" t="s">
        <v>55</v>
      </c>
      <c r="F350" s="32" t="s">
        <v>13112</v>
      </c>
      <c r="G350" s="55" t="s">
        <v>13113</v>
      </c>
      <c r="H350" s="55" t="s">
        <v>13114</v>
      </c>
      <c r="I350" s="32" t="n">
        <v>10</v>
      </c>
      <c r="J350" s="32" t="n">
        <v>0</v>
      </c>
      <c r="K350" s="43" t="e">
        <f aca="false">VLOOKUP(A350,#REF!,2, )</f>
        <v>#VALUE!</v>
      </c>
      <c r="L350" s="32" t="n">
        <v>0</v>
      </c>
      <c r="M350" s="32" t="n">
        <v>0</v>
      </c>
      <c r="N350" s="32" t="n">
        <v>0</v>
      </c>
      <c r="O350" s="42" t="s">
        <v>11367</v>
      </c>
      <c r="P350" s="41"/>
      <c r="T350" s="42" t="n">
        <v>0</v>
      </c>
      <c r="W350" s="42" t="n">
        <v>0</v>
      </c>
      <c r="Z350" s="42" t="n">
        <v>0</v>
      </c>
      <c r="AA350" s="60" t="n">
        <v>0</v>
      </c>
      <c r="AB350" s="60" t="n">
        <v>0</v>
      </c>
    </row>
    <row r="351" customFormat="false" ht="12.75" hidden="true" customHeight="true" outlineLevel="0" collapsed="false">
      <c r="A351" s="55" t="s">
        <v>13115</v>
      </c>
      <c r="B351" s="55" t="s">
        <v>295</v>
      </c>
      <c r="C351" s="55" t="s">
        <v>13116</v>
      </c>
      <c r="D351" s="32" t="n">
        <v>92300</v>
      </c>
      <c r="E351" s="32" t="s">
        <v>11355</v>
      </c>
      <c r="F351" s="32" t="s">
        <v>13117</v>
      </c>
      <c r="G351" s="55" t="s">
        <v>13118</v>
      </c>
      <c r="H351" s="55" t="s">
        <v>13119</v>
      </c>
      <c r="I351" s="32" t="n">
        <v>10</v>
      </c>
      <c r="J351" s="32" t="n">
        <v>0</v>
      </c>
      <c r="K351" s="43" t="e">
        <f aca="false">VLOOKUP(A351,#REF!,2, )</f>
        <v>#VALUE!</v>
      </c>
      <c r="L351" s="32" t="n">
        <v>0</v>
      </c>
      <c r="M351" s="32" t="n">
        <v>0</v>
      </c>
      <c r="N351" s="32" t="n">
        <v>0</v>
      </c>
      <c r="O351" s="42" t="s">
        <v>11367</v>
      </c>
      <c r="P351" s="41"/>
      <c r="T351" s="42" t="n">
        <v>0</v>
      </c>
      <c r="W351" s="42" t="n">
        <v>0</v>
      </c>
      <c r="Z351" s="42" t="n">
        <v>0</v>
      </c>
      <c r="AA351" s="60" t="n">
        <v>0</v>
      </c>
      <c r="AB351" s="60" t="n">
        <v>0</v>
      </c>
    </row>
    <row r="352" customFormat="false" ht="12.75" hidden="true" customHeight="true" outlineLevel="0" collapsed="false">
      <c r="A352" s="55" t="s">
        <v>13120</v>
      </c>
      <c r="B352" s="55" t="s">
        <v>295</v>
      </c>
      <c r="C352" s="55" t="s">
        <v>13121</v>
      </c>
      <c r="D352" s="32" t="n">
        <v>92300</v>
      </c>
      <c r="E352" s="32" t="s">
        <v>11355</v>
      </c>
      <c r="F352" s="32" t="s">
        <v>13122</v>
      </c>
      <c r="G352" s="55" t="s">
        <v>13123</v>
      </c>
      <c r="H352" s="55" t="s">
        <v>13124</v>
      </c>
      <c r="I352" s="32" t="n">
        <v>10</v>
      </c>
      <c r="J352" s="32" t="n">
        <v>0</v>
      </c>
      <c r="K352" s="43" t="e">
        <f aca="false">VLOOKUP(A352,#REF!,2, )</f>
        <v>#VALUE!</v>
      </c>
      <c r="L352" s="32" t="n">
        <v>0</v>
      </c>
      <c r="M352" s="32" t="n">
        <v>0</v>
      </c>
      <c r="N352" s="32" t="n">
        <v>0</v>
      </c>
      <c r="O352" s="42" t="s">
        <v>11367</v>
      </c>
      <c r="P352" s="41"/>
      <c r="T352" s="42" t="n">
        <v>0</v>
      </c>
      <c r="W352" s="42" t="n">
        <v>0</v>
      </c>
      <c r="Z352" s="42" t="n">
        <v>0</v>
      </c>
      <c r="AA352" s="60" t="n">
        <v>0</v>
      </c>
      <c r="AB352" s="60" t="n">
        <v>0</v>
      </c>
      <c r="AD352" s="42" t="s">
        <v>11656</v>
      </c>
    </row>
    <row r="353" customFormat="false" ht="12.75" hidden="true" customHeight="true" outlineLevel="0" collapsed="false">
      <c r="A353" s="55" t="s">
        <v>13125</v>
      </c>
      <c r="B353" s="55" t="s">
        <v>77</v>
      </c>
      <c r="C353" s="55" t="s">
        <v>13126</v>
      </c>
      <c r="D353" s="32" t="n">
        <v>92200</v>
      </c>
      <c r="E353" s="32" t="s">
        <v>11393</v>
      </c>
      <c r="F353" s="32" t="s">
        <v>13127</v>
      </c>
      <c r="G353" s="55" t="s">
        <v>13128</v>
      </c>
      <c r="H353" s="55" t="s">
        <v>13129</v>
      </c>
      <c r="I353" s="32" t="n">
        <v>10</v>
      </c>
      <c r="J353" s="32" t="n">
        <v>0</v>
      </c>
      <c r="K353" s="43" t="e">
        <f aca="false">VLOOKUP(A353,#REF!,2, )</f>
        <v>#VALUE!</v>
      </c>
      <c r="L353" s="32" t="n">
        <v>0</v>
      </c>
      <c r="M353" s="32" t="n">
        <v>0</v>
      </c>
      <c r="N353" s="32" t="n">
        <v>0</v>
      </c>
      <c r="O353" s="42" t="s">
        <v>11367</v>
      </c>
      <c r="P353" s="41"/>
      <c r="T353" s="42" t="n">
        <v>0</v>
      </c>
      <c r="W353" s="42" t="n">
        <v>0</v>
      </c>
      <c r="Z353" s="42" t="n">
        <v>0</v>
      </c>
      <c r="AA353" s="60" t="n">
        <v>0</v>
      </c>
      <c r="AB353" s="60" t="n">
        <v>0</v>
      </c>
    </row>
    <row r="354" customFormat="false" ht="12.75" hidden="true" customHeight="true" outlineLevel="0" collapsed="false">
      <c r="A354" s="55" t="s">
        <v>13130</v>
      </c>
      <c r="B354" s="55" t="s">
        <v>77</v>
      </c>
      <c r="C354" s="55" t="s">
        <v>13131</v>
      </c>
      <c r="D354" s="32" t="n">
        <v>92200</v>
      </c>
      <c r="E354" s="32" t="s">
        <v>11393</v>
      </c>
      <c r="F354" s="32" t="s">
        <v>13132</v>
      </c>
      <c r="G354" s="55" t="s">
        <v>13133</v>
      </c>
      <c r="H354" s="55" t="s">
        <v>13134</v>
      </c>
      <c r="I354" s="32" t="n">
        <v>10</v>
      </c>
      <c r="J354" s="32" t="n">
        <v>0</v>
      </c>
      <c r="K354" s="43" t="e">
        <f aca="false">VLOOKUP(A354,#REF!,2, )</f>
        <v>#VALUE!</v>
      </c>
      <c r="L354" s="32" t="n">
        <v>0</v>
      </c>
      <c r="M354" s="32" t="n">
        <v>0</v>
      </c>
      <c r="N354" s="32" t="n">
        <v>0</v>
      </c>
      <c r="O354" s="42" t="s">
        <v>13135</v>
      </c>
      <c r="P354" s="41" t="n">
        <v>45222.5208333333</v>
      </c>
      <c r="T354" s="42" t="n">
        <v>0</v>
      </c>
      <c r="W354" s="42" t="n">
        <v>0</v>
      </c>
      <c r="Z354" s="42" t="n">
        <v>0</v>
      </c>
      <c r="AA354" s="60" t="n">
        <v>0</v>
      </c>
      <c r="AB354" s="60" t="n">
        <v>0</v>
      </c>
      <c r="AD354" s="42" t="s">
        <v>11423</v>
      </c>
    </row>
    <row r="355" customFormat="false" ht="12.75" hidden="true" customHeight="true" outlineLevel="0" collapsed="false">
      <c r="A355" s="55" t="s">
        <v>13136</v>
      </c>
      <c r="B355" s="55" t="s">
        <v>62</v>
      </c>
      <c r="C355" s="55" t="s">
        <v>13137</v>
      </c>
      <c r="D355" s="32" t="n">
        <v>75017</v>
      </c>
      <c r="E355" s="32" t="s">
        <v>55</v>
      </c>
      <c r="F355" s="32" t="s">
        <v>13138</v>
      </c>
      <c r="G355" s="55" t="s">
        <v>13139</v>
      </c>
      <c r="H355" s="55" t="s">
        <v>13140</v>
      </c>
      <c r="I355" s="32" t="n">
        <v>0</v>
      </c>
      <c r="J355" s="32" t="n">
        <v>0</v>
      </c>
      <c r="K355" s="43" t="e">
        <f aca="false">VLOOKUP(A355,#REF!,2, )</f>
        <v>#VALUE!</v>
      </c>
      <c r="L355" s="32" t="n">
        <v>0</v>
      </c>
      <c r="M355" s="32" t="n">
        <v>0</v>
      </c>
      <c r="N355" s="32" t="n">
        <v>0</v>
      </c>
      <c r="O355" s="42" t="s">
        <v>11367</v>
      </c>
      <c r="P355" s="41"/>
      <c r="T355" s="42" t="n">
        <v>0</v>
      </c>
      <c r="W355" s="42" t="n">
        <v>0</v>
      </c>
      <c r="Z355" s="42" t="n">
        <v>0</v>
      </c>
      <c r="AA355" s="60" t="n">
        <v>0</v>
      </c>
      <c r="AB355" s="60" t="n">
        <v>0</v>
      </c>
    </row>
    <row r="356" customFormat="false" ht="12.75" hidden="true" customHeight="true" outlineLevel="0" collapsed="false">
      <c r="A356" s="55" t="s">
        <v>13141</v>
      </c>
      <c r="B356" s="55" t="s">
        <v>387</v>
      </c>
      <c r="C356" s="55" t="s">
        <v>13142</v>
      </c>
      <c r="D356" s="32" t="n">
        <v>75016</v>
      </c>
      <c r="E356" s="32" t="s">
        <v>55</v>
      </c>
      <c r="F356" s="32" t="s">
        <v>13143</v>
      </c>
      <c r="G356" s="55" t="s">
        <v>13144</v>
      </c>
      <c r="H356" s="55" t="s">
        <v>13145</v>
      </c>
      <c r="I356" s="32" t="n">
        <v>0</v>
      </c>
      <c r="J356" s="32" t="n">
        <v>0</v>
      </c>
      <c r="K356" s="43" t="e">
        <f aca="false">VLOOKUP(A356,#REF!,2, )</f>
        <v>#VALUE!</v>
      </c>
      <c r="L356" s="32" t="n">
        <v>1</v>
      </c>
      <c r="M356" s="32" t="n">
        <v>1</v>
      </c>
      <c r="N356" s="32" t="n">
        <v>0</v>
      </c>
      <c r="O356" s="42" t="s">
        <v>11367</v>
      </c>
      <c r="P356" s="41"/>
      <c r="T356" s="42" t="n">
        <v>0</v>
      </c>
      <c r="W356" s="42" t="n">
        <v>0</v>
      </c>
      <c r="Z356" s="42" t="n">
        <v>0</v>
      </c>
      <c r="AA356" s="60" t="n">
        <v>0</v>
      </c>
      <c r="AB356" s="60" t="n">
        <v>0</v>
      </c>
      <c r="AD356" s="42" t="s">
        <v>11634</v>
      </c>
      <c r="AE356" s="42" t="s">
        <v>11390</v>
      </c>
    </row>
    <row r="357" customFormat="false" ht="12.75" hidden="true" customHeight="true" outlineLevel="0" collapsed="false">
      <c r="A357" s="55" t="s">
        <v>13146</v>
      </c>
      <c r="B357" s="55" t="s">
        <v>197</v>
      </c>
      <c r="C357" s="55" t="s">
        <v>13147</v>
      </c>
      <c r="D357" s="32" t="n">
        <v>75008</v>
      </c>
      <c r="E357" s="32" t="s">
        <v>55</v>
      </c>
      <c r="F357" s="32" t="s">
        <v>13148</v>
      </c>
      <c r="G357" s="55" t="s">
        <v>13149</v>
      </c>
      <c r="H357" s="55" t="s">
        <v>13150</v>
      </c>
      <c r="I357" s="32" t="n">
        <v>0</v>
      </c>
      <c r="J357" s="32" t="n">
        <v>0</v>
      </c>
      <c r="K357" s="43" t="e">
        <f aca="false">VLOOKUP(A357,#REF!,2, )</f>
        <v>#VALUE!</v>
      </c>
      <c r="L357" s="32" t="n">
        <v>0</v>
      </c>
      <c r="M357" s="32" t="n">
        <v>0</v>
      </c>
      <c r="N357" s="32" t="n">
        <v>0</v>
      </c>
      <c r="O357" s="42" t="s">
        <v>11367</v>
      </c>
      <c r="P357" s="41"/>
      <c r="T357" s="42" t="n">
        <v>0</v>
      </c>
      <c r="W357" s="42" t="n">
        <v>0</v>
      </c>
      <c r="Z357" s="42" t="n">
        <v>0</v>
      </c>
      <c r="AA357" s="60" t="n">
        <v>0</v>
      </c>
      <c r="AB357" s="60" t="n">
        <v>0</v>
      </c>
      <c r="AD357" s="42" t="s">
        <v>13151</v>
      </c>
    </row>
    <row r="358" customFormat="false" ht="17.25" hidden="true" customHeight="true" outlineLevel="0" collapsed="false">
      <c r="A358" s="55" t="s">
        <v>13146</v>
      </c>
      <c r="B358" s="55" t="s">
        <v>233</v>
      </c>
      <c r="C358" s="55" t="s">
        <v>13152</v>
      </c>
      <c r="D358" s="32" t="n">
        <v>75015</v>
      </c>
      <c r="E358" s="32" t="s">
        <v>55</v>
      </c>
      <c r="F358" s="32" t="s">
        <v>13153</v>
      </c>
      <c r="G358" s="55" t="s">
        <v>13154</v>
      </c>
      <c r="H358" s="55" t="s">
        <v>13155</v>
      </c>
      <c r="I358" s="32" t="n">
        <v>0</v>
      </c>
      <c r="J358" s="32" t="n">
        <v>0</v>
      </c>
      <c r="K358" s="43" t="e">
        <f aca="false">VLOOKUP(A358,#REF!,2, )</f>
        <v>#VALUE!</v>
      </c>
      <c r="L358" s="32" t="n">
        <v>0</v>
      </c>
      <c r="M358" s="32" t="n">
        <v>1</v>
      </c>
      <c r="N358" s="32" t="n">
        <v>0</v>
      </c>
      <c r="O358" s="42" t="s">
        <v>11367</v>
      </c>
      <c r="P358" s="41"/>
      <c r="T358" s="42" t="n">
        <v>0</v>
      </c>
      <c r="W358" s="42" t="n">
        <v>0</v>
      </c>
      <c r="Z358" s="42" t="n">
        <v>0</v>
      </c>
      <c r="AA358" s="60" t="n">
        <v>0</v>
      </c>
      <c r="AB358" s="60" t="n">
        <v>0</v>
      </c>
      <c r="AD358" s="42" t="s">
        <v>13151</v>
      </c>
    </row>
    <row r="359" customFormat="false" ht="12.75" hidden="true" customHeight="true" outlineLevel="0" collapsed="false">
      <c r="A359" s="55" t="s">
        <v>13151</v>
      </c>
      <c r="B359" s="55" t="s">
        <v>99</v>
      </c>
      <c r="C359" s="55" t="s">
        <v>13156</v>
      </c>
      <c r="D359" s="32" t="n">
        <v>75015</v>
      </c>
      <c r="E359" s="32" t="s">
        <v>55</v>
      </c>
      <c r="F359" s="32" t="s">
        <v>13157</v>
      </c>
      <c r="G359" s="55" t="s">
        <v>13158</v>
      </c>
      <c r="H359" s="55" t="s">
        <v>13159</v>
      </c>
      <c r="I359" s="32" t="n">
        <v>0</v>
      </c>
      <c r="J359" s="32" t="n">
        <v>0</v>
      </c>
      <c r="K359" s="43" t="e">
        <f aca="false">VLOOKUP(A359,#REF!,2, )</f>
        <v>#VALUE!</v>
      </c>
      <c r="L359" s="32" t="n">
        <v>0</v>
      </c>
      <c r="M359" s="32" t="n">
        <v>1</v>
      </c>
      <c r="N359" s="32" t="n">
        <v>0</v>
      </c>
      <c r="O359" s="42" t="s">
        <v>11367</v>
      </c>
      <c r="P359" s="41"/>
      <c r="T359" s="42" t="n">
        <v>0</v>
      </c>
      <c r="W359" s="42" t="n">
        <v>0</v>
      </c>
      <c r="Z359" s="42" t="n">
        <v>0</v>
      </c>
      <c r="AA359" s="60" t="n">
        <v>0</v>
      </c>
      <c r="AB359" s="60" t="n">
        <v>0</v>
      </c>
      <c r="AD359" s="42" t="s">
        <v>13151</v>
      </c>
    </row>
    <row r="360" customFormat="false" ht="17.25" hidden="true" customHeight="true" outlineLevel="0" collapsed="false">
      <c r="A360" s="55" t="s">
        <v>13146</v>
      </c>
      <c r="B360" s="55" t="s">
        <v>99</v>
      </c>
      <c r="C360" s="55" t="s">
        <v>13160</v>
      </c>
      <c r="D360" s="32" t="n">
        <v>75015</v>
      </c>
      <c r="E360" s="32" t="s">
        <v>55</v>
      </c>
      <c r="F360" s="32" t="s">
        <v>13161</v>
      </c>
      <c r="G360" s="55" t="s">
        <v>11643</v>
      </c>
      <c r="H360" s="55" t="s">
        <v>11644</v>
      </c>
      <c r="I360" s="32" t="n">
        <v>0</v>
      </c>
      <c r="J360" s="32" t="n">
        <v>0</v>
      </c>
      <c r="K360" s="43" t="e">
        <f aca="false">VLOOKUP(A360,#REF!,2, )</f>
        <v>#VALUE!</v>
      </c>
      <c r="L360" s="32" t="n">
        <v>0</v>
      </c>
      <c r="M360" s="32" t="n">
        <v>1</v>
      </c>
      <c r="N360" s="32" t="n">
        <v>0</v>
      </c>
      <c r="O360" s="42" t="s">
        <v>11367</v>
      </c>
      <c r="P360" s="41"/>
      <c r="T360" s="42" t="n">
        <v>0</v>
      </c>
      <c r="W360" s="42" t="n">
        <v>0</v>
      </c>
      <c r="Z360" s="42" t="n">
        <v>0</v>
      </c>
      <c r="AA360" s="60" t="n">
        <v>0</v>
      </c>
      <c r="AB360" s="60" t="n">
        <v>0</v>
      </c>
      <c r="AD360" s="42" t="s">
        <v>13151</v>
      </c>
    </row>
    <row r="361" customFormat="false" ht="17.25" hidden="true" customHeight="true" outlineLevel="0" collapsed="false">
      <c r="A361" s="55" t="s">
        <v>13162</v>
      </c>
      <c r="B361" s="55" t="s">
        <v>62</v>
      </c>
      <c r="C361" s="55" t="s">
        <v>13163</v>
      </c>
      <c r="D361" s="32" t="n">
        <v>75017</v>
      </c>
      <c r="E361" s="32" t="s">
        <v>55</v>
      </c>
      <c r="F361" s="32" t="s">
        <v>13164</v>
      </c>
      <c r="G361" s="55" t="s">
        <v>13165</v>
      </c>
      <c r="H361" s="55" t="s">
        <v>13166</v>
      </c>
      <c r="I361" s="32" t="n">
        <v>0</v>
      </c>
      <c r="J361" s="32" t="n">
        <v>0</v>
      </c>
      <c r="K361" s="43" t="e">
        <f aca="false">VLOOKUP(A361,#REF!,2, )</f>
        <v>#VALUE!</v>
      </c>
      <c r="L361" s="32" t="n">
        <v>0</v>
      </c>
      <c r="M361" s="32" t="n">
        <v>0</v>
      </c>
      <c r="N361" s="32" t="n">
        <v>0</v>
      </c>
      <c r="O361" s="42" t="s">
        <v>11367</v>
      </c>
      <c r="P361" s="41"/>
      <c r="T361" s="42" t="n">
        <v>0</v>
      </c>
      <c r="W361" s="42" t="n">
        <v>0</v>
      </c>
      <c r="Z361" s="42" t="n">
        <v>0</v>
      </c>
      <c r="AA361" s="60" t="n">
        <v>0</v>
      </c>
      <c r="AB361" s="60" t="n">
        <v>0</v>
      </c>
    </row>
    <row r="362" customFormat="false" ht="17.25" hidden="true" customHeight="true" outlineLevel="0" collapsed="false">
      <c r="A362" s="55" t="s">
        <v>13146</v>
      </c>
      <c r="B362" s="55" t="s">
        <v>197</v>
      </c>
      <c r="C362" s="55" t="s">
        <v>13167</v>
      </c>
      <c r="D362" s="32" t="n">
        <v>75017</v>
      </c>
      <c r="E362" s="32" t="s">
        <v>55</v>
      </c>
      <c r="F362" s="32" t="s">
        <v>13168</v>
      </c>
      <c r="G362" s="55" t="s">
        <v>13169</v>
      </c>
      <c r="H362" s="55" t="s">
        <v>13170</v>
      </c>
      <c r="I362" s="32" t="n">
        <v>0</v>
      </c>
      <c r="J362" s="32" t="n">
        <v>0</v>
      </c>
      <c r="K362" s="43" t="e">
        <f aca="false">VLOOKUP(A362,#REF!,2, )</f>
        <v>#VALUE!</v>
      </c>
      <c r="L362" s="32" t="n">
        <v>0</v>
      </c>
      <c r="M362" s="32" t="n">
        <v>1</v>
      </c>
      <c r="N362" s="32" t="n">
        <v>0</v>
      </c>
      <c r="O362" s="42" t="s">
        <v>11367</v>
      </c>
      <c r="P362" s="41"/>
      <c r="T362" s="42" t="n">
        <v>0</v>
      </c>
      <c r="W362" s="42" t="n">
        <v>0</v>
      </c>
      <c r="Z362" s="42" t="n">
        <v>0</v>
      </c>
      <c r="AA362" s="60" t="n">
        <v>0</v>
      </c>
      <c r="AB362" s="60" t="n">
        <v>0</v>
      </c>
      <c r="AD362" s="42" t="s">
        <v>13151</v>
      </c>
    </row>
    <row r="363" customFormat="false" ht="12.75" hidden="true" customHeight="true" outlineLevel="0" collapsed="false">
      <c r="A363" s="55" t="s">
        <v>13146</v>
      </c>
      <c r="B363" s="55" t="s">
        <v>77</v>
      </c>
      <c r="C363" s="55" t="s">
        <v>13171</v>
      </c>
      <c r="D363" s="32" t="n">
        <v>92200</v>
      </c>
      <c r="E363" s="32" t="s">
        <v>11393</v>
      </c>
      <c r="F363" s="32" t="s">
        <v>13172</v>
      </c>
      <c r="G363" s="55" t="s">
        <v>13173</v>
      </c>
      <c r="H363" s="55" t="s">
        <v>13174</v>
      </c>
      <c r="I363" s="32" t="n">
        <v>0</v>
      </c>
      <c r="J363" s="32" t="n">
        <v>0</v>
      </c>
      <c r="K363" s="43" t="e">
        <f aca="false">VLOOKUP(A363,#REF!,2, )</f>
        <v>#VALUE!</v>
      </c>
      <c r="L363" s="32" t="n">
        <v>0</v>
      </c>
      <c r="M363" s="32" t="n">
        <v>1</v>
      </c>
      <c r="N363" s="32" t="n">
        <v>0</v>
      </c>
      <c r="O363" s="42" t="s">
        <v>11367</v>
      </c>
      <c r="P363" s="41"/>
      <c r="T363" s="42" t="n">
        <v>0</v>
      </c>
      <c r="W363" s="42" t="n">
        <v>0</v>
      </c>
      <c r="Z363" s="42" t="n">
        <v>0</v>
      </c>
      <c r="AA363" s="60" t="n">
        <v>0</v>
      </c>
      <c r="AB363" s="60" t="n">
        <v>0</v>
      </c>
      <c r="AD363" s="42" t="s">
        <v>13151</v>
      </c>
    </row>
    <row r="364" customFormat="false" ht="12.75" hidden="true" customHeight="true" outlineLevel="0" collapsed="false">
      <c r="A364" s="55" t="s">
        <v>13146</v>
      </c>
      <c r="B364" s="55" t="s">
        <v>62</v>
      </c>
      <c r="C364" s="55" t="s">
        <v>13175</v>
      </c>
      <c r="D364" s="32" t="n">
        <v>75017</v>
      </c>
      <c r="E364" s="32" t="s">
        <v>55</v>
      </c>
      <c r="F364" s="32" t="s">
        <v>13176</v>
      </c>
      <c r="G364" s="55" t="s">
        <v>13177</v>
      </c>
      <c r="H364" s="55" t="s">
        <v>13178</v>
      </c>
      <c r="I364" s="32" t="n">
        <v>0</v>
      </c>
      <c r="J364" s="32" t="n">
        <v>0</v>
      </c>
      <c r="K364" s="43" t="e">
        <f aca="false">VLOOKUP(A364,#REF!,2, )</f>
        <v>#VALUE!</v>
      </c>
      <c r="L364" s="32" t="n">
        <v>0</v>
      </c>
      <c r="M364" s="32" t="n">
        <v>1</v>
      </c>
      <c r="N364" s="32" t="n">
        <v>0</v>
      </c>
      <c r="O364" s="42" t="s">
        <v>11367</v>
      </c>
      <c r="P364" s="41"/>
      <c r="T364" s="42" t="n">
        <v>0</v>
      </c>
      <c r="W364" s="42" t="n">
        <v>0</v>
      </c>
      <c r="Z364" s="42" t="n">
        <v>0</v>
      </c>
      <c r="AA364" s="60" t="n">
        <v>0</v>
      </c>
      <c r="AB364" s="60" t="n">
        <v>0</v>
      </c>
      <c r="AD364" s="42" t="s">
        <v>13151</v>
      </c>
    </row>
    <row r="365" customFormat="false" ht="12.75" hidden="true" customHeight="true" outlineLevel="0" collapsed="false">
      <c r="A365" s="55" t="s">
        <v>13179</v>
      </c>
      <c r="B365" s="55" t="s">
        <v>572</v>
      </c>
      <c r="C365" s="55" t="s">
        <v>13180</v>
      </c>
      <c r="D365" s="32" t="n">
        <v>75008</v>
      </c>
      <c r="E365" s="32" t="s">
        <v>55</v>
      </c>
      <c r="F365" s="32" t="s">
        <v>13181</v>
      </c>
      <c r="G365" s="55" t="s">
        <v>13182</v>
      </c>
      <c r="H365" s="55" t="s">
        <v>13183</v>
      </c>
      <c r="I365" s="32" t="n">
        <v>0</v>
      </c>
      <c r="J365" s="32" t="n">
        <v>0</v>
      </c>
      <c r="K365" s="43" t="e">
        <f aca="false">VLOOKUP(A365,#REF!,2, )</f>
        <v>#VALUE!</v>
      </c>
      <c r="L365" s="32" t="n">
        <v>0</v>
      </c>
      <c r="M365" s="32" t="n">
        <v>1</v>
      </c>
      <c r="N365" s="32" t="n">
        <v>0</v>
      </c>
      <c r="O365" s="42" t="s">
        <v>11367</v>
      </c>
      <c r="P365" s="41"/>
      <c r="T365" s="42" t="n">
        <v>0</v>
      </c>
      <c r="W365" s="42" t="n">
        <v>0</v>
      </c>
      <c r="Z365" s="42" t="n">
        <v>0</v>
      </c>
      <c r="AA365" s="60" t="n">
        <v>0</v>
      </c>
      <c r="AB365" s="60" t="n">
        <v>0</v>
      </c>
      <c r="AD365" s="42" t="s">
        <v>13151</v>
      </c>
    </row>
    <row r="366" customFormat="false" ht="12.75" hidden="true" customHeight="true" outlineLevel="0" collapsed="false">
      <c r="A366" s="55" t="s">
        <v>13184</v>
      </c>
      <c r="B366" s="55" t="s">
        <v>435</v>
      </c>
      <c r="C366" s="55" t="s">
        <v>13185</v>
      </c>
      <c r="D366" s="32" t="n">
        <v>75016</v>
      </c>
      <c r="E366" s="32" t="s">
        <v>55</v>
      </c>
      <c r="F366" s="32" t="s">
        <v>13186</v>
      </c>
      <c r="G366" s="55" t="s">
        <v>13187</v>
      </c>
      <c r="H366" s="55" t="s">
        <v>13188</v>
      </c>
      <c r="I366" s="32" t="n">
        <v>0</v>
      </c>
      <c r="J366" s="32" t="n">
        <v>0</v>
      </c>
      <c r="K366" s="43" t="e">
        <f aca="false">VLOOKUP(A366,#REF!,2, )</f>
        <v>#VALUE!</v>
      </c>
      <c r="L366" s="32" t="n">
        <v>0</v>
      </c>
      <c r="M366" s="32" t="n">
        <v>1</v>
      </c>
      <c r="N366" s="32" t="n">
        <v>0</v>
      </c>
      <c r="O366" s="42" t="s">
        <v>11367</v>
      </c>
      <c r="P366" s="41"/>
      <c r="T366" s="42" t="n">
        <v>0</v>
      </c>
      <c r="W366" s="42" t="n">
        <v>0</v>
      </c>
      <c r="Z366" s="42" t="n">
        <v>0</v>
      </c>
      <c r="AA366" s="60" t="n">
        <v>0</v>
      </c>
      <c r="AB366" s="60" t="n">
        <v>0</v>
      </c>
      <c r="AD366" s="42" t="s">
        <v>12912</v>
      </c>
    </row>
    <row r="367" customFormat="false" ht="12.75" hidden="true" customHeight="true" outlineLevel="0" collapsed="false">
      <c r="A367" s="55" t="s">
        <v>13189</v>
      </c>
      <c r="B367" s="55" t="s">
        <v>572</v>
      </c>
      <c r="C367" s="55" t="s">
        <v>13190</v>
      </c>
      <c r="D367" s="32" t="n">
        <v>75001</v>
      </c>
      <c r="E367" s="32" t="s">
        <v>55</v>
      </c>
      <c r="F367" s="32" t="s">
        <v>13191</v>
      </c>
      <c r="G367" s="55" t="s">
        <v>13192</v>
      </c>
      <c r="H367" s="55" t="s">
        <v>13193</v>
      </c>
      <c r="I367" s="32" t="n">
        <v>0</v>
      </c>
      <c r="J367" s="32" t="n">
        <v>0</v>
      </c>
      <c r="K367" s="43" t="e">
        <f aca="false">VLOOKUP(A367,#REF!,2, )</f>
        <v>#VALUE!</v>
      </c>
      <c r="L367" s="32" t="n">
        <v>0</v>
      </c>
      <c r="M367" s="32" t="n">
        <v>0</v>
      </c>
      <c r="N367" s="32" t="n">
        <v>0</v>
      </c>
      <c r="O367" s="42" t="s">
        <v>11367</v>
      </c>
      <c r="P367" s="41"/>
      <c r="T367" s="42" t="n">
        <v>0</v>
      </c>
      <c r="W367" s="42" t="n">
        <v>0</v>
      </c>
      <c r="Z367" s="42" t="n">
        <v>0</v>
      </c>
      <c r="AA367" s="60" t="n">
        <v>0</v>
      </c>
      <c r="AB367" s="60" t="n">
        <v>0</v>
      </c>
    </row>
    <row r="368" customFormat="false" ht="17.25" hidden="true" customHeight="true" outlineLevel="0" collapsed="false">
      <c r="A368" s="55" t="s">
        <v>13194</v>
      </c>
      <c r="B368" s="55" t="s">
        <v>99</v>
      </c>
      <c r="C368" s="55" t="s">
        <v>13195</v>
      </c>
      <c r="D368" s="32" t="n">
        <v>75015</v>
      </c>
      <c r="E368" s="32" t="s">
        <v>55</v>
      </c>
      <c r="F368" s="32" t="s">
        <v>12909</v>
      </c>
      <c r="G368" s="55" t="s">
        <v>13196</v>
      </c>
      <c r="H368" s="55" t="s">
        <v>13197</v>
      </c>
      <c r="I368" s="32" t="n">
        <v>0</v>
      </c>
      <c r="J368" s="32" t="n">
        <v>0</v>
      </c>
      <c r="K368" s="43" t="e">
        <f aca="false">VLOOKUP(A368,#REF!,2, )</f>
        <v>#VALUE!</v>
      </c>
      <c r="L368" s="32" t="n">
        <v>0</v>
      </c>
      <c r="M368" s="32" t="n">
        <v>0</v>
      </c>
      <c r="N368" s="32" t="n">
        <v>0</v>
      </c>
      <c r="O368" s="42" t="s">
        <v>11367</v>
      </c>
      <c r="P368" s="41"/>
      <c r="T368" s="42" t="n">
        <v>0</v>
      </c>
      <c r="W368" s="42" t="n">
        <v>0</v>
      </c>
      <c r="Z368" s="42" t="n">
        <v>0</v>
      </c>
      <c r="AA368" s="60" t="n">
        <v>0</v>
      </c>
      <c r="AB368" s="60" t="n">
        <v>0</v>
      </c>
    </row>
    <row r="369" customFormat="false" ht="12.75" hidden="true" customHeight="true" outlineLevel="0" collapsed="false">
      <c r="A369" s="55" t="s">
        <v>13189</v>
      </c>
      <c r="B369" s="55" t="s">
        <v>572</v>
      </c>
      <c r="C369" s="55" t="s">
        <v>13198</v>
      </c>
      <c r="D369" s="32" t="n">
        <v>75008</v>
      </c>
      <c r="E369" s="32" t="s">
        <v>55</v>
      </c>
      <c r="F369" s="32" t="s">
        <v>13199</v>
      </c>
      <c r="G369" s="55" t="s">
        <v>13200</v>
      </c>
      <c r="H369" s="55" t="s">
        <v>13201</v>
      </c>
      <c r="I369" s="32" t="n">
        <v>0</v>
      </c>
      <c r="J369" s="32" t="n">
        <v>0</v>
      </c>
      <c r="K369" s="43" t="e">
        <f aca="false">VLOOKUP(A369,#REF!,2, )</f>
        <v>#VALUE!</v>
      </c>
      <c r="L369" s="32" t="n">
        <v>0</v>
      </c>
      <c r="M369" s="32" t="n">
        <v>0</v>
      </c>
      <c r="N369" s="32" t="n">
        <v>0</v>
      </c>
      <c r="O369" s="42" t="s">
        <v>11367</v>
      </c>
      <c r="P369" s="41"/>
      <c r="T369" s="42" t="n">
        <v>0</v>
      </c>
      <c r="W369" s="42" t="n">
        <v>0</v>
      </c>
      <c r="Z369" s="42" t="n">
        <v>0</v>
      </c>
      <c r="AA369" s="60" t="n">
        <v>0</v>
      </c>
      <c r="AB369" s="60" t="n">
        <v>0</v>
      </c>
    </row>
    <row r="370" customFormat="false" ht="12.75" hidden="true" customHeight="true" outlineLevel="0" collapsed="false">
      <c r="A370" s="55" t="s">
        <v>12912</v>
      </c>
      <c r="B370" s="55" t="s">
        <v>173</v>
      </c>
      <c r="C370" s="55" t="s">
        <v>13202</v>
      </c>
      <c r="D370" s="32" t="n">
        <v>75116</v>
      </c>
      <c r="E370" s="32" t="s">
        <v>55</v>
      </c>
      <c r="F370" s="32" t="s">
        <v>13203</v>
      </c>
      <c r="G370" s="55" t="s">
        <v>13204</v>
      </c>
      <c r="H370" s="55" t="s">
        <v>13205</v>
      </c>
      <c r="I370" s="32" t="n">
        <v>0</v>
      </c>
      <c r="J370" s="32" t="n">
        <v>0</v>
      </c>
      <c r="K370" s="43" t="e">
        <f aca="false">VLOOKUP(A370,#REF!,2, )</f>
        <v>#VALUE!</v>
      </c>
      <c r="L370" s="32" t="n">
        <v>0</v>
      </c>
      <c r="M370" s="32" t="n">
        <v>1</v>
      </c>
      <c r="N370" s="32" t="n">
        <v>0</v>
      </c>
      <c r="O370" s="42" t="s">
        <v>11367</v>
      </c>
      <c r="P370" s="41"/>
      <c r="T370" s="42" t="n">
        <v>0</v>
      </c>
      <c r="W370" s="42" t="n">
        <v>0</v>
      </c>
      <c r="Z370" s="42" t="n">
        <v>0</v>
      </c>
      <c r="AA370" s="60" t="n">
        <v>0</v>
      </c>
      <c r="AB370" s="60" t="n">
        <v>0</v>
      </c>
      <c r="AD370" s="42" t="s">
        <v>12912</v>
      </c>
    </row>
    <row r="371" customFormat="false" ht="12.75" hidden="true" customHeight="true" outlineLevel="0" collapsed="false">
      <c r="A371" s="55" t="s">
        <v>13206</v>
      </c>
      <c r="B371" s="55" t="s">
        <v>119</v>
      </c>
      <c r="C371" s="55" t="s">
        <v>13207</v>
      </c>
      <c r="D371" s="32" t="n">
        <v>75006</v>
      </c>
      <c r="E371" s="32" t="s">
        <v>55</v>
      </c>
      <c r="F371" s="32" t="s">
        <v>13208</v>
      </c>
      <c r="G371" s="55" t="s">
        <v>13209</v>
      </c>
      <c r="H371" s="55" t="s">
        <v>13210</v>
      </c>
      <c r="I371" s="32" t="n">
        <v>0</v>
      </c>
      <c r="J371" s="32" t="n">
        <v>0</v>
      </c>
      <c r="K371" s="43" t="e">
        <f aca="false">VLOOKUP(A371,#REF!,2, )</f>
        <v>#VALUE!</v>
      </c>
      <c r="L371" s="32" t="n">
        <v>0</v>
      </c>
      <c r="M371" s="32" t="n">
        <v>0</v>
      </c>
      <c r="N371" s="32" t="n">
        <v>0</v>
      </c>
      <c r="O371" s="42" t="s">
        <v>11367</v>
      </c>
      <c r="P371" s="41"/>
      <c r="T371" s="42" t="n">
        <v>0</v>
      </c>
      <c r="W371" s="42" t="n">
        <v>0</v>
      </c>
      <c r="Z371" s="42" t="n">
        <v>0</v>
      </c>
      <c r="AA371" s="60" t="n">
        <v>0</v>
      </c>
      <c r="AB371" s="60" t="n">
        <v>0</v>
      </c>
    </row>
    <row r="372" customFormat="false" ht="12.75" hidden="true" customHeight="true" outlineLevel="0" collapsed="false">
      <c r="A372" s="55" t="s">
        <v>13179</v>
      </c>
      <c r="B372" s="55" t="s">
        <v>435</v>
      </c>
      <c r="C372" s="55" t="s">
        <v>13211</v>
      </c>
      <c r="D372" s="32" t="n">
        <v>75016</v>
      </c>
      <c r="E372" s="32" t="s">
        <v>55</v>
      </c>
      <c r="F372" s="32" t="s">
        <v>13212</v>
      </c>
      <c r="G372" s="55" t="s">
        <v>13213</v>
      </c>
      <c r="H372" s="55" t="s">
        <v>13214</v>
      </c>
      <c r="I372" s="32" t="n">
        <v>0</v>
      </c>
      <c r="J372" s="32" t="n">
        <v>0</v>
      </c>
      <c r="K372" s="43" t="e">
        <f aca="false">VLOOKUP(A372,#REF!,2, )</f>
        <v>#VALUE!</v>
      </c>
      <c r="L372" s="32" t="n">
        <v>0</v>
      </c>
      <c r="M372" s="32" t="n">
        <v>0</v>
      </c>
      <c r="N372" s="32" t="n">
        <v>0</v>
      </c>
      <c r="O372" s="42" t="s">
        <v>11367</v>
      </c>
      <c r="P372" s="41"/>
      <c r="T372" s="42" t="n">
        <v>0</v>
      </c>
      <c r="W372" s="42" t="n">
        <v>0</v>
      </c>
      <c r="Z372" s="42" t="n">
        <v>0</v>
      </c>
      <c r="AA372" s="60" t="n">
        <v>0</v>
      </c>
      <c r="AB372" s="60" t="n">
        <v>0</v>
      </c>
    </row>
    <row r="373" customFormat="false" ht="17.25" hidden="true" customHeight="true" outlineLevel="0" collapsed="false">
      <c r="A373" s="55" t="s">
        <v>12912</v>
      </c>
      <c r="B373" s="55" t="s">
        <v>99</v>
      </c>
      <c r="C373" s="55" t="s">
        <v>13215</v>
      </c>
      <c r="D373" s="32" t="n">
        <v>75015</v>
      </c>
      <c r="E373" s="32" t="s">
        <v>55</v>
      </c>
      <c r="F373" s="32" t="s">
        <v>13216</v>
      </c>
      <c r="G373" s="55" t="s">
        <v>13217</v>
      </c>
      <c r="H373" s="55" t="s">
        <v>13218</v>
      </c>
      <c r="I373" s="32" t="n">
        <v>0</v>
      </c>
      <c r="J373" s="32" t="n">
        <v>0</v>
      </c>
      <c r="K373" s="43" t="e">
        <f aca="false">VLOOKUP(A373,#REF!,2, )</f>
        <v>#VALUE!</v>
      </c>
      <c r="L373" s="32" t="n">
        <v>0</v>
      </c>
      <c r="M373" s="32" t="n">
        <v>0</v>
      </c>
      <c r="N373" s="32" t="n">
        <v>0</v>
      </c>
      <c r="O373" s="42" t="s">
        <v>11367</v>
      </c>
      <c r="P373" s="41"/>
      <c r="T373" s="42" t="n">
        <v>0</v>
      </c>
      <c r="W373" s="42" t="n">
        <v>0</v>
      </c>
      <c r="Z373" s="42" t="n">
        <v>0</v>
      </c>
      <c r="AA373" s="60" t="n">
        <v>0</v>
      </c>
      <c r="AB373" s="60" t="n">
        <v>0</v>
      </c>
    </row>
    <row r="374" customFormat="false" ht="12.75" hidden="true" customHeight="true" outlineLevel="0" collapsed="false">
      <c r="A374" s="55" t="s">
        <v>13219</v>
      </c>
      <c r="B374" s="55" t="s">
        <v>295</v>
      </c>
      <c r="C374" s="55" t="s">
        <v>13220</v>
      </c>
      <c r="D374" s="32" t="n">
        <v>92300</v>
      </c>
      <c r="E374" s="32" t="s">
        <v>11355</v>
      </c>
      <c r="F374" s="32" t="s">
        <v>13221</v>
      </c>
      <c r="G374" s="55" t="s">
        <v>13222</v>
      </c>
      <c r="H374" s="55" t="s">
        <v>13223</v>
      </c>
      <c r="I374" s="32" t="n">
        <v>0</v>
      </c>
      <c r="J374" s="32" t="n">
        <v>0</v>
      </c>
      <c r="K374" s="43" t="e">
        <f aca="false">VLOOKUP(A374,#REF!,2, )</f>
        <v>#VALUE!</v>
      </c>
      <c r="L374" s="32" t="n">
        <v>0</v>
      </c>
      <c r="M374" s="32" t="n">
        <v>0</v>
      </c>
      <c r="N374" s="32" t="n">
        <v>0</v>
      </c>
      <c r="O374" s="42" t="s">
        <v>11367</v>
      </c>
      <c r="P374" s="41"/>
      <c r="T374" s="42" t="n">
        <v>0</v>
      </c>
      <c r="W374" s="42" t="n">
        <v>0</v>
      </c>
      <c r="Z374" s="42" t="n">
        <v>0</v>
      </c>
      <c r="AA374" s="60" t="n">
        <v>0</v>
      </c>
      <c r="AB374" s="60" t="n">
        <v>0</v>
      </c>
    </row>
    <row r="375" customFormat="false" ht="12.75" hidden="true" customHeight="true" outlineLevel="0" collapsed="false">
      <c r="A375" s="55" t="s">
        <v>12912</v>
      </c>
      <c r="B375" s="55" t="s">
        <v>295</v>
      </c>
      <c r="C375" s="55" t="s">
        <v>13224</v>
      </c>
      <c r="D375" s="32" t="n">
        <v>92300</v>
      </c>
      <c r="E375" s="32" t="s">
        <v>11355</v>
      </c>
      <c r="F375" s="32" t="s">
        <v>13225</v>
      </c>
      <c r="G375" s="55" t="s">
        <v>13226</v>
      </c>
      <c r="H375" s="55" t="s">
        <v>13227</v>
      </c>
      <c r="I375" s="32" t="n">
        <v>0</v>
      </c>
      <c r="J375" s="32" t="n">
        <v>0</v>
      </c>
      <c r="K375" s="43" t="e">
        <f aca="false">VLOOKUP(A375,#REF!,2, )</f>
        <v>#VALUE!</v>
      </c>
      <c r="L375" s="32" t="n">
        <v>0</v>
      </c>
      <c r="M375" s="32" t="n">
        <v>1</v>
      </c>
      <c r="N375" s="32" t="n">
        <v>0</v>
      </c>
      <c r="O375" s="42" t="s">
        <v>11367</v>
      </c>
      <c r="P375" s="41"/>
      <c r="T375" s="42" t="n">
        <v>0</v>
      </c>
      <c r="W375" s="42" t="n">
        <v>0</v>
      </c>
      <c r="Z375" s="42" t="n">
        <v>0</v>
      </c>
      <c r="AA375" s="60" t="n">
        <v>0</v>
      </c>
      <c r="AB375" s="60" t="n">
        <v>0</v>
      </c>
      <c r="AD375" s="42" t="s">
        <v>12912</v>
      </c>
    </row>
    <row r="376" customFormat="false" ht="12.75" hidden="true" customHeight="true" outlineLevel="0" collapsed="false">
      <c r="A376" s="55" t="s">
        <v>13228</v>
      </c>
      <c r="B376" s="55" t="s">
        <v>62</v>
      </c>
      <c r="C376" s="55" t="s">
        <v>13229</v>
      </c>
      <c r="D376" s="32" t="n">
        <v>75017</v>
      </c>
      <c r="E376" s="32" t="s">
        <v>55</v>
      </c>
      <c r="F376" s="32" t="s">
        <v>13230</v>
      </c>
      <c r="G376" s="55" t="s">
        <v>13231</v>
      </c>
      <c r="H376" s="55" t="s">
        <v>13232</v>
      </c>
      <c r="I376" s="32" t="n">
        <v>0</v>
      </c>
      <c r="J376" s="32" t="n">
        <v>0</v>
      </c>
      <c r="K376" s="43" t="e">
        <f aca="false">VLOOKUP(A376,#REF!,2, )</f>
        <v>#VALUE!</v>
      </c>
      <c r="L376" s="32" t="n">
        <v>0</v>
      </c>
      <c r="M376" s="32" t="n">
        <v>0</v>
      </c>
      <c r="N376" s="32" t="n">
        <v>0</v>
      </c>
      <c r="O376" s="42" t="s">
        <v>11367</v>
      </c>
      <c r="P376" s="41"/>
      <c r="T376" s="42" t="n">
        <v>0</v>
      </c>
      <c r="W376" s="42" t="n">
        <v>0</v>
      </c>
      <c r="Z376" s="42" t="n">
        <v>0</v>
      </c>
      <c r="AA376" s="60" t="n">
        <v>0</v>
      </c>
      <c r="AB376" s="60" t="n">
        <v>0</v>
      </c>
    </row>
    <row r="377" customFormat="false" ht="12.75" hidden="true" customHeight="true" outlineLevel="0" collapsed="false">
      <c r="A377" s="55" t="s">
        <v>13233</v>
      </c>
      <c r="B377" s="55" t="s">
        <v>572</v>
      </c>
      <c r="C377" s="55" t="s">
        <v>13234</v>
      </c>
      <c r="D377" s="32" t="n">
        <v>75008</v>
      </c>
      <c r="E377" s="32" t="s">
        <v>55</v>
      </c>
      <c r="F377" s="32" t="s">
        <v>11043</v>
      </c>
      <c r="G377" s="55" t="s">
        <v>13235</v>
      </c>
      <c r="H377" s="55" t="s">
        <v>13236</v>
      </c>
      <c r="I377" s="32" t="n">
        <v>0</v>
      </c>
      <c r="J377" s="32" t="n">
        <v>0</v>
      </c>
      <c r="K377" s="43" t="e">
        <f aca="false">VLOOKUP(A377,#REF!,2, )</f>
        <v>#VALUE!</v>
      </c>
      <c r="L377" s="32" t="n">
        <v>0</v>
      </c>
      <c r="M377" s="32" t="n">
        <v>0</v>
      </c>
      <c r="N377" s="32" t="n">
        <v>0</v>
      </c>
      <c r="O377" s="42" t="s">
        <v>11367</v>
      </c>
      <c r="P377" s="41"/>
      <c r="T377" s="42" t="n">
        <v>0</v>
      </c>
      <c r="W377" s="42" t="n">
        <v>0</v>
      </c>
      <c r="Z377" s="42" t="n">
        <v>0</v>
      </c>
      <c r="AA377" s="60" t="n">
        <v>0</v>
      </c>
      <c r="AB377" s="60" t="n">
        <v>0</v>
      </c>
    </row>
    <row r="378" customFormat="false" ht="17.25" hidden="true" customHeight="true" outlineLevel="0" collapsed="false">
      <c r="A378" s="55" t="s">
        <v>13237</v>
      </c>
      <c r="B378" s="55" t="s">
        <v>295</v>
      </c>
      <c r="C378" s="55" t="s">
        <v>13238</v>
      </c>
      <c r="D378" s="32" t="n">
        <v>92300</v>
      </c>
      <c r="E378" s="32" t="s">
        <v>11355</v>
      </c>
      <c r="F378" s="32" t="s">
        <v>13239</v>
      </c>
      <c r="G378" s="55" t="s">
        <v>13240</v>
      </c>
      <c r="H378" s="55" t="s">
        <v>13241</v>
      </c>
      <c r="I378" s="32" t="n">
        <v>0</v>
      </c>
      <c r="J378" s="32" t="n">
        <v>0</v>
      </c>
      <c r="K378" s="43" t="e">
        <f aca="false">VLOOKUP(A378,#REF!,2, )</f>
        <v>#VALUE!</v>
      </c>
      <c r="L378" s="32" t="n">
        <v>1</v>
      </c>
      <c r="M378" s="32" t="n">
        <v>1</v>
      </c>
      <c r="N378" s="32" t="n">
        <v>0</v>
      </c>
      <c r="O378" s="42" t="s">
        <v>11367</v>
      </c>
      <c r="P378" s="41"/>
      <c r="T378" s="42" t="n">
        <v>0</v>
      </c>
      <c r="W378" s="42" t="n">
        <v>0</v>
      </c>
      <c r="Z378" s="42" t="n">
        <v>0</v>
      </c>
      <c r="AA378" s="60" t="n">
        <v>0</v>
      </c>
      <c r="AB378" s="60" t="n">
        <v>0</v>
      </c>
      <c r="AD378" s="42" t="s">
        <v>13237</v>
      </c>
    </row>
    <row r="379" customFormat="false" ht="12.75" hidden="true" customHeight="true" outlineLevel="0" collapsed="false">
      <c r="A379" s="55" t="s">
        <v>13242</v>
      </c>
      <c r="B379" s="55" t="s">
        <v>233</v>
      </c>
      <c r="C379" s="55" t="s">
        <v>13243</v>
      </c>
      <c r="D379" s="32" t="n">
        <v>75015</v>
      </c>
      <c r="E379" s="32" t="s">
        <v>55</v>
      </c>
      <c r="F379" s="32" t="s">
        <v>12909</v>
      </c>
      <c r="G379" s="55" t="s">
        <v>13244</v>
      </c>
      <c r="H379" s="55" t="s">
        <v>13245</v>
      </c>
      <c r="I379" s="32" t="n">
        <v>0</v>
      </c>
      <c r="J379" s="32" t="n">
        <v>0</v>
      </c>
      <c r="K379" s="43" t="e">
        <f aca="false">VLOOKUP(A379,#REF!,2, )</f>
        <v>#VALUE!</v>
      </c>
      <c r="L379" s="32" t="n">
        <v>0</v>
      </c>
      <c r="M379" s="32" t="n">
        <v>0</v>
      </c>
      <c r="N379" s="32" t="n">
        <v>0</v>
      </c>
      <c r="O379" s="42" t="s">
        <v>11367</v>
      </c>
      <c r="P379" s="41"/>
      <c r="T379" s="42" t="n">
        <v>0</v>
      </c>
      <c r="W379" s="42" t="n">
        <v>0</v>
      </c>
      <c r="Z379" s="42" t="n">
        <v>0</v>
      </c>
      <c r="AA379" s="60" t="n">
        <v>0</v>
      </c>
      <c r="AB379" s="60" t="n">
        <v>0</v>
      </c>
    </row>
    <row r="380" customFormat="false" ht="12.75" hidden="true" customHeight="true" outlineLevel="0" collapsed="false">
      <c r="A380" s="55" t="s">
        <v>13246</v>
      </c>
      <c r="B380" s="55" t="s">
        <v>99</v>
      </c>
      <c r="C380" s="55" t="s">
        <v>13247</v>
      </c>
      <c r="D380" s="32" t="n">
        <v>75015</v>
      </c>
      <c r="E380" s="32" t="s">
        <v>55</v>
      </c>
      <c r="F380" s="32" t="s">
        <v>13248</v>
      </c>
      <c r="G380" s="55" t="s">
        <v>13249</v>
      </c>
      <c r="H380" s="55" t="s">
        <v>13250</v>
      </c>
      <c r="I380" s="32" t="n">
        <v>0</v>
      </c>
      <c r="J380" s="32" t="n">
        <v>0</v>
      </c>
      <c r="K380" s="43" t="e">
        <f aca="false">VLOOKUP(A380,#REF!,2, )</f>
        <v>#VALUE!</v>
      </c>
      <c r="L380" s="32" t="n">
        <v>0</v>
      </c>
      <c r="M380" s="32" t="n">
        <v>0</v>
      </c>
      <c r="N380" s="32" t="n">
        <v>0</v>
      </c>
      <c r="O380" s="42" t="s">
        <v>11367</v>
      </c>
      <c r="P380" s="41"/>
      <c r="T380" s="42" t="n">
        <v>0</v>
      </c>
      <c r="W380" s="42" t="n">
        <v>0</v>
      </c>
      <c r="Z380" s="42" t="n">
        <v>0</v>
      </c>
      <c r="AA380" s="60" t="n">
        <v>0</v>
      </c>
      <c r="AB380" s="60" t="n">
        <v>0</v>
      </c>
    </row>
    <row r="381" customFormat="false" ht="17.25" hidden="true" customHeight="true" outlineLevel="0" collapsed="false">
      <c r="A381" s="55" t="s">
        <v>13251</v>
      </c>
      <c r="B381" s="55" t="s">
        <v>295</v>
      </c>
      <c r="C381" s="55" t="s">
        <v>13252</v>
      </c>
      <c r="D381" s="32" t="n">
        <v>92300</v>
      </c>
      <c r="E381" s="32" t="s">
        <v>11355</v>
      </c>
      <c r="F381" s="32" t="s">
        <v>12909</v>
      </c>
      <c r="G381" s="55" t="s">
        <v>13253</v>
      </c>
      <c r="H381" s="55" t="s">
        <v>13254</v>
      </c>
      <c r="I381" s="32" t="n">
        <v>0</v>
      </c>
      <c r="J381" s="32" t="n">
        <v>0</v>
      </c>
      <c r="K381" s="43" t="e">
        <f aca="false">VLOOKUP(A381,#REF!,2, )</f>
        <v>#VALUE!</v>
      </c>
      <c r="L381" s="32" t="n">
        <v>0</v>
      </c>
      <c r="M381" s="32" t="n">
        <v>0</v>
      </c>
      <c r="N381" s="32" t="n">
        <v>0</v>
      </c>
      <c r="O381" s="42" t="s">
        <v>11367</v>
      </c>
      <c r="P381" s="41"/>
      <c r="T381" s="42" t="n">
        <v>0</v>
      </c>
      <c r="W381" s="42" t="n">
        <v>0</v>
      </c>
      <c r="Z381" s="42" t="n">
        <v>0</v>
      </c>
      <c r="AA381" s="60" t="n">
        <v>0</v>
      </c>
      <c r="AB381" s="60" t="n">
        <v>0</v>
      </c>
    </row>
    <row r="382" customFormat="false" ht="12.75" hidden="true" customHeight="true" outlineLevel="0" collapsed="false">
      <c r="A382" s="55" t="s">
        <v>13255</v>
      </c>
      <c r="B382" s="55" t="s">
        <v>572</v>
      </c>
      <c r="C382" s="55" t="s">
        <v>13256</v>
      </c>
      <c r="D382" s="32" t="n">
        <v>75008</v>
      </c>
      <c r="E382" s="32" t="s">
        <v>55</v>
      </c>
      <c r="F382" s="32" t="s">
        <v>13257</v>
      </c>
      <c r="G382" s="55" t="s">
        <v>13258</v>
      </c>
      <c r="H382" s="55" t="s">
        <v>13259</v>
      </c>
      <c r="I382" s="32" t="n">
        <v>0</v>
      </c>
      <c r="J382" s="32" t="n">
        <v>0</v>
      </c>
      <c r="K382" s="43" t="e">
        <f aca="false">VLOOKUP(A382,#REF!,2, )</f>
        <v>#VALUE!</v>
      </c>
      <c r="L382" s="32" t="n">
        <v>0</v>
      </c>
      <c r="M382" s="32" t="n">
        <v>0</v>
      </c>
      <c r="N382" s="32" t="n">
        <v>0</v>
      </c>
      <c r="O382" s="42" t="s">
        <v>11367</v>
      </c>
      <c r="P382" s="41"/>
      <c r="T382" s="42" t="n">
        <v>0</v>
      </c>
      <c r="W382" s="42" t="n">
        <v>0</v>
      </c>
      <c r="Z382" s="42" t="n">
        <v>0</v>
      </c>
      <c r="AA382" s="60" t="n">
        <v>0</v>
      </c>
      <c r="AB382" s="60" t="n">
        <v>0</v>
      </c>
    </row>
    <row r="383" customFormat="false" ht="12.75" hidden="true" customHeight="true" outlineLevel="0" collapsed="false">
      <c r="A383" s="55" t="s">
        <v>13151</v>
      </c>
      <c r="B383" s="55" t="s">
        <v>77</v>
      </c>
      <c r="C383" s="55" t="s">
        <v>13260</v>
      </c>
      <c r="D383" s="32" t="n">
        <v>92200</v>
      </c>
      <c r="E383" s="32" t="s">
        <v>11393</v>
      </c>
      <c r="F383" s="32" t="s">
        <v>13172</v>
      </c>
      <c r="G383" s="55" t="s">
        <v>13261</v>
      </c>
      <c r="H383" s="55" t="s">
        <v>13262</v>
      </c>
      <c r="I383" s="32" t="n">
        <v>0</v>
      </c>
      <c r="J383" s="32" t="n">
        <v>0</v>
      </c>
      <c r="K383" s="43" t="e">
        <f aca="false">VLOOKUP(A383,#REF!,2, )</f>
        <v>#VALUE!</v>
      </c>
      <c r="L383" s="32" t="n">
        <v>0</v>
      </c>
      <c r="M383" s="32" t="n">
        <v>0</v>
      </c>
      <c r="N383" s="32" t="n">
        <v>0</v>
      </c>
      <c r="O383" s="42" t="s">
        <v>11367</v>
      </c>
      <c r="P383" s="41"/>
      <c r="T383" s="42" t="n">
        <v>0</v>
      </c>
      <c r="W383" s="42" t="n">
        <v>0</v>
      </c>
      <c r="Z383" s="42" t="n">
        <v>0</v>
      </c>
      <c r="AA383" s="60" t="n">
        <v>0</v>
      </c>
      <c r="AB383" s="60" t="n">
        <v>0</v>
      </c>
    </row>
    <row r="384" customFormat="false" ht="12.75" hidden="true" customHeight="true" outlineLevel="0" collapsed="false">
      <c r="A384" s="55" t="s">
        <v>13263</v>
      </c>
      <c r="B384" s="55" t="s">
        <v>572</v>
      </c>
      <c r="C384" s="55" t="s">
        <v>13264</v>
      </c>
      <c r="D384" s="32" t="n">
        <v>75008</v>
      </c>
      <c r="E384" s="32" t="s">
        <v>55</v>
      </c>
      <c r="F384" s="32" t="s">
        <v>13181</v>
      </c>
      <c r="G384" s="55" t="s">
        <v>13265</v>
      </c>
      <c r="H384" s="55" t="s">
        <v>13266</v>
      </c>
      <c r="I384" s="32" t="n">
        <v>0</v>
      </c>
      <c r="J384" s="32" t="n">
        <v>0</v>
      </c>
      <c r="K384" s="43" t="e">
        <f aca="false">VLOOKUP(A384,#REF!,2, )</f>
        <v>#VALUE!</v>
      </c>
      <c r="L384" s="32" t="n">
        <v>0</v>
      </c>
      <c r="M384" s="32" t="n">
        <v>0</v>
      </c>
      <c r="N384" s="32" t="n">
        <v>0</v>
      </c>
      <c r="O384" s="42" t="s">
        <v>11367</v>
      </c>
      <c r="P384" s="41"/>
      <c r="T384" s="42" t="n">
        <v>0</v>
      </c>
      <c r="W384" s="42" t="n">
        <v>0</v>
      </c>
      <c r="Z384" s="42" t="n">
        <v>0</v>
      </c>
      <c r="AA384" s="60" t="n">
        <v>0</v>
      </c>
      <c r="AB384" s="60" t="n">
        <v>0</v>
      </c>
    </row>
    <row r="385" customFormat="false" ht="12.75" hidden="true" customHeight="true" outlineLevel="0" collapsed="false">
      <c r="A385" s="55" t="s">
        <v>13267</v>
      </c>
      <c r="B385" s="55" t="s">
        <v>173</v>
      </c>
      <c r="C385" s="55" t="s">
        <v>13268</v>
      </c>
      <c r="D385" s="32" t="n">
        <v>75008</v>
      </c>
      <c r="E385" s="32" t="s">
        <v>55</v>
      </c>
      <c r="F385" s="32" t="s">
        <v>13269</v>
      </c>
      <c r="G385" s="55" t="s">
        <v>13270</v>
      </c>
      <c r="H385" s="55" t="s">
        <v>13271</v>
      </c>
      <c r="I385" s="32" t="n">
        <v>0</v>
      </c>
      <c r="J385" s="32" t="n">
        <v>0</v>
      </c>
      <c r="K385" s="43" t="e">
        <f aca="false">VLOOKUP(A385,#REF!,2, )</f>
        <v>#VALUE!</v>
      </c>
      <c r="L385" s="32" t="n">
        <v>0</v>
      </c>
      <c r="M385" s="32" t="n">
        <v>0</v>
      </c>
      <c r="N385" s="32" t="n">
        <v>0</v>
      </c>
      <c r="O385" s="42" t="s">
        <v>11367</v>
      </c>
      <c r="P385" s="41"/>
      <c r="T385" s="42" t="n">
        <v>0</v>
      </c>
      <c r="W385" s="42" t="n">
        <v>0</v>
      </c>
      <c r="Z385" s="42" t="n">
        <v>0</v>
      </c>
      <c r="AA385" s="60" t="n">
        <v>0</v>
      </c>
      <c r="AB385" s="60" t="n">
        <v>0</v>
      </c>
    </row>
    <row r="386" customFormat="false" ht="12.75" hidden="true" customHeight="true" outlineLevel="0" collapsed="false">
      <c r="A386" s="55" t="s">
        <v>13272</v>
      </c>
      <c r="B386" s="55" t="s">
        <v>295</v>
      </c>
      <c r="C386" s="55" t="s">
        <v>13273</v>
      </c>
      <c r="D386" s="32" t="n">
        <v>92300</v>
      </c>
      <c r="E386" s="32" t="s">
        <v>11355</v>
      </c>
      <c r="F386" s="32" t="s">
        <v>13274</v>
      </c>
      <c r="G386" s="55" t="s">
        <v>13275</v>
      </c>
      <c r="H386" s="55" t="s">
        <v>13276</v>
      </c>
      <c r="I386" s="32" t="n">
        <v>0</v>
      </c>
      <c r="J386" s="32" t="n">
        <v>0</v>
      </c>
      <c r="K386" s="43" t="e">
        <f aca="false">VLOOKUP(A386,#REF!,2, )</f>
        <v>#VALUE!</v>
      </c>
      <c r="L386" s="32" t="n">
        <v>0</v>
      </c>
      <c r="M386" s="32" t="n">
        <v>0</v>
      </c>
      <c r="N386" s="32" t="n">
        <v>0</v>
      </c>
      <c r="O386" s="42" t="s">
        <v>11367</v>
      </c>
      <c r="P386" s="41"/>
      <c r="T386" s="42" t="n">
        <v>0</v>
      </c>
      <c r="W386" s="42" t="n">
        <v>0</v>
      </c>
      <c r="Z386" s="42" t="n">
        <v>0</v>
      </c>
      <c r="AA386" s="60" t="n">
        <v>0</v>
      </c>
      <c r="AB386" s="60" t="n">
        <v>0</v>
      </c>
    </row>
    <row r="387" customFormat="false" ht="12.75" hidden="true" customHeight="true" outlineLevel="0" collapsed="false">
      <c r="A387" s="55" t="s">
        <v>13277</v>
      </c>
      <c r="B387" s="55" t="s">
        <v>233</v>
      </c>
      <c r="C387" s="55" t="s">
        <v>13278</v>
      </c>
      <c r="D387" s="32" t="n">
        <v>75015</v>
      </c>
      <c r="E387" s="32" t="s">
        <v>55</v>
      </c>
      <c r="F387" s="32" t="s">
        <v>13279</v>
      </c>
      <c r="G387" s="55" t="s">
        <v>13280</v>
      </c>
      <c r="H387" s="55" t="s">
        <v>13281</v>
      </c>
      <c r="I387" s="32" t="n">
        <v>0</v>
      </c>
      <c r="J387" s="32" t="n">
        <v>0</v>
      </c>
      <c r="K387" s="43" t="e">
        <f aca="false">VLOOKUP(A387,#REF!,2, )</f>
        <v>#VALUE!</v>
      </c>
      <c r="L387" s="32" t="n">
        <v>0</v>
      </c>
      <c r="M387" s="32" t="n">
        <v>0</v>
      </c>
      <c r="N387" s="32" t="n">
        <v>0</v>
      </c>
      <c r="O387" s="42" t="s">
        <v>11367</v>
      </c>
      <c r="P387" s="41"/>
      <c r="T387" s="42" t="n">
        <v>0</v>
      </c>
      <c r="W387" s="42" t="n">
        <v>0</v>
      </c>
      <c r="Z387" s="42" t="n">
        <v>0</v>
      </c>
      <c r="AA387" s="60" t="n">
        <v>0</v>
      </c>
      <c r="AB387" s="60" t="n">
        <v>0</v>
      </c>
    </row>
    <row r="388" customFormat="false" ht="17.25" hidden="true" customHeight="true" outlineLevel="0" collapsed="false">
      <c r="A388" s="55" t="s">
        <v>13282</v>
      </c>
      <c r="B388" s="55" t="s">
        <v>572</v>
      </c>
      <c r="C388" s="55" t="s">
        <v>6694</v>
      </c>
      <c r="D388" s="32" t="n">
        <v>75008</v>
      </c>
      <c r="E388" s="32" t="s">
        <v>55</v>
      </c>
      <c r="F388" s="32" t="s">
        <v>6695</v>
      </c>
      <c r="G388" s="55" t="s">
        <v>13283</v>
      </c>
      <c r="H388" s="55" t="s">
        <v>13284</v>
      </c>
      <c r="I388" s="32" t="n">
        <v>0</v>
      </c>
      <c r="J388" s="32" t="n">
        <v>0</v>
      </c>
      <c r="K388" s="43" t="e">
        <f aca="false">VLOOKUP(A388,#REF!,2, )</f>
        <v>#VALUE!</v>
      </c>
      <c r="L388" s="32" t="n">
        <v>0</v>
      </c>
      <c r="M388" s="32" t="n">
        <v>0</v>
      </c>
      <c r="N388" s="32" t="n">
        <v>0</v>
      </c>
      <c r="O388" s="42" t="s">
        <v>11367</v>
      </c>
      <c r="P388" s="41"/>
      <c r="T388" s="42" t="n">
        <v>0</v>
      </c>
      <c r="W388" s="42" t="n">
        <v>0</v>
      </c>
      <c r="Z388" s="42" t="n">
        <v>0</v>
      </c>
      <c r="AA388" s="60" t="n">
        <v>0</v>
      </c>
      <c r="AB388" s="60" t="n">
        <v>0</v>
      </c>
    </row>
    <row r="389" customFormat="false" ht="15.75" hidden="true" customHeight="true" outlineLevel="0" collapsed="false">
      <c r="A389" s="55" t="s">
        <v>13285</v>
      </c>
      <c r="B389" s="55" t="s">
        <v>295</v>
      </c>
      <c r="C389" s="55" t="s">
        <v>13286</v>
      </c>
      <c r="D389" s="32" t="n">
        <v>92300</v>
      </c>
      <c r="E389" s="32" t="s">
        <v>11355</v>
      </c>
      <c r="F389" s="32" t="s">
        <v>12909</v>
      </c>
      <c r="G389" s="55" t="s">
        <v>13287</v>
      </c>
      <c r="H389" s="55" t="s">
        <v>13288</v>
      </c>
      <c r="I389" s="32" t="n">
        <v>0</v>
      </c>
      <c r="J389" s="32" t="n">
        <v>0</v>
      </c>
      <c r="K389" s="43" t="e">
        <f aca="false">VLOOKUP(A389,#REF!,2, )</f>
        <v>#VALUE!</v>
      </c>
      <c r="L389" s="32" t="n">
        <v>0</v>
      </c>
      <c r="M389" s="32" t="n">
        <v>0</v>
      </c>
      <c r="N389" s="32" t="n">
        <v>0</v>
      </c>
      <c r="O389" s="42" t="s">
        <v>11367</v>
      </c>
      <c r="P389" s="41"/>
      <c r="T389" s="42" t="n">
        <v>0</v>
      </c>
      <c r="W389" s="42" t="n">
        <v>0</v>
      </c>
      <c r="Z389" s="42" t="n">
        <v>0</v>
      </c>
      <c r="AA389" s="60" t="n">
        <v>0</v>
      </c>
      <c r="AB389" s="60" t="n">
        <v>0</v>
      </c>
    </row>
    <row r="390" customFormat="false" ht="12.75" hidden="true" customHeight="true" outlineLevel="0" collapsed="false">
      <c r="A390" s="55" t="s">
        <v>13289</v>
      </c>
      <c r="B390" s="55" t="s">
        <v>572</v>
      </c>
      <c r="C390" s="55" t="s">
        <v>13290</v>
      </c>
      <c r="D390" s="32" t="n">
        <v>75008</v>
      </c>
      <c r="E390" s="32" t="s">
        <v>55</v>
      </c>
      <c r="F390" s="32" t="s">
        <v>13291</v>
      </c>
      <c r="G390" s="55" t="s">
        <v>13292</v>
      </c>
      <c r="H390" s="55" t="s">
        <v>13293</v>
      </c>
      <c r="I390" s="32" t="n">
        <v>0</v>
      </c>
      <c r="J390" s="32" t="n">
        <v>0</v>
      </c>
      <c r="K390" s="43" t="e">
        <f aca="false">VLOOKUP(A390,#REF!,2, )</f>
        <v>#VALUE!</v>
      </c>
      <c r="L390" s="32" t="n">
        <v>0</v>
      </c>
      <c r="M390" s="32" t="n">
        <v>0</v>
      </c>
      <c r="N390" s="32" t="n">
        <v>0</v>
      </c>
      <c r="O390" s="42" t="s">
        <v>11367</v>
      </c>
      <c r="P390" s="41"/>
      <c r="T390" s="42" t="n">
        <v>0</v>
      </c>
      <c r="W390" s="42" t="n">
        <v>0</v>
      </c>
      <c r="Z390" s="42" t="n">
        <v>0</v>
      </c>
      <c r="AA390" s="60" t="n">
        <v>0</v>
      </c>
      <c r="AB390" s="60" t="n">
        <v>0</v>
      </c>
    </row>
    <row r="391" customFormat="false" ht="12.75" hidden="true" customHeight="true" outlineLevel="0" collapsed="false">
      <c r="A391" s="55" t="s">
        <v>13294</v>
      </c>
      <c r="B391" s="55" t="s">
        <v>572</v>
      </c>
      <c r="C391" s="55" t="s">
        <v>13295</v>
      </c>
      <c r="D391" s="32" t="n">
        <v>75008</v>
      </c>
      <c r="E391" s="32" t="s">
        <v>55</v>
      </c>
      <c r="F391" s="32" t="s">
        <v>13296</v>
      </c>
      <c r="G391" s="55" t="s">
        <v>13297</v>
      </c>
      <c r="H391" s="55" t="s">
        <v>13298</v>
      </c>
      <c r="I391" s="32" t="n">
        <v>0</v>
      </c>
      <c r="J391" s="32" t="n">
        <v>0</v>
      </c>
      <c r="K391" s="43" t="e">
        <f aca="false">VLOOKUP(A391,#REF!,2, )</f>
        <v>#VALUE!</v>
      </c>
      <c r="L391" s="32" t="n">
        <v>0</v>
      </c>
      <c r="M391" s="32" t="n">
        <v>0</v>
      </c>
      <c r="N391" s="32" t="n">
        <v>0</v>
      </c>
      <c r="O391" s="42" t="s">
        <v>11367</v>
      </c>
      <c r="P391" s="41"/>
      <c r="T391" s="42" t="n">
        <v>0</v>
      </c>
      <c r="W391" s="42" t="n">
        <v>0</v>
      </c>
      <c r="Z391" s="42" t="n">
        <v>0</v>
      </c>
      <c r="AA391" s="60" t="n">
        <v>0</v>
      </c>
      <c r="AB391" s="60" t="n">
        <v>0</v>
      </c>
    </row>
    <row r="392" customFormat="false" ht="12.75" hidden="true" customHeight="true" outlineLevel="0" collapsed="false">
      <c r="A392" s="55" t="s">
        <v>13299</v>
      </c>
      <c r="B392" s="55" t="s">
        <v>119</v>
      </c>
      <c r="C392" s="55" t="s">
        <v>8772</v>
      </c>
      <c r="D392" s="32" t="n">
        <v>75007</v>
      </c>
      <c r="E392" s="32" t="s">
        <v>55</v>
      </c>
      <c r="F392" s="32" t="s">
        <v>13300</v>
      </c>
      <c r="G392" s="55" t="s">
        <v>13301</v>
      </c>
      <c r="H392" s="55" t="s">
        <v>13302</v>
      </c>
      <c r="I392" s="32" t="n">
        <v>0</v>
      </c>
      <c r="J392" s="32" t="n">
        <v>0</v>
      </c>
      <c r="K392" s="43" t="e">
        <f aca="false">VLOOKUP(A392,#REF!,2, )</f>
        <v>#VALUE!</v>
      </c>
      <c r="L392" s="32" t="n">
        <v>0</v>
      </c>
      <c r="M392" s="32" t="n">
        <v>0</v>
      </c>
      <c r="N392" s="32" t="n">
        <v>0</v>
      </c>
      <c r="O392" s="42" t="s">
        <v>11367</v>
      </c>
      <c r="P392" s="41"/>
      <c r="T392" s="42" t="n">
        <v>0</v>
      </c>
      <c r="W392" s="42" t="n">
        <v>0</v>
      </c>
      <c r="Z392" s="42" t="n">
        <v>0</v>
      </c>
      <c r="AA392" s="60" t="n">
        <v>0</v>
      </c>
      <c r="AB392" s="60" t="n">
        <v>0</v>
      </c>
    </row>
  </sheetData>
  <autoFilter ref="A1:AE392">
    <filterColumn colId="10">
      <filters>
        <filter val="3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8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2.3515625" defaultRowHeight="15" zeroHeight="false" outlineLevelRow="0" outlineLevelCol="0"/>
  <sheetData>
    <row r="1" customFormat="false" ht="24" hidden="false" customHeight="true" outlineLevel="0" collapsed="false">
      <c r="A1" s="74" t="s">
        <v>0</v>
      </c>
      <c r="B1" s="74" t="s">
        <v>1</v>
      </c>
      <c r="C1" s="74" t="s">
        <v>10</v>
      </c>
      <c r="D1" s="74" t="s">
        <v>13</v>
      </c>
      <c r="E1" s="74" t="s">
        <v>13303</v>
      </c>
      <c r="F1" s="74" t="s">
        <v>15</v>
      </c>
      <c r="G1" s="74" t="s">
        <v>6</v>
      </c>
      <c r="H1" s="74" t="s">
        <v>13304</v>
      </c>
      <c r="I1" s="74" t="s">
        <v>37</v>
      </c>
      <c r="J1" s="74" t="s">
        <v>38</v>
      </c>
      <c r="K1" s="74" t="s">
        <v>39</v>
      </c>
      <c r="L1" s="74" t="s">
        <v>40</v>
      </c>
      <c r="M1" s="74" t="s">
        <v>41</v>
      </c>
      <c r="N1" s="74" t="s">
        <v>42</v>
      </c>
      <c r="O1" s="74" t="s">
        <v>43</v>
      </c>
      <c r="P1" s="74" t="s">
        <v>44</v>
      </c>
      <c r="Q1" s="74" t="s">
        <v>45</v>
      </c>
      <c r="R1" s="74" t="s">
        <v>46</v>
      </c>
      <c r="S1" s="74" t="s">
        <v>7</v>
      </c>
      <c r="T1" s="74" t="s">
        <v>3</v>
      </c>
      <c r="U1" s="74" t="s">
        <v>4</v>
      </c>
      <c r="V1" s="74" t="s">
        <v>12</v>
      </c>
      <c r="W1" s="74" t="s">
        <v>11</v>
      </c>
    </row>
    <row r="2" customFormat="false" ht="15" hidden="false" customHeight="true" outlineLevel="0" collapsed="false">
      <c r="A2" s="27" t="s">
        <v>13305</v>
      </c>
      <c r="B2" s="27" t="s">
        <v>1304</v>
      </c>
      <c r="C2" s="27" t="s">
        <v>3509</v>
      </c>
      <c r="E2" s="27" t="s">
        <v>11355</v>
      </c>
      <c r="G2" s="27" t="s">
        <v>98</v>
      </c>
      <c r="H2" s="27" t="s">
        <v>13306</v>
      </c>
      <c r="I2" s="27" t="s">
        <v>13307</v>
      </c>
      <c r="J2" s="27" t="s">
        <v>13308</v>
      </c>
      <c r="K2" s="27" t="s">
        <v>13307</v>
      </c>
      <c r="L2" s="27" t="s">
        <v>13309</v>
      </c>
      <c r="O2" s="27" t="s">
        <v>13307</v>
      </c>
      <c r="P2" s="27" t="s">
        <v>13308</v>
      </c>
      <c r="Q2" s="27" t="s">
        <v>13307</v>
      </c>
      <c r="R2" s="27" t="s">
        <v>13310</v>
      </c>
      <c r="T2" s="27" t="s">
        <v>50</v>
      </c>
      <c r="V2" s="27" t="s">
        <v>3510</v>
      </c>
      <c r="W2" s="27" t="s">
        <v>13311</v>
      </c>
    </row>
    <row r="3" customFormat="false" ht="15" hidden="false" customHeight="true" outlineLevel="0" collapsed="false">
      <c r="A3" s="27" t="s">
        <v>13312</v>
      </c>
      <c r="B3" s="27" t="s">
        <v>1007</v>
      </c>
      <c r="C3" s="27" t="s">
        <v>13313</v>
      </c>
      <c r="E3" s="27" t="s">
        <v>11355</v>
      </c>
      <c r="G3" s="27" t="s">
        <v>98</v>
      </c>
      <c r="H3" s="27" t="s">
        <v>13314</v>
      </c>
      <c r="I3" s="27" t="s">
        <v>13315</v>
      </c>
      <c r="J3" s="27" t="s">
        <v>13308</v>
      </c>
      <c r="K3" s="27" t="s">
        <v>13315</v>
      </c>
      <c r="L3" s="27" t="s">
        <v>13308</v>
      </c>
      <c r="M3" s="27" t="s">
        <v>13315</v>
      </c>
      <c r="N3" s="27" t="s">
        <v>13308</v>
      </c>
      <c r="O3" s="27" t="s">
        <v>13315</v>
      </c>
      <c r="P3" s="27" t="s">
        <v>13308</v>
      </c>
      <c r="Q3" s="27" t="s">
        <v>13315</v>
      </c>
      <c r="R3" s="27" t="s">
        <v>13308</v>
      </c>
      <c r="T3" s="27" t="s">
        <v>50</v>
      </c>
      <c r="V3" s="27" t="s">
        <v>713</v>
      </c>
      <c r="W3" s="27" t="s">
        <v>13316</v>
      </c>
    </row>
    <row r="4" customFormat="false" ht="17.25" hidden="false" customHeight="true" outlineLevel="0" collapsed="false">
      <c r="A4" s="27" t="s">
        <v>13317</v>
      </c>
      <c r="B4" s="27" t="s">
        <v>13318</v>
      </c>
      <c r="C4" s="27" t="s">
        <v>13319</v>
      </c>
      <c r="E4" s="27" t="s">
        <v>11355</v>
      </c>
      <c r="G4" s="27" t="s">
        <v>98</v>
      </c>
      <c r="H4" s="27" t="s">
        <v>13320</v>
      </c>
      <c r="T4" s="27" t="s">
        <v>50</v>
      </c>
      <c r="V4" s="27" t="s">
        <v>8333</v>
      </c>
      <c r="W4" s="27" t="s">
        <v>13321</v>
      </c>
    </row>
    <row r="5" customFormat="false" ht="17.25" hidden="false" customHeight="true" outlineLevel="0" collapsed="false">
      <c r="A5" s="27" t="s">
        <v>9914</v>
      </c>
      <c r="B5" s="27" t="s">
        <v>13322</v>
      </c>
      <c r="C5" s="27" t="s">
        <v>13323</v>
      </c>
      <c r="E5" s="27" t="s">
        <v>11355</v>
      </c>
      <c r="F5" s="27" t="s">
        <v>13324</v>
      </c>
      <c r="G5" s="27" t="s">
        <v>345</v>
      </c>
      <c r="H5" s="27" t="s">
        <v>13325</v>
      </c>
      <c r="T5" s="27" t="s">
        <v>50</v>
      </c>
      <c r="V5" s="27" t="s">
        <v>722</v>
      </c>
      <c r="W5" s="27" t="s">
        <v>13326</v>
      </c>
    </row>
    <row r="6" customFormat="false" ht="15" hidden="false" customHeight="true" outlineLevel="0" collapsed="false">
      <c r="A6" s="27" t="s">
        <v>11086</v>
      </c>
      <c r="B6" s="27" t="s">
        <v>304</v>
      </c>
      <c r="C6" s="27" t="s">
        <v>13327</v>
      </c>
      <c r="E6" s="27" t="s">
        <v>11355</v>
      </c>
      <c r="F6" s="27" t="s">
        <v>13328</v>
      </c>
      <c r="G6" s="27" t="s">
        <v>345</v>
      </c>
      <c r="H6" s="27" t="s">
        <v>13329</v>
      </c>
      <c r="T6" s="27" t="s">
        <v>50</v>
      </c>
      <c r="V6" s="27" t="s">
        <v>13330</v>
      </c>
      <c r="W6" s="27" t="s">
        <v>13331</v>
      </c>
    </row>
    <row r="7" customFormat="false" ht="15" hidden="false" customHeight="true" outlineLevel="0" collapsed="false">
      <c r="A7" s="27" t="s">
        <v>13332</v>
      </c>
      <c r="B7" s="27" t="s">
        <v>643</v>
      </c>
      <c r="C7" s="27" t="s">
        <v>1425</v>
      </c>
      <c r="E7" s="27" t="s">
        <v>11355</v>
      </c>
      <c r="G7" s="27" t="s">
        <v>98</v>
      </c>
      <c r="H7" s="27" t="s">
        <v>13333</v>
      </c>
      <c r="T7" s="27" t="s">
        <v>50</v>
      </c>
      <c r="U7" s="27" t="s">
        <v>13334</v>
      </c>
      <c r="V7" s="27" t="s">
        <v>1426</v>
      </c>
      <c r="W7" s="27" t="s">
        <v>13335</v>
      </c>
    </row>
    <row r="8" customFormat="false" ht="15" hidden="false" customHeight="true" outlineLevel="0" collapsed="false">
      <c r="A8" s="27" t="s">
        <v>13336</v>
      </c>
      <c r="B8" s="27" t="s">
        <v>1534</v>
      </c>
      <c r="C8" s="27" t="s">
        <v>13337</v>
      </c>
      <c r="E8" s="27" t="s">
        <v>11355</v>
      </c>
      <c r="F8" s="27" t="s">
        <v>13338</v>
      </c>
      <c r="G8" s="27" t="s">
        <v>61</v>
      </c>
      <c r="H8" s="27" t="s">
        <v>13339</v>
      </c>
      <c r="J8" s="27" t="s">
        <v>13340</v>
      </c>
      <c r="K8" s="27" t="s">
        <v>13341</v>
      </c>
      <c r="L8" s="27" t="s">
        <v>13340</v>
      </c>
      <c r="N8" s="27" t="s">
        <v>13342</v>
      </c>
      <c r="O8" s="27" t="s">
        <v>13341</v>
      </c>
      <c r="P8" s="27" t="s">
        <v>13343</v>
      </c>
      <c r="R8" s="27" t="s">
        <v>13342</v>
      </c>
      <c r="T8" s="27" t="s">
        <v>50</v>
      </c>
      <c r="V8" s="27" t="s">
        <v>13344</v>
      </c>
      <c r="W8" s="27" t="s">
        <v>13345</v>
      </c>
    </row>
    <row r="9" customFormat="false" ht="17.25" hidden="false" customHeight="true" outlineLevel="0" collapsed="false">
      <c r="A9" s="27" t="s">
        <v>10654</v>
      </c>
      <c r="B9" s="27" t="s">
        <v>13346</v>
      </c>
      <c r="C9" s="27" t="s">
        <v>5298</v>
      </c>
      <c r="E9" s="27" t="s">
        <v>11355</v>
      </c>
      <c r="G9" s="27" t="s">
        <v>215</v>
      </c>
      <c r="H9" s="27" t="s">
        <v>13347</v>
      </c>
      <c r="T9" s="27" t="s">
        <v>50</v>
      </c>
      <c r="U9" s="27" t="s">
        <v>386</v>
      </c>
      <c r="V9" s="27" t="s">
        <v>806</v>
      </c>
      <c r="W9" s="27" t="s">
        <v>13348</v>
      </c>
    </row>
    <row r="10" customFormat="false" ht="15" hidden="false" customHeight="true" outlineLevel="0" collapsed="false">
      <c r="A10" s="27" t="s">
        <v>13349</v>
      </c>
      <c r="B10" s="27" t="s">
        <v>293</v>
      </c>
      <c r="C10" s="27" t="s">
        <v>296</v>
      </c>
      <c r="E10" s="27" t="s">
        <v>11355</v>
      </c>
      <c r="F10" s="27" t="s">
        <v>13350</v>
      </c>
      <c r="G10" s="27" t="s">
        <v>98</v>
      </c>
      <c r="H10" s="27" t="s">
        <v>13351</v>
      </c>
      <c r="I10" s="27" t="s">
        <v>13352</v>
      </c>
      <c r="J10" s="27" t="s">
        <v>13309</v>
      </c>
      <c r="K10" s="27" t="s">
        <v>13352</v>
      </c>
      <c r="L10" s="27" t="s">
        <v>13309</v>
      </c>
      <c r="M10" s="27" t="s">
        <v>13352</v>
      </c>
      <c r="N10" s="27" t="s">
        <v>13308</v>
      </c>
      <c r="O10" s="27" t="s">
        <v>13307</v>
      </c>
      <c r="P10" s="27" t="s">
        <v>13309</v>
      </c>
      <c r="Q10" s="27" t="s">
        <v>13307</v>
      </c>
      <c r="R10" s="27" t="s">
        <v>13308</v>
      </c>
      <c r="T10" s="27" t="s">
        <v>50</v>
      </c>
      <c r="V10" s="27" t="s">
        <v>297</v>
      </c>
      <c r="W10" s="27" t="s">
        <v>13353</v>
      </c>
    </row>
    <row r="11" customFormat="false" ht="15" hidden="false" customHeight="true" outlineLevel="0" collapsed="false">
      <c r="A11" s="27" t="s">
        <v>13354</v>
      </c>
      <c r="B11" s="27" t="s">
        <v>13355</v>
      </c>
      <c r="C11" s="27" t="s">
        <v>2483</v>
      </c>
      <c r="E11" s="27" t="s">
        <v>11355</v>
      </c>
      <c r="F11" s="27" t="s">
        <v>13356</v>
      </c>
      <c r="G11" s="27" t="s">
        <v>98</v>
      </c>
      <c r="H11" s="27" t="s">
        <v>13357</v>
      </c>
      <c r="T11" s="27" t="s">
        <v>50</v>
      </c>
      <c r="V11" s="27" t="s">
        <v>1392</v>
      </c>
      <c r="W11" s="27" t="s">
        <v>13358</v>
      </c>
    </row>
    <row r="12" customFormat="false" ht="15" hidden="false" customHeight="true" outlineLevel="0" collapsed="false">
      <c r="A12" s="27" t="s">
        <v>13359</v>
      </c>
      <c r="B12" s="27" t="s">
        <v>811</v>
      </c>
      <c r="C12" s="27" t="s">
        <v>813</v>
      </c>
      <c r="E12" s="27" t="s">
        <v>11355</v>
      </c>
      <c r="F12" s="27" t="s">
        <v>13360</v>
      </c>
      <c r="G12" s="27" t="s">
        <v>98</v>
      </c>
      <c r="H12" s="27" t="s">
        <v>13361</v>
      </c>
      <c r="T12" s="27" t="s">
        <v>50</v>
      </c>
      <c r="V12" s="27" t="s">
        <v>722</v>
      </c>
      <c r="W12" s="27" t="s">
        <v>13362</v>
      </c>
    </row>
    <row r="13" customFormat="false" ht="17.25" hidden="false" customHeight="true" outlineLevel="0" collapsed="false">
      <c r="A13" s="27" t="s">
        <v>13363</v>
      </c>
      <c r="B13" s="27" t="s">
        <v>1101</v>
      </c>
      <c r="C13" s="27" t="s">
        <v>1425</v>
      </c>
      <c r="E13" s="75" t="s">
        <v>11355</v>
      </c>
      <c r="F13" s="27" t="s">
        <v>13364</v>
      </c>
      <c r="G13" s="27" t="s">
        <v>98</v>
      </c>
      <c r="H13" s="27" t="s">
        <v>13365</v>
      </c>
      <c r="I13" s="27" t="s">
        <v>13341</v>
      </c>
      <c r="J13" s="27" t="s">
        <v>13366</v>
      </c>
      <c r="K13" s="27" t="s">
        <v>13341</v>
      </c>
      <c r="L13" s="27" t="s">
        <v>13367</v>
      </c>
      <c r="M13" s="27" t="s">
        <v>13307</v>
      </c>
      <c r="N13" s="27" t="s">
        <v>13366</v>
      </c>
      <c r="O13" s="27" t="s">
        <v>13341</v>
      </c>
      <c r="P13" s="27" t="s">
        <v>13366</v>
      </c>
      <c r="Q13" s="27" t="s">
        <v>13341</v>
      </c>
      <c r="R13" s="27" t="s">
        <v>13367</v>
      </c>
      <c r="T13" s="27" t="s">
        <v>50</v>
      </c>
      <c r="V13" s="27" t="s">
        <v>1426</v>
      </c>
      <c r="W13" s="27" t="s">
        <v>13335</v>
      </c>
    </row>
    <row r="14" customFormat="false" ht="15" hidden="false" customHeight="true" outlineLevel="0" collapsed="false">
      <c r="A14" s="27" t="s">
        <v>13368</v>
      </c>
      <c r="B14" s="27" t="s">
        <v>1600</v>
      </c>
      <c r="C14" s="27" t="s">
        <v>296</v>
      </c>
      <c r="E14" s="27" t="s">
        <v>11355</v>
      </c>
      <c r="G14" s="27" t="s">
        <v>98</v>
      </c>
      <c r="H14" s="27" t="s">
        <v>13369</v>
      </c>
      <c r="T14" s="27" t="s">
        <v>50</v>
      </c>
      <c r="V14" s="27" t="s">
        <v>297</v>
      </c>
      <c r="W14" s="27" t="s">
        <v>13353</v>
      </c>
    </row>
    <row r="15" customFormat="false" ht="15" hidden="false" customHeight="true" outlineLevel="0" collapsed="false">
      <c r="A15" s="27" t="s">
        <v>13370</v>
      </c>
      <c r="B15" s="27" t="s">
        <v>10580</v>
      </c>
      <c r="C15" s="27" t="s">
        <v>13371</v>
      </c>
      <c r="E15" s="27" t="s">
        <v>11355</v>
      </c>
      <c r="G15" s="27" t="s">
        <v>98</v>
      </c>
      <c r="H15" s="27" t="s">
        <v>13372</v>
      </c>
      <c r="I15" s="27" t="s">
        <v>13373</v>
      </c>
      <c r="J15" s="27" t="s">
        <v>13308</v>
      </c>
      <c r="K15" s="27" t="s">
        <v>13373</v>
      </c>
      <c r="L15" s="27" t="s">
        <v>13308</v>
      </c>
      <c r="M15" s="27" t="s">
        <v>13373</v>
      </c>
      <c r="N15" s="27" t="s">
        <v>13308</v>
      </c>
      <c r="O15" s="27" t="s">
        <v>13373</v>
      </c>
      <c r="P15" s="27" t="s">
        <v>13308</v>
      </c>
      <c r="Q15" s="27" t="s">
        <v>13373</v>
      </c>
      <c r="R15" s="27" t="s">
        <v>13308</v>
      </c>
      <c r="T15" s="27" t="s">
        <v>50</v>
      </c>
      <c r="V15" s="27" t="s">
        <v>8333</v>
      </c>
      <c r="W15" s="27" t="s">
        <v>13374</v>
      </c>
    </row>
    <row r="16" customFormat="false" ht="15" hidden="false" customHeight="true" outlineLevel="0" collapsed="false">
      <c r="A16" s="27" t="s">
        <v>13312</v>
      </c>
      <c r="B16" s="27" t="s">
        <v>619</v>
      </c>
      <c r="C16" s="27" t="s">
        <v>13375</v>
      </c>
      <c r="E16" s="27" t="s">
        <v>11355</v>
      </c>
      <c r="F16" s="27" t="s">
        <v>13376</v>
      </c>
      <c r="G16" s="27" t="s">
        <v>345</v>
      </c>
      <c r="H16" s="27" t="s">
        <v>13377</v>
      </c>
      <c r="T16" s="27" t="s">
        <v>50</v>
      </c>
      <c r="V16" s="27" t="s">
        <v>13378</v>
      </c>
      <c r="W16" s="27" t="s">
        <v>13379</v>
      </c>
    </row>
    <row r="17" customFormat="false" ht="17.25" hidden="false" customHeight="true" outlineLevel="0" collapsed="false">
      <c r="A17" s="27" t="s">
        <v>13380</v>
      </c>
      <c r="B17" s="27" t="s">
        <v>353</v>
      </c>
      <c r="C17" s="27" t="s">
        <v>5062</v>
      </c>
      <c r="E17" s="27" t="s">
        <v>11355</v>
      </c>
      <c r="F17" s="27" t="s">
        <v>8581</v>
      </c>
      <c r="G17" s="27" t="s">
        <v>98</v>
      </c>
      <c r="H17" s="27" t="s">
        <v>13381</v>
      </c>
      <c r="J17" s="27" t="s">
        <v>13382</v>
      </c>
      <c r="K17" s="27" t="s">
        <v>13383</v>
      </c>
      <c r="L17" s="27" t="s">
        <v>13384</v>
      </c>
      <c r="O17" s="27" t="s">
        <v>13383</v>
      </c>
      <c r="P17" s="27" t="s">
        <v>13384</v>
      </c>
      <c r="T17" s="27" t="s">
        <v>50</v>
      </c>
      <c r="U17" s="27" t="s">
        <v>2802</v>
      </c>
      <c r="V17" s="27" t="s">
        <v>5063</v>
      </c>
      <c r="W17" s="27" t="s">
        <v>13331</v>
      </c>
    </row>
    <row r="18" customFormat="false" ht="15" hidden="false" customHeight="true" outlineLevel="0" collapsed="false">
      <c r="A18" s="27" t="s">
        <v>13385</v>
      </c>
      <c r="B18" s="27" t="s">
        <v>10153</v>
      </c>
      <c r="C18" s="27" t="s">
        <v>13386</v>
      </c>
      <c r="E18" s="27" t="s">
        <v>55</v>
      </c>
      <c r="G18" s="27" t="s">
        <v>215</v>
      </c>
      <c r="H18" s="27" t="s">
        <v>13387</v>
      </c>
      <c r="T18" s="27" t="s">
        <v>50</v>
      </c>
      <c r="V18" s="27" t="s">
        <v>13388</v>
      </c>
      <c r="W18" s="27" t="s">
        <v>13389</v>
      </c>
    </row>
    <row r="19" customFormat="false" ht="15" hidden="false" customHeight="true" outlineLevel="0" collapsed="false">
      <c r="A19" s="27" t="s">
        <v>13390</v>
      </c>
      <c r="B19" s="27" t="s">
        <v>643</v>
      </c>
      <c r="C19" s="27" t="s">
        <v>6010</v>
      </c>
      <c r="E19" s="27" t="s">
        <v>55</v>
      </c>
      <c r="F19" s="27" t="s">
        <v>6011</v>
      </c>
      <c r="G19" s="27" t="s">
        <v>61</v>
      </c>
      <c r="H19" s="27" t="s">
        <v>13391</v>
      </c>
      <c r="J19" s="27" t="s">
        <v>13392</v>
      </c>
      <c r="L19" s="27" t="s">
        <v>13392</v>
      </c>
      <c r="N19" s="27" t="s">
        <v>13392</v>
      </c>
      <c r="P19" s="27" t="s">
        <v>13393</v>
      </c>
      <c r="R19" s="27" t="s">
        <v>13392</v>
      </c>
      <c r="T19" s="27" t="s">
        <v>50</v>
      </c>
      <c r="V19" s="27" t="s">
        <v>1041</v>
      </c>
      <c r="W19" s="27" t="s">
        <v>13394</v>
      </c>
    </row>
    <row r="20" customFormat="false" ht="17.25" hidden="false" customHeight="true" outlineLevel="0" collapsed="false">
      <c r="A20" s="27" t="s">
        <v>13395</v>
      </c>
      <c r="B20" s="27" t="s">
        <v>9958</v>
      </c>
      <c r="C20" s="27" t="s">
        <v>9161</v>
      </c>
      <c r="E20" s="27" t="s">
        <v>55</v>
      </c>
      <c r="F20" s="27" t="s">
        <v>9163</v>
      </c>
      <c r="G20" s="27" t="s">
        <v>98</v>
      </c>
      <c r="H20" s="27" t="s">
        <v>13396</v>
      </c>
      <c r="I20" s="27" t="s">
        <v>13315</v>
      </c>
      <c r="Q20" s="27" t="s">
        <v>13397</v>
      </c>
      <c r="R20" s="27" t="s">
        <v>13309</v>
      </c>
      <c r="T20" s="27" t="s">
        <v>50</v>
      </c>
      <c r="V20" s="27" t="s">
        <v>9162</v>
      </c>
      <c r="W20" s="27" t="s">
        <v>13353</v>
      </c>
    </row>
    <row r="21" customFormat="false" ht="17.25" hidden="false" customHeight="true" outlineLevel="0" collapsed="false">
      <c r="A21" s="27" t="s">
        <v>13398</v>
      </c>
      <c r="B21" s="27" t="s">
        <v>13399</v>
      </c>
      <c r="C21" s="27" t="s">
        <v>13400</v>
      </c>
      <c r="E21" s="27" t="s">
        <v>55</v>
      </c>
      <c r="F21" s="27" t="s">
        <v>13401</v>
      </c>
      <c r="G21" s="27" t="s">
        <v>98</v>
      </c>
      <c r="H21" s="27" t="s">
        <v>13402</v>
      </c>
      <c r="M21" s="27" t="s">
        <v>13403</v>
      </c>
      <c r="N21" s="27" t="s">
        <v>13404</v>
      </c>
      <c r="O21" s="27" t="s">
        <v>13403</v>
      </c>
      <c r="P21" s="27" t="s">
        <v>13404</v>
      </c>
      <c r="T21" s="27" t="s">
        <v>50</v>
      </c>
      <c r="V21" s="27" t="s">
        <v>13405</v>
      </c>
      <c r="W21" s="27" t="s">
        <v>13379</v>
      </c>
    </row>
    <row r="22" customFormat="false" ht="15" hidden="false" customHeight="true" outlineLevel="0" collapsed="false">
      <c r="A22" s="27" t="s">
        <v>13406</v>
      </c>
      <c r="B22" s="27" t="s">
        <v>151</v>
      </c>
      <c r="C22" s="27" t="s">
        <v>3174</v>
      </c>
      <c r="E22" s="27" t="s">
        <v>55</v>
      </c>
      <c r="G22" s="27" t="s">
        <v>61</v>
      </c>
      <c r="H22" s="27" t="s">
        <v>13407</v>
      </c>
      <c r="T22" s="27" t="s">
        <v>50</v>
      </c>
      <c r="V22" s="27" t="s">
        <v>175</v>
      </c>
      <c r="W22" s="27" t="s">
        <v>13408</v>
      </c>
    </row>
    <row r="23" customFormat="false" ht="17.25" hidden="false" customHeight="true" outlineLevel="0" collapsed="false">
      <c r="A23" s="27" t="s">
        <v>13409</v>
      </c>
      <c r="B23" s="27" t="s">
        <v>13410</v>
      </c>
      <c r="C23" s="27" t="s">
        <v>13411</v>
      </c>
      <c r="E23" s="27" t="s">
        <v>55</v>
      </c>
      <c r="F23" s="27" t="s">
        <v>13412</v>
      </c>
      <c r="G23" s="27" t="s">
        <v>215</v>
      </c>
      <c r="H23" s="27" t="s">
        <v>13413</v>
      </c>
      <c r="T23" s="27" t="s">
        <v>50</v>
      </c>
      <c r="V23" s="27" t="s">
        <v>3654</v>
      </c>
      <c r="W23" s="27" t="s">
        <v>13414</v>
      </c>
    </row>
    <row r="24" customFormat="false" ht="15" hidden="false" customHeight="true" outlineLevel="0" collapsed="false">
      <c r="A24" s="27" t="s">
        <v>13415</v>
      </c>
      <c r="B24" s="27" t="s">
        <v>13416</v>
      </c>
      <c r="C24" s="27" t="s">
        <v>1307</v>
      </c>
      <c r="E24" s="27" t="s">
        <v>55</v>
      </c>
      <c r="F24" s="27" t="s">
        <v>1309</v>
      </c>
      <c r="G24" s="27" t="s">
        <v>98</v>
      </c>
      <c r="H24" s="27" t="s">
        <v>13417</v>
      </c>
      <c r="T24" s="27" t="s">
        <v>50</v>
      </c>
      <c r="V24" s="27" t="s">
        <v>1308</v>
      </c>
      <c r="W24" s="27" t="s">
        <v>13394</v>
      </c>
    </row>
    <row r="25" customFormat="false" ht="17.25" hidden="false" customHeight="true" outlineLevel="0" collapsed="false">
      <c r="A25" s="27" t="s">
        <v>13418</v>
      </c>
      <c r="B25" s="27" t="s">
        <v>811</v>
      </c>
      <c r="C25" s="27" t="s">
        <v>4164</v>
      </c>
      <c r="E25" s="27" t="s">
        <v>55</v>
      </c>
      <c r="F25" s="27" t="s">
        <v>4166</v>
      </c>
      <c r="G25" s="27" t="s">
        <v>215</v>
      </c>
      <c r="H25" s="27" t="s">
        <v>13419</v>
      </c>
      <c r="T25" s="27" t="s">
        <v>50</v>
      </c>
      <c r="V25" s="27" t="s">
        <v>4165</v>
      </c>
      <c r="W25" s="27" t="s">
        <v>13420</v>
      </c>
    </row>
    <row r="26" customFormat="false" ht="15" hidden="false" customHeight="true" outlineLevel="0" collapsed="false">
      <c r="A26" s="27" t="s">
        <v>1741</v>
      </c>
      <c r="B26" s="27" t="s">
        <v>593</v>
      </c>
      <c r="C26" s="27" t="s">
        <v>2882</v>
      </c>
      <c r="E26" s="27" t="s">
        <v>55</v>
      </c>
      <c r="G26" s="27" t="s">
        <v>98</v>
      </c>
      <c r="H26" s="27" t="s">
        <v>13421</v>
      </c>
      <c r="T26" s="27" t="s">
        <v>50</v>
      </c>
      <c r="V26" s="27" t="s">
        <v>2883</v>
      </c>
      <c r="W26" s="27" t="s">
        <v>13422</v>
      </c>
    </row>
    <row r="27" customFormat="false" ht="15" hidden="false" customHeight="true" outlineLevel="0" collapsed="false">
      <c r="A27" s="27" t="s">
        <v>13423</v>
      </c>
      <c r="B27" s="27" t="s">
        <v>1385</v>
      </c>
      <c r="C27" s="27" t="s">
        <v>13424</v>
      </c>
      <c r="E27" s="27" t="s">
        <v>55</v>
      </c>
      <c r="F27" s="27" t="s">
        <v>1309</v>
      </c>
      <c r="G27" s="27" t="s">
        <v>98</v>
      </c>
      <c r="H27" s="27" t="s">
        <v>13425</v>
      </c>
      <c r="T27" s="27" t="s">
        <v>50</v>
      </c>
      <c r="V27" s="27" t="s">
        <v>7135</v>
      </c>
      <c r="W27" s="27" t="s">
        <v>13426</v>
      </c>
    </row>
    <row r="28" customFormat="false" ht="15" hidden="false" customHeight="true" outlineLevel="0" collapsed="false">
      <c r="A28" s="27" t="s">
        <v>13427</v>
      </c>
      <c r="B28" s="27" t="s">
        <v>13428</v>
      </c>
      <c r="C28" s="27" t="s">
        <v>13429</v>
      </c>
      <c r="E28" s="27" t="s">
        <v>55</v>
      </c>
      <c r="F28" s="27" t="s">
        <v>13430</v>
      </c>
      <c r="G28" s="27" t="s">
        <v>345</v>
      </c>
      <c r="H28" s="27" t="s">
        <v>13431</v>
      </c>
      <c r="T28" s="27" t="s">
        <v>50</v>
      </c>
      <c r="V28" s="27" t="s">
        <v>2419</v>
      </c>
      <c r="W28" s="27" t="s">
        <v>13316</v>
      </c>
    </row>
    <row r="29" customFormat="false" ht="15" hidden="false" customHeight="true" outlineLevel="0" collapsed="false">
      <c r="A29" s="27" t="s">
        <v>13432</v>
      </c>
      <c r="B29" s="27" t="s">
        <v>652</v>
      </c>
      <c r="C29" s="27" t="s">
        <v>13433</v>
      </c>
      <c r="E29" s="27" t="s">
        <v>55</v>
      </c>
      <c r="G29" s="27" t="s">
        <v>215</v>
      </c>
      <c r="H29" s="27" t="s">
        <v>13434</v>
      </c>
      <c r="T29" s="27" t="s">
        <v>50</v>
      </c>
      <c r="V29" s="27" t="s">
        <v>1637</v>
      </c>
      <c r="W29" s="27" t="s">
        <v>13435</v>
      </c>
    </row>
    <row r="30" customFormat="false" ht="15" hidden="false" customHeight="true" outlineLevel="0" collapsed="false">
      <c r="A30" s="27" t="s">
        <v>13436</v>
      </c>
      <c r="B30" s="27" t="s">
        <v>11126</v>
      </c>
      <c r="C30" s="27" t="s">
        <v>13437</v>
      </c>
      <c r="E30" s="27" t="s">
        <v>55</v>
      </c>
      <c r="G30" s="27" t="s">
        <v>98</v>
      </c>
      <c r="H30" s="27" t="s">
        <v>13438</v>
      </c>
      <c r="T30" s="27" t="s">
        <v>50</v>
      </c>
      <c r="V30" s="27" t="s">
        <v>1988</v>
      </c>
      <c r="W30" s="27" t="s">
        <v>13439</v>
      </c>
    </row>
    <row r="31" customFormat="false" ht="17.25" hidden="false" customHeight="true" outlineLevel="0" collapsed="false">
      <c r="A31" s="27" t="s">
        <v>13440</v>
      </c>
      <c r="B31" s="27" t="s">
        <v>632</v>
      </c>
      <c r="C31" s="27" t="s">
        <v>3790</v>
      </c>
      <c r="E31" s="27" t="s">
        <v>55</v>
      </c>
      <c r="F31" s="27" t="s">
        <v>13441</v>
      </c>
      <c r="G31" s="27" t="s">
        <v>98</v>
      </c>
      <c r="H31" s="27" t="s">
        <v>13442</v>
      </c>
      <c r="T31" s="27" t="s">
        <v>50</v>
      </c>
      <c r="V31" s="27" t="s">
        <v>3791</v>
      </c>
      <c r="W31" s="27" t="s">
        <v>13331</v>
      </c>
    </row>
    <row r="32" customFormat="false" ht="17.25" hidden="false" customHeight="true" outlineLevel="0" collapsed="false">
      <c r="A32" s="27" t="s">
        <v>5791</v>
      </c>
      <c r="B32" s="27" t="s">
        <v>1460</v>
      </c>
      <c r="C32" s="27" t="s">
        <v>6212</v>
      </c>
      <c r="E32" s="27" t="s">
        <v>55</v>
      </c>
      <c r="F32" s="27" t="s">
        <v>6213</v>
      </c>
      <c r="G32" s="27" t="s">
        <v>98</v>
      </c>
      <c r="H32" s="27" t="s">
        <v>13443</v>
      </c>
      <c r="I32" s="27" t="s">
        <v>13444</v>
      </c>
      <c r="J32" s="27" t="s">
        <v>13445</v>
      </c>
      <c r="K32" s="27" t="s">
        <v>13444</v>
      </c>
      <c r="L32" s="27" t="s">
        <v>13446</v>
      </c>
      <c r="M32" s="27" t="s">
        <v>13444</v>
      </c>
      <c r="N32" s="27" t="s">
        <v>13446</v>
      </c>
      <c r="Q32" s="27" t="s">
        <v>13444</v>
      </c>
      <c r="R32" s="27" t="s">
        <v>13446</v>
      </c>
      <c r="T32" s="27" t="s">
        <v>50</v>
      </c>
      <c r="V32" s="27" t="s">
        <v>498</v>
      </c>
      <c r="W32" s="27" t="s">
        <v>13447</v>
      </c>
    </row>
    <row r="33" customFormat="false" ht="15" hidden="false" customHeight="true" outlineLevel="0" collapsed="false">
      <c r="A33" s="27" t="s">
        <v>13448</v>
      </c>
      <c r="B33" s="27" t="s">
        <v>6184</v>
      </c>
      <c r="C33" s="27" t="s">
        <v>2882</v>
      </c>
      <c r="E33" s="27" t="s">
        <v>55</v>
      </c>
      <c r="F33" s="27" t="s">
        <v>13449</v>
      </c>
      <c r="G33" s="27" t="s">
        <v>98</v>
      </c>
      <c r="H33" s="27" t="s">
        <v>13450</v>
      </c>
      <c r="T33" s="27" t="s">
        <v>50</v>
      </c>
      <c r="V33" s="27" t="s">
        <v>2883</v>
      </c>
      <c r="W33" s="27" t="s">
        <v>13422</v>
      </c>
    </row>
    <row r="34" customFormat="false" ht="15" hidden="false" customHeight="true" outlineLevel="0" collapsed="false">
      <c r="A34" s="27" t="s">
        <v>13451</v>
      </c>
      <c r="B34" s="27" t="s">
        <v>9203</v>
      </c>
      <c r="C34" s="27" t="s">
        <v>13452</v>
      </c>
      <c r="E34" s="27" t="s">
        <v>55</v>
      </c>
      <c r="G34" s="27" t="s">
        <v>215</v>
      </c>
      <c r="H34" s="27" t="s">
        <v>13453</v>
      </c>
      <c r="T34" s="27" t="s">
        <v>50</v>
      </c>
      <c r="U34" s="27" t="s">
        <v>386</v>
      </c>
      <c r="V34" s="27" t="s">
        <v>1239</v>
      </c>
      <c r="W34" s="27" t="s">
        <v>13454</v>
      </c>
    </row>
    <row r="35" customFormat="false" ht="17.25" hidden="false" customHeight="true" outlineLevel="0" collapsed="false">
      <c r="A35" s="27" t="s">
        <v>13455</v>
      </c>
      <c r="B35" s="27" t="s">
        <v>3270</v>
      </c>
      <c r="C35" s="27" t="s">
        <v>13456</v>
      </c>
      <c r="E35" s="27" t="s">
        <v>55</v>
      </c>
      <c r="F35" s="27" t="s">
        <v>7428</v>
      </c>
      <c r="G35" s="27" t="s">
        <v>215</v>
      </c>
      <c r="H35" s="27" t="s">
        <v>13457</v>
      </c>
      <c r="T35" s="27" t="s">
        <v>50</v>
      </c>
      <c r="V35" s="27" t="s">
        <v>6992</v>
      </c>
      <c r="W35" s="27" t="s">
        <v>13458</v>
      </c>
    </row>
    <row r="36" customFormat="false" ht="15" hidden="false" customHeight="true" outlineLevel="0" collapsed="false">
      <c r="A36" s="27" t="s">
        <v>13459</v>
      </c>
      <c r="B36" s="27" t="s">
        <v>142</v>
      </c>
      <c r="C36" s="27" t="s">
        <v>13460</v>
      </c>
      <c r="E36" s="27" t="s">
        <v>55</v>
      </c>
      <c r="F36" s="27" t="s">
        <v>13461</v>
      </c>
      <c r="G36" s="27" t="s">
        <v>215</v>
      </c>
      <c r="H36" s="27" t="s">
        <v>13462</v>
      </c>
      <c r="I36" s="27" t="s">
        <v>13463</v>
      </c>
      <c r="J36" s="27" t="s">
        <v>13308</v>
      </c>
      <c r="K36" s="27" t="s">
        <v>13463</v>
      </c>
      <c r="L36" s="27" t="s">
        <v>13308</v>
      </c>
      <c r="M36" s="27" t="s">
        <v>13463</v>
      </c>
      <c r="N36" s="27" t="s">
        <v>13308</v>
      </c>
      <c r="O36" s="27" t="s">
        <v>13463</v>
      </c>
      <c r="P36" s="27" t="s">
        <v>13308</v>
      </c>
      <c r="Q36" s="27" t="s">
        <v>13463</v>
      </c>
      <c r="R36" s="27" t="s">
        <v>13308</v>
      </c>
      <c r="T36" s="27" t="s">
        <v>50</v>
      </c>
      <c r="U36" s="27" t="s">
        <v>776</v>
      </c>
      <c r="V36" s="27" t="s">
        <v>2312</v>
      </c>
      <c r="W36" s="27" t="s">
        <v>13464</v>
      </c>
    </row>
    <row r="37" customFormat="false" ht="15" hidden="false" customHeight="true" outlineLevel="0" collapsed="false">
      <c r="A37" s="27" t="s">
        <v>13465</v>
      </c>
      <c r="B37" s="27" t="s">
        <v>13466</v>
      </c>
      <c r="C37" s="27" t="s">
        <v>13467</v>
      </c>
      <c r="E37" s="27" t="s">
        <v>55</v>
      </c>
      <c r="F37" s="27" t="s">
        <v>13468</v>
      </c>
      <c r="G37" s="27" t="s">
        <v>98</v>
      </c>
      <c r="H37" s="27" t="s">
        <v>13469</v>
      </c>
      <c r="T37" s="27" t="s">
        <v>50</v>
      </c>
      <c r="V37" s="27" t="s">
        <v>1637</v>
      </c>
      <c r="W37" s="27" t="s">
        <v>13470</v>
      </c>
    </row>
    <row r="38" customFormat="false" ht="15" hidden="false" customHeight="true" outlineLevel="0" collapsed="false">
      <c r="A38" s="27" t="s">
        <v>13471</v>
      </c>
      <c r="B38" s="27" t="s">
        <v>1600</v>
      </c>
      <c r="C38" s="27" t="s">
        <v>13472</v>
      </c>
      <c r="E38" s="27" t="s">
        <v>55</v>
      </c>
      <c r="F38" s="27" t="s">
        <v>13473</v>
      </c>
      <c r="G38" s="27" t="s">
        <v>345</v>
      </c>
      <c r="H38" s="27" t="s">
        <v>13474</v>
      </c>
      <c r="T38" s="27" t="s">
        <v>50</v>
      </c>
      <c r="V38" s="27" t="s">
        <v>1627</v>
      </c>
      <c r="W38" s="27" t="s">
        <v>13475</v>
      </c>
    </row>
    <row r="39" customFormat="false" ht="15" hidden="false" customHeight="true" outlineLevel="0" collapsed="false">
      <c r="A39" s="27" t="s">
        <v>13476</v>
      </c>
      <c r="B39" s="27" t="s">
        <v>2974</v>
      </c>
      <c r="C39" s="27" t="s">
        <v>13477</v>
      </c>
      <c r="E39" s="27" t="s">
        <v>55</v>
      </c>
      <c r="G39" s="27" t="s">
        <v>345</v>
      </c>
      <c r="H39" s="27" t="s">
        <v>13478</v>
      </c>
      <c r="T39" s="27" t="s">
        <v>50</v>
      </c>
      <c r="U39" s="27" t="s">
        <v>2802</v>
      </c>
      <c r="V39" s="27" t="s">
        <v>13479</v>
      </c>
      <c r="W39" s="27" t="s">
        <v>13316</v>
      </c>
    </row>
    <row r="40" customFormat="false" ht="15" hidden="false" customHeight="true" outlineLevel="0" collapsed="false">
      <c r="A40" s="27" t="s">
        <v>8660</v>
      </c>
      <c r="B40" s="27" t="s">
        <v>4407</v>
      </c>
      <c r="C40" s="27" t="s">
        <v>13480</v>
      </c>
      <c r="E40" s="27" t="s">
        <v>55</v>
      </c>
      <c r="G40" s="27" t="s">
        <v>98</v>
      </c>
      <c r="H40" s="27" t="s">
        <v>13481</v>
      </c>
      <c r="T40" s="27" t="s">
        <v>50</v>
      </c>
      <c r="V40" s="27" t="s">
        <v>2778</v>
      </c>
      <c r="W40" s="27" t="s">
        <v>13482</v>
      </c>
    </row>
    <row r="41" customFormat="false" ht="15" hidden="false" customHeight="true" outlineLevel="0" collapsed="false">
      <c r="A41" s="27" t="s">
        <v>9939</v>
      </c>
      <c r="B41" s="27" t="s">
        <v>3825</v>
      </c>
      <c r="C41" s="27" t="s">
        <v>5850</v>
      </c>
      <c r="E41" s="27" t="s">
        <v>55</v>
      </c>
      <c r="G41" s="27" t="s">
        <v>98</v>
      </c>
      <c r="H41" s="27" t="s">
        <v>13483</v>
      </c>
      <c r="T41" s="27" t="s">
        <v>50</v>
      </c>
      <c r="V41" s="27" t="s">
        <v>5851</v>
      </c>
      <c r="W41" s="27" t="s">
        <v>13374</v>
      </c>
    </row>
    <row r="42" customFormat="false" ht="15" hidden="false" customHeight="true" outlineLevel="0" collapsed="false">
      <c r="A42" s="27" t="s">
        <v>13484</v>
      </c>
      <c r="B42" s="27" t="s">
        <v>332</v>
      </c>
      <c r="C42" s="27" t="s">
        <v>9410</v>
      </c>
      <c r="E42" s="27" t="s">
        <v>55</v>
      </c>
      <c r="F42" s="27" t="s">
        <v>13485</v>
      </c>
      <c r="G42" s="27" t="s">
        <v>98</v>
      </c>
      <c r="H42" s="27" t="s">
        <v>13486</v>
      </c>
      <c r="T42" s="27" t="s">
        <v>50</v>
      </c>
      <c r="U42" s="27" t="s">
        <v>13487</v>
      </c>
      <c r="V42" s="27" t="s">
        <v>1239</v>
      </c>
      <c r="W42" s="27" t="s">
        <v>13426</v>
      </c>
    </row>
    <row r="43" customFormat="false" ht="15" hidden="false" customHeight="true" outlineLevel="0" collapsed="false">
      <c r="A43" s="27" t="s">
        <v>13488</v>
      </c>
      <c r="B43" s="27" t="s">
        <v>861</v>
      </c>
      <c r="C43" s="27" t="s">
        <v>13489</v>
      </c>
      <c r="E43" s="27" t="s">
        <v>55</v>
      </c>
      <c r="G43" s="27" t="s">
        <v>61</v>
      </c>
      <c r="H43" s="27" t="s">
        <v>13490</v>
      </c>
      <c r="T43" s="27" t="s">
        <v>50</v>
      </c>
      <c r="V43" s="27" t="s">
        <v>13491</v>
      </c>
      <c r="W43" s="27" t="s">
        <v>13492</v>
      </c>
    </row>
    <row r="44" customFormat="false" ht="17.25" hidden="false" customHeight="true" outlineLevel="0" collapsed="false">
      <c r="A44" s="27" t="s">
        <v>13493</v>
      </c>
      <c r="B44" s="27" t="s">
        <v>195</v>
      </c>
      <c r="C44" s="27" t="s">
        <v>13494</v>
      </c>
      <c r="E44" s="27" t="s">
        <v>55</v>
      </c>
      <c r="G44" s="27" t="s">
        <v>345</v>
      </c>
      <c r="H44" s="27" t="s">
        <v>13495</v>
      </c>
      <c r="T44" s="27" t="s">
        <v>50</v>
      </c>
      <c r="V44" s="27" t="s">
        <v>6504</v>
      </c>
      <c r="W44" s="27" t="s">
        <v>13496</v>
      </c>
    </row>
    <row r="45" customFormat="false" ht="17.25" hidden="false" customHeight="true" outlineLevel="0" collapsed="false">
      <c r="A45" s="27" t="s">
        <v>13497</v>
      </c>
      <c r="B45" s="27" t="s">
        <v>931</v>
      </c>
      <c r="C45" s="27" t="s">
        <v>13498</v>
      </c>
      <c r="E45" s="27" t="s">
        <v>55</v>
      </c>
      <c r="F45" s="27" t="s">
        <v>13499</v>
      </c>
      <c r="G45" s="27" t="s">
        <v>98</v>
      </c>
      <c r="H45" s="27" t="s">
        <v>13500</v>
      </c>
      <c r="I45" s="27" t="s">
        <v>13315</v>
      </c>
      <c r="J45" s="27" t="s">
        <v>13367</v>
      </c>
      <c r="K45" s="27" t="s">
        <v>13315</v>
      </c>
      <c r="L45" s="27" t="s">
        <v>13367</v>
      </c>
      <c r="O45" s="27" t="s">
        <v>13315</v>
      </c>
      <c r="P45" s="27" t="s">
        <v>13367</v>
      </c>
      <c r="Q45" s="27" t="s">
        <v>13501</v>
      </c>
      <c r="T45" s="27" t="s">
        <v>50</v>
      </c>
      <c r="V45" s="27" t="s">
        <v>7079</v>
      </c>
      <c r="W45" s="27" t="s">
        <v>13502</v>
      </c>
    </row>
    <row r="46" customFormat="false" ht="15" hidden="false" customHeight="true" outlineLevel="0" collapsed="false">
      <c r="A46" s="27" t="s">
        <v>13503</v>
      </c>
      <c r="B46" s="27" t="s">
        <v>3281</v>
      </c>
      <c r="C46" s="27" t="s">
        <v>13504</v>
      </c>
      <c r="E46" s="27" t="s">
        <v>55</v>
      </c>
      <c r="F46" s="27" t="s">
        <v>13505</v>
      </c>
      <c r="G46" s="27" t="s">
        <v>98</v>
      </c>
      <c r="H46" s="27" t="s">
        <v>13506</v>
      </c>
      <c r="J46" s="27" t="s">
        <v>13308</v>
      </c>
      <c r="K46" s="27" t="s">
        <v>13507</v>
      </c>
      <c r="L46" s="27" t="s">
        <v>13308</v>
      </c>
      <c r="N46" s="27" t="s">
        <v>13308</v>
      </c>
      <c r="O46" s="27" t="s">
        <v>13507</v>
      </c>
      <c r="P46" s="27" t="s">
        <v>13308</v>
      </c>
      <c r="T46" s="27" t="s">
        <v>50</v>
      </c>
      <c r="V46" s="27" t="s">
        <v>3231</v>
      </c>
      <c r="W46" s="27" t="s">
        <v>13508</v>
      </c>
    </row>
    <row r="47" customFormat="false" ht="17.25" hidden="false" customHeight="true" outlineLevel="0" collapsed="false">
      <c r="A47" s="27" t="s">
        <v>13509</v>
      </c>
      <c r="B47" s="27" t="s">
        <v>1568</v>
      </c>
      <c r="C47" s="27" t="s">
        <v>13510</v>
      </c>
      <c r="E47" s="27" t="s">
        <v>55</v>
      </c>
      <c r="G47" s="27" t="s">
        <v>98</v>
      </c>
      <c r="H47" s="27" t="s">
        <v>13511</v>
      </c>
      <c r="T47" s="27" t="s">
        <v>50</v>
      </c>
      <c r="V47" s="27" t="s">
        <v>13512</v>
      </c>
      <c r="W47" s="27" t="s">
        <v>13394</v>
      </c>
    </row>
    <row r="48" customFormat="false" ht="17.25" hidden="false" customHeight="true" outlineLevel="0" collapsed="false">
      <c r="A48" s="27" t="s">
        <v>13513</v>
      </c>
      <c r="B48" s="27" t="s">
        <v>13514</v>
      </c>
      <c r="C48" s="27" t="s">
        <v>3769</v>
      </c>
      <c r="E48" s="27" t="s">
        <v>55</v>
      </c>
      <c r="F48" s="27" t="s">
        <v>3770</v>
      </c>
      <c r="G48" s="27" t="s">
        <v>98</v>
      </c>
      <c r="H48" s="27" t="s">
        <v>13515</v>
      </c>
      <c r="T48" s="27" t="s">
        <v>50</v>
      </c>
      <c r="V48" s="27" t="s">
        <v>1988</v>
      </c>
      <c r="W48" s="27" t="s">
        <v>13394</v>
      </c>
    </row>
    <row r="49" customFormat="false" ht="17.25" hidden="false" customHeight="true" outlineLevel="0" collapsed="false">
      <c r="A49" s="27" t="s">
        <v>7471</v>
      </c>
      <c r="B49" s="27" t="s">
        <v>619</v>
      </c>
      <c r="C49" s="27" t="s">
        <v>13516</v>
      </c>
      <c r="E49" s="27" t="s">
        <v>55</v>
      </c>
      <c r="F49" s="27" t="s">
        <v>13517</v>
      </c>
      <c r="G49" s="27" t="s">
        <v>61</v>
      </c>
      <c r="H49" s="27" t="s">
        <v>13518</v>
      </c>
      <c r="I49" s="27" t="s">
        <v>13519</v>
      </c>
      <c r="J49" s="27" t="s">
        <v>13520</v>
      </c>
      <c r="K49" s="27" t="s">
        <v>13519</v>
      </c>
      <c r="L49" s="27" t="s">
        <v>13520</v>
      </c>
      <c r="M49" s="27" t="s">
        <v>13519</v>
      </c>
      <c r="N49" s="27" t="s">
        <v>13520</v>
      </c>
      <c r="O49" s="27" t="s">
        <v>13519</v>
      </c>
      <c r="P49" s="27" t="s">
        <v>13520</v>
      </c>
      <c r="Q49" s="27" t="s">
        <v>13519</v>
      </c>
      <c r="R49" s="27" t="s">
        <v>13520</v>
      </c>
      <c r="T49" s="27" t="s">
        <v>50</v>
      </c>
      <c r="V49" s="27" t="s">
        <v>13521</v>
      </c>
      <c r="W49" s="27" t="s">
        <v>13522</v>
      </c>
    </row>
    <row r="50" customFormat="false" ht="17.25" hidden="false" customHeight="true" outlineLevel="0" collapsed="false">
      <c r="A50" s="27" t="s">
        <v>13523</v>
      </c>
      <c r="B50" s="27" t="s">
        <v>160</v>
      </c>
      <c r="C50" s="27" t="s">
        <v>13524</v>
      </c>
      <c r="E50" s="27" t="s">
        <v>55</v>
      </c>
      <c r="G50" s="27" t="s">
        <v>215</v>
      </c>
      <c r="H50" s="27" t="s">
        <v>13525</v>
      </c>
      <c r="I50" s="27" t="s">
        <v>13526</v>
      </c>
      <c r="K50" s="27" t="s">
        <v>13307</v>
      </c>
      <c r="L50" s="27" t="s">
        <v>13309</v>
      </c>
      <c r="O50" s="27" t="s">
        <v>13526</v>
      </c>
      <c r="Q50" s="27" t="s">
        <v>13307</v>
      </c>
      <c r="R50" s="27" t="s">
        <v>13309</v>
      </c>
      <c r="T50" s="27" t="s">
        <v>50</v>
      </c>
      <c r="V50" s="27" t="s">
        <v>3490</v>
      </c>
      <c r="W50" s="27" t="s">
        <v>13374</v>
      </c>
    </row>
    <row r="51" customFormat="false" ht="17.25" hidden="false" customHeight="true" outlineLevel="0" collapsed="false">
      <c r="A51" s="27" t="s">
        <v>13527</v>
      </c>
      <c r="B51" s="27" t="s">
        <v>13528</v>
      </c>
      <c r="C51" s="27" t="s">
        <v>13529</v>
      </c>
      <c r="E51" s="27" t="s">
        <v>55</v>
      </c>
      <c r="G51" s="27" t="s">
        <v>98</v>
      </c>
      <c r="H51" s="27" t="s">
        <v>13530</v>
      </c>
      <c r="T51" s="27" t="s">
        <v>50</v>
      </c>
      <c r="V51" s="27" t="s">
        <v>2499</v>
      </c>
      <c r="W51" s="27" t="s">
        <v>13531</v>
      </c>
    </row>
    <row r="52" customFormat="false" ht="17.25" hidden="false" customHeight="true" outlineLevel="0" collapsed="false">
      <c r="A52" s="27" t="s">
        <v>13532</v>
      </c>
      <c r="B52" s="27" t="s">
        <v>195</v>
      </c>
      <c r="C52" s="27" t="s">
        <v>13533</v>
      </c>
      <c r="E52" s="27" t="s">
        <v>55</v>
      </c>
      <c r="F52" s="27" t="s">
        <v>13534</v>
      </c>
      <c r="G52" s="27" t="s">
        <v>98</v>
      </c>
      <c r="H52" s="27" t="s">
        <v>13535</v>
      </c>
      <c r="T52" s="27" t="s">
        <v>50</v>
      </c>
      <c r="V52" s="27" t="s">
        <v>13536</v>
      </c>
      <c r="W52" s="27" t="s">
        <v>13458</v>
      </c>
    </row>
    <row r="53" customFormat="false" ht="15" hidden="false" customHeight="true" outlineLevel="0" collapsed="false">
      <c r="A53" s="27" t="s">
        <v>13537</v>
      </c>
      <c r="B53" s="27" t="s">
        <v>1377</v>
      </c>
      <c r="C53" s="27" t="s">
        <v>13538</v>
      </c>
      <c r="E53" s="27" t="s">
        <v>55</v>
      </c>
      <c r="F53" s="27" t="s">
        <v>13539</v>
      </c>
      <c r="G53" s="27" t="s">
        <v>215</v>
      </c>
      <c r="H53" s="27" t="s">
        <v>13540</v>
      </c>
      <c r="T53" s="27" t="s">
        <v>50</v>
      </c>
      <c r="U53" s="27" t="s">
        <v>2802</v>
      </c>
      <c r="V53" s="27" t="s">
        <v>3058</v>
      </c>
      <c r="W53" s="27" t="s">
        <v>13541</v>
      </c>
    </row>
    <row r="54" customFormat="false" ht="15" hidden="false" customHeight="true" outlineLevel="0" collapsed="false">
      <c r="A54" s="27" t="s">
        <v>13542</v>
      </c>
      <c r="B54" s="27" t="s">
        <v>1174</v>
      </c>
      <c r="C54" s="27" t="s">
        <v>13543</v>
      </c>
      <c r="E54" s="27" t="s">
        <v>55</v>
      </c>
      <c r="F54" s="27" t="s">
        <v>13544</v>
      </c>
      <c r="G54" s="27" t="s">
        <v>61</v>
      </c>
      <c r="H54" s="27" t="s">
        <v>13545</v>
      </c>
      <c r="T54" s="27" t="s">
        <v>50</v>
      </c>
      <c r="U54" s="27" t="s">
        <v>13334</v>
      </c>
      <c r="V54" s="27" t="s">
        <v>13546</v>
      </c>
      <c r="W54" s="27" t="s">
        <v>13522</v>
      </c>
    </row>
    <row r="55" customFormat="false" ht="15.75" hidden="false" customHeight="true" outlineLevel="0" collapsed="false">
      <c r="A55" s="27" t="s">
        <v>13547</v>
      </c>
      <c r="B55" s="27" t="s">
        <v>1101</v>
      </c>
      <c r="C55" s="27" t="s">
        <v>13548</v>
      </c>
      <c r="E55" s="27" t="s">
        <v>55</v>
      </c>
      <c r="F55" s="27" t="s">
        <v>13549</v>
      </c>
      <c r="G55" s="27" t="s">
        <v>345</v>
      </c>
      <c r="H55" s="27" t="s">
        <v>13550</v>
      </c>
      <c r="T55" s="27" t="s">
        <v>50</v>
      </c>
      <c r="V55" s="27" t="s">
        <v>389</v>
      </c>
      <c r="W55" s="27" t="s">
        <v>13551</v>
      </c>
    </row>
    <row r="56" customFormat="false" ht="15" hidden="false" customHeight="true" outlineLevel="0" collapsed="false">
      <c r="A56" s="27" t="s">
        <v>10951</v>
      </c>
      <c r="B56" s="27" t="s">
        <v>3825</v>
      </c>
      <c r="C56" s="27" t="s">
        <v>6290</v>
      </c>
      <c r="E56" s="27" t="s">
        <v>55</v>
      </c>
      <c r="F56" s="27" t="s">
        <v>13552</v>
      </c>
      <c r="G56" s="27" t="s">
        <v>98</v>
      </c>
      <c r="H56" s="27" t="s">
        <v>13553</v>
      </c>
      <c r="T56" s="27" t="s">
        <v>50</v>
      </c>
      <c r="V56" s="27" t="s">
        <v>6291</v>
      </c>
      <c r="W56" s="27" t="s">
        <v>13394</v>
      </c>
    </row>
    <row r="57" customFormat="false" ht="15" hidden="false" customHeight="true" outlineLevel="0" collapsed="false">
      <c r="A57" s="27" t="s">
        <v>13554</v>
      </c>
      <c r="B57" s="27" t="s">
        <v>13555</v>
      </c>
      <c r="C57" s="27" t="s">
        <v>3051</v>
      </c>
      <c r="E57" s="27" t="s">
        <v>55</v>
      </c>
      <c r="F57" s="27" t="s">
        <v>13556</v>
      </c>
      <c r="G57" s="27" t="s">
        <v>215</v>
      </c>
      <c r="H57" s="27" t="s">
        <v>13557</v>
      </c>
      <c r="T57" s="27" t="s">
        <v>50</v>
      </c>
      <c r="V57" s="27" t="s">
        <v>2100</v>
      </c>
      <c r="W57" s="27" t="s">
        <v>13558</v>
      </c>
    </row>
    <row r="58" customFormat="false" ht="17.25" hidden="false" customHeight="true" outlineLevel="0" collapsed="false">
      <c r="A58" s="27" t="s">
        <v>13559</v>
      </c>
      <c r="B58" s="27" t="s">
        <v>958</v>
      </c>
      <c r="C58" s="27" t="s">
        <v>1347</v>
      </c>
      <c r="E58" s="27" t="s">
        <v>55</v>
      </c>
      <c r="G58" s="27" t="s">
        <v>345</v>
      </c>
      <c r="H58" s="27" t="s">
        <v>13560</v>
      </c>
      <c r="T58" s="27" t="s">
        <v>50</v>
      </c>
      <c r="V58" s="27" t="s">
        <v>1348</v>
      </c>
      <c r="W58" s="27" t="s">
        <v>13331</v>
      </c>
    </row>
    <row r="59" customFormat="false" ht="15" hidden="false" customHeight="true" outlineLevel="0" collapsed="false">
      <c r="A59" s="27" t="s">
        <v>13561</v>
      </c>
      <c r="B59" s="27" t="s">
        <v>399</v>
      </c>
      <c r="C59" s="27" t="s">
        <v>13562</v>
      </c>
      <c r="E59" s="27" t="s">
        <v>55</v>
      </c>
      <c r="F59" s="27" t="s">
        <v>13563</v>
      </c>
      <c r="G59" s="27" t="s">
        <v>345</v>
      </c>
      <c r="H59" s="27" t="s">
        <v>13564</v>
      </c>
      <c r="T59" s="27" t="s">
        <v>50</v>
      </c>
      <c r="V59" s="27" t="s">
        <v>13565</v>
      </c>
      <c r="W59" s="27" t="s">
        <v>13362</v>
      </c>
    </row>
    <row r="60" customFormat="false" ht="15" hidden="false" customHeight="true" outlineLevel="0" collapsed="false">
      <c r="A60" s="27" t="s">
        <v>13566</v>
      </c>
      <c r="B60" s="27" t="s">
        <v>5952</v>
      </c>
      <c r="C60" s="27" t="s">
        <v>13567</v>
      </c>
      <c r="E60" s="27" t="s">
        <v>55</v>
      </c>
      <c r="F60" s="27" t="s">
        <v>13568</v>
      </c>
      <c r="G60" s="27" t="s">
        <v>345</v>
      </c>
      <c r="H60" s="27" t="s">
        <v>13569</v>
      </c>
      <c r="T60" s="27" t="s">
        <v>50</v>
      </c>
      <c r="V60" s="27" t="s">
        <v>1923</v>
      </c>
      <c r="W60" s="27" t="s">
        <v>13570</v>
      </c>
    </row>
    <row r="61" customFormat="false" ht="15" hidden="false" customHeight="true" outlineLevel="0" collapsed="false">
      <c r="A61" s="27" t="s">
        <v>13571</v>
      </c>
      <c r="B61" s="27" t="s">
        <v>13572</v>
      </c>
      <c r="C61" s="27" t="s">
        <v>6290</v>
      </c>
      <c r="E61" s="27" t="s">
        <v>55</v>
      </c>
      <c r="F61" s="27" t="s">
        <v>13552</v>
      </c>
      <c r="G61" s="27" t="s">
        <v>215</v>
      </c>
      <c r="H61" s="27" t="s">
        <v>13573</v>
      </c>
      <c r="T61" s="27" t="s">
        <v>50</v>
      </c>
      <c r="V61" s="27" t="s">
        <v>6291</v>
      </c>
      <c r="W61" s="27" t="s">
        <v>13394</v>
      </c>
    </row>
    <row r="62" customFormat="false" ht="17.25" hidden="false" customHeight="true" outlineLevel="0" collapsed="false">
      <c r="A62" s="27" t="s">
        <v>13574</v>
      </c>
      <c r="B62" s="27" t="s">
        <v>231</v>
      </c>
      <c r="C62" s="27" t="s">
        <v>3104</v>
      </c>
      <c r="E62" s="27" t="s">
        <v>55</v>
      </c>
      <c r="F62" s="27" t="s">
        <v>13575</v>
      </c>
      <c r="G62" s="27" t="s">
        <v>345</v>
      </c>
      <c r="H62" s="27" t="s">
        <v>13576</v>
      </c>
      <c r="T62" s="27" t="s">
        <v>50</v>
      </c>
      <c r="U62" s="27" t="s">
        <v>13577</v>
      </c>
      <c r="V62" s="27" t="s">
        <v>3105</v>
      </c>
      <c r="W62" s="27" t="s">
        <v>13348</v>
      </c>
    </row>
    <row r="63" customFormat="false" ht="17.25" hidden="false" customHeight="true" outlineLevel="0" collapsed="false">
      <c r="A63" s="27" t="s">
        <v>13578</v>
      </c>
      <c r="B63" s="27" t="s">
        <v>7214</v>
      </c>
      <c r="C63" s="27" t="s">
        <v>13579</v>
      </c>
      <c r="E63" s="27" t="s">
        <v>55</v>
      </c>
      <c r="F63" s="27" t="s">
        <v>13580</v>
      </c>
      <c r="G63" s="27" t="s">
        <v>61</v>
      </c>
      <c r="H63" s="27" t="s">
        <v>13581</v>
      </c>
      <c r="J63" s="27" t="s">
        <v>13367</v>
      </c>
      <c r="L63" s="27" t="s">
        <v>13367</v>
      </c>
      <c r="N63" s="27" t="s">
        <v>13367</v>
      </c>
      <c r="P63" s="27" t="s">
        <v>13367</v>
      </c>
      <c r="R63" s="27" t="s">
        <v>13367</v>
      </c>
      <c r="T63" s="27" t="s">
        <v>50</v>
      </c>
      <c r="V63" s="27" t="s">
        <v>13582</v>
      </c>
      <c r="W63" s="27" t="s">
        <v>13482</v>
      </c>
    </row>
    <row r="64" customFormat="false" ht="17.25" hidden="false" customHeight="true" outlineLevel="0" collapsed="false">
      <c r="A64" s="27" t="s">
        <v>13583</v>
      </c>
      <c r="B64" s="27" t="s">
        <v>7160</v>
      </c>
      <c r="C64" s="27" t="s">
        <v>13584</v>
      </c>
      <c r="E64" s="27" t="s">
        <v>55</v>
      </c>
      <c r="F64" s="27" t="s">
        <v>13585</v>
      </c>
      <c r="G64" s="27" t="s">
        <v>98</v>
      </c>
      <c r="H64" s="27" t="s">
        <v>13586</v>
      </c>
      <c r="T64" s="27" t="s">
        <v>50</v>
      </c>
      <c r="V64" s="27" t="s">
        <v>1988</v>
      </c>
      <c r="W64" s="27" t="s">
        <v>13502</v>
      </c>
    </row>
    <row r="65" customFormat="false" ht="17.25" hidden="false" customHeight="true" outlineLevel="0" collapsed="false">
      <c r="A65" s="27" t="s">
        <v>13587</v>
      </c>
      <c r="B65" s="27" t="s">
        <v>13588</v>
      </c>
      <c r="C65" s="27" t="s">
        <v>13589</v>
      </c>
      <c r="E65" s="27" t="s">
        <v>55</v>
      </c>
      <c r="F65" s="27" t="s">
        <v>13590</v>
      </c>
      <c r="G65" s="27" t="s">
        <v>345</v>
      </c>
      <c r="H65" s="27" t="s">
        <v>13591</v>
      </c>
      <c r="T65" s="27" t="s">
        <v>50</v>
      </c>
      <c r="V65" s="27" t="s">
        <v>6992</v>
      </c>
      <c r="W65" s="27" t="s">
        <v>13592</v>
      </c>
    </row>
    <row r="66" customFormat="false" ht="15" hidden="false" customHeight="true" outlineLevel="0" collapsed="false">
      <c r="A66" s="27" t="s">
        <v>13593</v>
      </c>
      <c r="B66" s="27" t="s">
        <v>3570</v>
      </c>
      <c r="C66" s="27" t="s">
        <v>3298</v>
      </c>
      <c r="E66" s="27" t="s">
        <v>55</v>
      </c>
      <c r="F66" s="27" t="s">
        <v>13594</v>
      </c>
      <c r="G66" s="27" t="s">
        <v>345</v>
      </c>
      <c r="H66" s="27" t="s">
        <v>13595</v>
      </c>
      <c r="T66" s="27" t="s">
        <v>50</v>
      </c>
      <c r="V66" s="27" t="s">
        <v>3299</v>
      </c>
      <c r="W66" s="27" t="s">
        <v>13596</v>
      </c>
    </row>
    <row r="67" customFormat="false" ht="17.25" hidden="false" customHeight="true" outlineLevel="0" collapsed="false">
      <c r="A67" s="27" t="s">
        <v>13597</v>
      </c>
      <c r="B67" s="27" t="s">
        <v>332</v>
      </c>
      <c r="C67" s="27" t="s">
        <v>6616</v>
      </c>
      <c r="E67" s="27" t="s">
        <v>55</v>
      </c>
      <c r="G67" s="27" t="s">
        <v>345</v>
      </c>
      <c r="H67" s="27" t="s">
        <v>13598</v>
      </c>
      <c r="T67" s="27" t="s">
        <v>50</v>
      </c>
      <c r="V67" s="27" t="s">
        <v>4389</v>
      </c>
      <c r="W67" s="27" t="s">
        <v>13599</v>
      </c>
    </row>
    <row r="68" customFormat="false" ht="15" hidden="false" customHeight="true" outlineLevel="0" collapsed="false">
      <c r="A68" s="27" t="s">
        <v>13600</v>
      </c>
      <c r="B68" s="27" t="s">
        <v>4419</v>
      </c>
      <c r="C68" s="27" t="s">
        <v>5821</v>
      </c>
      <c r="E68" s="27" t="s">
        <v>55</v>
      </c>
      <c r="F68" s="27" t="s">
        <v>5823</v>
      </c>
      <c r="G68" s="27" t="s">
        <v>98</v>
      </c>
      <c r="H68" s="27" t="s">
        <v>13601</v>
      </c>
      <c r="T68" s="27" t="s">
        <v>50</v>
      </c>
      <c r="V68" s="27" t="s">
        <v>5822</v>
      </c>
      <c r="W68" s="27" t="s">
        <v>13602</v>
      </c>
    </row>
    <row r="69" customFormat="false" ht="15" hidden="false" customHeight="true" outlineLevel="0" collapsed="false">
      <c r="A69" s="27" t="s">
        <v>13603</v>
      </c>
      <c r="B69" s="27" t="s">
        <v>2987</v>
      </c>
      <c r="C69" s="27" t="s">
        <v>13604</v>
      </c>
      <c r="E69" s="27" t="s">
        <v>55</v>
      </c>
      <c r="G69" s="27" t="s">
        <v>345</v>
      </c>
      <c r="H69" s="27" t="s">
        <v>13605</v>
      </c>
      <c r="T69" s="27" t="s">
        <v>50</v>
      </c>
      <c r="V69" s="27" t="s">
        <v>1888</v>
      </c>
      <c r="W69" s="27" t="s">
        <v>13606</v>
      </c>
    </row>
    <row r="70" customFormat="false" ht="15" hidden="false" customHeight="true" outlineLevel="0" collapsed="false">
      <c r="A70" s="27" t="s">
        <v>9563</v>
      </c>
      <c r="B70" s="27" t="s">
        <v>13607</v>
      </c>
      <c r="C70" s="27" t="s">
        <v>13608</v>
      </c>
      <c r="E70" s="27" t="s">
        <v>55</v>
      </c>
      <c r="F70" s="27" t="s">
        <v>13609</v>
      </c>
      <c r="G70" s="27" t="s">
        <v>345</v>
      </c>
      <c r="H70" s="27" t="s">
        <v>13610</v>
      </c>
      <c r="T70" s="27" t="s">
        <v>50</v>
      </c>
      <c r="V70" s="27" t="s">
        <v>2778</v>
      </c>
      <c r="W70" s="27" t="s">
        <v>13611</v>
      </c>
    </row>
    <row r="71" customFormat="false" ht="15" hidden="false" customHeight="true" outlineLevel="0" collapsed="false">
      <c r="A71" s="27" t="s">
        <v>13612</v>
      </c>
      <c r="B71" s="27" t="s">
        <v>2217</v>
      </c>
      <c r="C71" s="27" t="s">
        <v>1009</v>
      </c>
      <c r="E71" s="27" t="s">
        <v>55</v>
      </c>
      <c r="F71" s="27" t="s">
        <v>1011</v>
      </c>
      <c r="G71" s="27" t="s">
        <v>98</v>
      </c>
      <c r="H71" s="27" t="s">
        <v>13613</v>
      </c>
      <c r="T71" s="27" t="s">
        <v>50</v>
      </c>
      <c r="V71" s="27" t="s">
        <v>1010</v>
      </c>
      <c r="W71" s="27" t="s">
        <v>13394</v>
      </c>
    </row>
    <row r="72" customFormat="false" ht="17.25" hidden="false" customHeight="true" outlineLevel="0" collapsed="false">
      <c r="A72" s="27" t="s">
        <v>13614</v>
      </c>
      <c r="B72" s="27" t="s">
        <v>231</v>
      </c>
      <c r="C72" s="27" t="s">
        <v>1987</v>
      </c>
      <c r="E72" s="27" t="s">
        <v>55</v>
      </c>
      <c r="F72" s="27" t="s">
        <v>13615</v>
      </c>
      <c r="G72" s="27" t="s">
        <v>215</v>
      </c>
      <c r="H72" s="27" t="s">
        <v>13616</v>
      </c>
      <c r="T72" s="27" t="s">
        <v>50</v>
      </c>
      <c r="V72" s="27" t="s">
        <v>1988</v>
      </c>
      <c r="W72" s="27" t="s">
        <v>13617</v>
      </c>
    </row>
    <row r="73" customFormat="false" ht="15" hidden="false" customHeight="true" outlineLevel="0" collapsed="false">
      <c r="A73" s="27" t="s">
        <v>13618</v>
      </c>
      <c r="B73" s="27" t="s">
        <v>3434</v>
      </c>
      <c r="C73" s="27" t="s">
        <v>13524</v>
      </c>
      <c r="E73" s="27" t="s">
        <v>55</v>
      </c>
      <c r="F73" s="27" t="s">
        <v>13619</v>
      </c>
      <c r="G73" s="27" t="s">
        <v>98</v>
      </c>
      <c r="H73" s="27" t="s">
        <v>13620</v>
      </c>
      <c r="T73" s="27" t="s">
        <v>50</v>
      </c>
      <c r="V73" s="27" t="s">
        <v>3490</v>
      </c>
      <c r="W73" s="27" t="s">
        <v>13374</v>
      </c>
    </row>
    <row r="74" customFormat="false" ht="15.75" hidden="false" customHeight="true" outlineLevel="0" collapsed="false">
      <c r="A74" s="27" t="s">
        <v>13621</v>
      </c>
      <c r="B74" s="27" t="s">
        <v>13622</v>
      </c>
      <c r="C74" s="27" t="s">
        <v>13584</v>
      </c>
      <c r="E74" s="27" t="s">
        <v>55</v>
      </c>
      <c r="F74" s="27" t="s">
        <v>13623</v>
      </c>
      <c r="G74" s="27" t="s">
        <v>98</v>
      </c>
      <c r="H74" s="27" t="s">
        <v>13624</v>
      </c>
      <c r="T74" s="27" t="s">
        <v>50</v>
      </c>
      <c r="V74" s="27" t="s">
        <v>1988</v>
      </c>
      <c r="W74" s="27" t="s">
        <v>13502</v>
      </c>
    </row>
    <row r="75" customFormat="false" ht="17.25" hidden="false" customHeight="true" outlineLevel="0" collapsed="false">
      <c r="A75" s="27" t="s">
        <v>13625</v>
      </c>
      <c r="B75" s="27" t="s">
        <v>4046</v>
      </c>
      <c r="C75" s="27" t="s">
        <v>9161</v>
      </c>
      <c r="E75" s="27" t="s">
        <v>55</v>
      </c>
      <c r="G75" s="27" t="s">
        <v>98</v>
      </c>
      <c r="H75" s="27" t="s">
        <v>13626</v>
      </c>
      <c r="I75" s="27" t="s">
        <v>13526</v>
      </c>
      <c r="J75" s="27" t="s">
        <v>13627</v>
      </c>
      <c r="K75" s="27" t="s">
        <v>13526</v>
      </c>
      <c r="L75" s="27" t="s">
        <v>13627</v>
      </c>
      <c r="M75" s="27" t="s">
        <v>13526</v>
      </c>
      <c r="N75" s="27" t="s">
        <v>13627</v>
      </c>
      <c r="O75" s="27" t="s">
        <v>13526</v>
      </c>
      <c r="P75" s="27" t="s">
        <v>13627</v>
      </c>
      <c r="Q75" s="27" t="s">
        <v>13526</v>
      </c>
      <c r="R75" s="27" t="s">
        <v>13627</v>
      </c>
      <c r="T75" s="27" t="s">
        <v>50</v>
      </c>
      <c r="V75" s="27" t="s">
        <v>9162</v>
      </c>
      <c r="W75" s="27" t="s">
        <v>13353</v>
      </c>
    </row>
    <row r="76" customFormat="false" ht="17.25" hidden="false" customHeight="true" outlineLevel="0" collapsed="false">
      <c r="A76" s="27" t="s">
        <v>13628</v>
      </c>
      <c r="B76" s="27" t="s">
        <v>117</v>
      </c>
      <c r="C76" s="27" t="s">
        <v>6516</v>
      </c>
      <c r="E76" s="27" t="s">
        <v>55</v>
      </c>
      <c r="F76" s="27" t="s">
        <v>13629</v>
      </c>
      <c r="G76" s="27" t="s">
        <v>215</v>
      </c>
      <c r="H76" s="27" t="s">
        <v>13630</v>
      </c>
      <c r="T76" s="27" t="s">
        <v>50</v>
      </c>
      <c r="U76" s="27" t="s">
        <v>2802</v>
      </c>
      <c r="V76" s="27" t="s">
        <v>1041</v>
      </c>
      <c r="W76" s="27" t="s">
        <v>13631</v>
      </c>
    </row>
    <row r="77" customFormat="false" ht="15" hidden="false" customHeight="true" outlineLevel="0" collapsed="false">
      <c r="A77" s="27" t="s">
        <v>13632</v>
      </c>
      <c r="B77" s="27" t="s">
        <v>1968</v>
      </c>
      <c r="C77" s="27" t="s">
        <v>13633</v>
      </c>
      <c r="E77" s="27" t="s">
        <v>55</v>
      </c>
      <c r="G77" s="27" t="s">
        <v>215</v>
      </c>
      <c r="H77" s="27" t="s">
        <v>13634</v>
      </c>
      <c r="T77" s="27" t="s">
        <v>50</v>
      </c>
      <c r="U77" s="27" t="s">
        <v>2802</v>
      </c>
      <c r="V77" s="27" t="s">
        <v>1333</v>
      </c>
      <c r="W77" s="27" t="s">
        <v>13635</v>
      </c>
    </row>
    <row r="78" customFormat="false" ht="15" hidden="false" customHeight="true" outlineLevel="0" collapsed="false">
      <c r="A78" s="27" t="s">
        <v>13636</v>
      </c>
      <c r="B78" s="27" t="s">
        <v>13637</v>
      </c>
      <c r="C78" s="27" t="s">
        <v>13638</v>
      </c>
      <c r="E78" s="27" t="s">
        <v>55</v>
      </c>
      <c r="G78" s="27" t="s">
        <v>98</v>
      </c>
      <c r="H78" s="27" t="s">
        <v>13639</v>
      </c>
      <c r="T78" s="27" t="s">
        <v>50</v>
      </c>
      <c r="V78" s="27" t="s">
        <v>2499</v>
      </c>
      <c r="W78" s="27" t="s">
        <v>13606</v>
      </c>
    </row>
    <row r="79" customFormat="false" ht="15" hidden="false" customHeight="true" outlineLevel="0" collapsed="false">
      <c r="A79" s="27" t="s">
        <v>13640</v>
      </c>
      <c r="B79" s="27" t="s">
        <v>13641</v>
      </c>
      <c r="C79" s="27" t="s">
        <v>1307</v>
      </c>
      <c r="E79" s="27" t="s">
        <v>55</v>
      </c>
      <c r="F79" s="27" t="s">
        <v>1309</v>
      </c>
      <c r="G79" s="27" t="s">
        <v>98</v>
      </c>
      <c r="H79" s="27" t="s">
        <v>13642</v>
      </c>
      <c r="T79" s="27" t="s">
        <v>50</v>
      </c>
      <c r="V79" s="27" t="s">
        <v>1308</v>
      </c>
      <c r="W79" s="27" t="s">
        <v>13394</v>
      </c>
    </row>
    <row r="80" customFormat="false" ht="15" hidden="false" customHeight="true" outlineLevel="0" collapsed="false">
      <c r="A80" s="27" t="s">
        <v>6996</v>
      </c>
      <c r="B80" s="27" t="s">
        <v>3633</v>
      </c>
      <c r="C80" s="27" t="s">
        <v>13643</v>
      </c>
      <c r="E80" s="27" t="s">
        <v>55</v>
      </c>
      <c r="F80" s="27" t="s">
        <v>13644</v>
      </c>
      <c r="G80" s="27" t="s">
        <v>215</v>
      </c>
      <c r="H80" s="27" t="s">
        <v>13645</v>
      </c>
      <c r="T80" s="27" t="s">
        <v>50</v>
      </c>
      <c r="V80" s="27" t="s">
        <v>175</v>
      </c>
      <c r="W80" s="27" t="s">
        <v>13646</v>
      </c>
    </row>
    <row r="81" customFormat="false" ht="15" hidden="false" customHeight="true" outlineLevel="0" collapsed="false">
      <c r="A81" s="27" t="s">
        <v>13647</v>
      </c>
      <c r="B81" s="27" t="s">
        <v>142</v>
      </c>
      <c r="C81" s="27" t="s">
        <v>13648</v>
      </c>
      <c r="E81" s="27" t="s">
        <v>55</v>
      </c>
      <c r="F81" s="27" t="s">
        <v>13649</v>
      </c>
      <c r="G81" s="27" t="s">
        <v>215</v>
      </c>
      <c r="H81" s="27" t="s">
        <v>13650</v>
      </c>
      <c r="T81" s="27" t="s">
        <v>50</v>
      </c>
      <c r="U81" s="27" t="s">
        <v>776</v>
      </c>
      <c r="V81" s="27" t="s">
        <v>13651</v>
      </c>
      <c r="W81" s="27" t="s">
        <v>13335</v>
      </c>
    </row>
    <row r="82" customFormat="false" ht="15" hidden="false" customHeight="true" outlineLevel="0" collapsed="false">
      <c r="A82" s="27" t="s">
        <v>13652</v>
      </c>
      <c r="B82" s="27" t="s">
        <v>419</v>
      </c>
      <c r="C82" s="27" t="s">
        <v>13653</v>
      </c>
      <c r="E82" s="27" t="s">
        <v>55</v>
      </c>
      <c r="F82" s="27" t="s">
        <v>13654</v>
      </c>
      <c r="G82" s="27" t="s">
        <v>98</v>
      </c>
      <c r="H82" s="27" t="s">
        <v>13655</v>
      </c>
      <c r="T82" s="27" t="s">
        <v>50</v>
      </c>
      <c r="V82" s="27" t="s">
        <v>175</v>
      </c>
      <c r="W82" s="27" t="s">
        <v>13558</v>
      </c>
    </row>
    <row r="83" customFormat="false" ht="17.25" hidden="false" customHeight="true" outlineLevel="0" collapsed="false">
      <c r="A83" s="27" t="s">
        <v>13656</v>
      </c>
      <c r="B83" s="27" t="s">
        <v>768</v>
      </c>
      <c r="C83" s="27" t="s">
        <v>13657</v>
      </c>
      <c r="E83" s="27" t="s">
        <v>55</v>
      </c>
      <c r="F83" s="27" t="s">
        <v>13658</v>
      </c>
      <c r="G83" s="27" t="s">
        <v>215</v>
      </c>
      <c r="H83" s="27" t="s">
        <v>13659</v>
      </c>
      <c r="T83" s="27" t="s">
        <v>50</v>
      </c>
      <c r="V83" s="27" t="s">
        <v>13660</v>
      </c>
      <c r="W83" s="27" t="s">
        <v>13661</v>
      </c>
    </row>
    <row r="84" customFormat="false" ht="24.75" hidden="false" customHeight="true" outlineLevel="0" collapsed="false">
      <c r="A84" s="27" t="s">
        <v>5753</v>
      </c>
      <c r="B84" s="27" t="s">
        <v>1156</v>
      </c>
      <c r="C84" s="27" t="s">
        <v>13662</v>
      </c>
      <c r="E84" s="27" t="s">
        <v>55</v>
      </c>
      <c r="G84" s="27" t="s">
        <v>215</v>
      </c>
      <c r="H84" s="27" t="s">
        <v>13663</v>
      </c>
      <c r="T84" s="27" t="s">
        <v>50</v>
      </c>
      <c r="V84" s="27" t="s">
        <v>3058</v>
      </c>
      <c r="W84" s="27" t="s">
        <v>13496</v>
      </c>
    </row>
    <row r="85" customFormat="false" ht="15" hidden="false" customHeight="true" outlineLevel="0" collapsed="false">
      <c r="A85" s="27" t="s">
        <v>13664</v>
      </c>
      <c r="B85" s="27" t="s">
        <v>2065</v>
      </c>
      <c r="C85" s="27" t="s">
        <v>4780</v>
      </c>
      <c r="E85" s="27" t="s">
        <v>55</v>
      </c>
      <c r="F85" s="27" t="s">
        <v>4781</v>
      </c>
      <c r="G85" s="27" t="s">
        <v>345</v>
      </c>
      <c r="H85" s="27" t="s">
        <v>13665</v>
      </c>
      <c r="T85" s="27" t="s">
        <v>50</v>
      </c>
      <c r="V85" s="27" t="s">
        <v>1340</v>
      </c>
      <c r="W85" s="27" t="s">
        <v>13522</v>
      </c>
    </row>
    <row r="86" customFormat="false" ht="17.25" hidden="false" customHeight="true" outlineLevel="0" collapsed="false">
      <c r="A86" s="27" t="s">
        <v>8548</v>
      </c>
      <c r="B86" s="27" t="s">
        <v>2033</v>
      </c>
      <c r="C86" s="27" t="s">
        <v>2210</v>
      </c>
      <c r="E86" s="27" t="s">
        <v>55</v>
      </c>
      <c r="F86" s="27" t="s">
        <v>13666</v>
      </c>
      <c r="G86" s="27" t="s">
        <v>215</v>
      </c>
      <c r="H86" s="27" t="s">
        <v>13667</v>
      </c>
      <c r="T86" s="27" t="s">
        <v>50</v>
      </c>
      <c r="V86" s="27" t="s">
        <v>3465</v>
      </c>
      <c r="W86" s="27" t="s">
        <v>13592</v>
      </c>
    </row>
    <row r="87" customFormat="false" ht="17.25" hidden="false" customHeight="true" outlineLevel="0" collapsed="false">
      <c r="A87" s="27" t="s">
        <v>13668</v>
      </c>
      <c r="B87" s="27" t="s">
        <v>1377</v>
      </c>
      <c r="C87" s="27" t="s">
        <v>13669</v>
      </c>
      <c r="E87" s="27" t="s">
        <v>55</v>
      </c>
      <c r="G87" s="27" t="s">
        <v>345</v>
      </c>
      <c r="H87" s="27" t="s">
        <v>13670</v>
      </c>
      <c r="T87" s="27" t="s">
        <v>50</v>
      </c>
      <c r="V87" s="27" t="s">
        <v>1450</v>
      </c>
      <c r="W87" s="27" t="s">
        <v>13671</v>
      </c>
    </row>
    <row r="88" customFormat="false" ht="17.25" hidden="false" customHeight="true" outlineLevel="0" collapsed="false">
      <c r="A88" s="27" t="s">
        <v>3255</v>
      </c>
      <c r="B88" s="27" t="s">
        <v>13672</v>
      </c>
      <c r="C88" s="27" t="s">
        <v>13673</v>
      </c>
      <c r="E88" s="27" t="s">
        <v>55</v>
      </c>
      <c r="F88" s="27" t="s">
        <v>13674</v>
      </c>
      <c r="G88" s="27" t="s">
        <v>215</v>
      </c>
      <c r="H88" s="27" t="s">
        <v>13675</v>
      </c>
      <c r="T88" s="27" t="s">
        <v>50</v>
      </c>
      <c r="V88" s="27" t="s">
        <v>9056</v>
      </c>
      <c r="W88" s="27" t="s">
        <v>13676</v>
      </c>
    </row>
    <row r="89" customFormat="false" ht="15" hidden="false" customHeight="true" outlineLevel="0" collapsed="false">
      <c r="A89" s="27" t="s">
        <v>13677</v>
      </c>
      <c r="B89" s="27" t="s">
        <v>861</v>
      </c>
      <c r="C89" s="27" t="s">
        <v>13678</v>
      </c>
      <c r="E89" s="27" t="s">
        <v>55</v>
      </c>
      <c r="F89" s="27" t="s">
        <v>13679</v>
      </c>
      <c r="G89" s="27" t="s">
        <v>98</v>
      </c>
      <c r="H89" s="27" t="s">
        <v>13680</v>
      </c>
      <c r="T89" s="27" t="s">
        <v>50</v>
      </c>
      <c r="V89" s="27" t="s">
        <v>7079</v>
      </c>
      <c r="W89" s="27" t="s">
        <v>13681</v>
      </c>
    </row>
    <row r="90" customFormat="false" ht="15.75" hidden="false" customHeight="true" outlineLevel="0" collapsed="false">
      <c r="A90" s="27" t="s">
        <v>13682</v>
      </c>
      <c r="B90" s="27" t="s">
        <v>13683</v>
      </c>
      <c r="C90" s="27" t="s">
        <v>13684</v>
      </c>
      <c r="E90" s="27" t="s">
        <v>55</v>
      </c>
      <c r="G90" s="27" t="s">
        <v>98</v>
      </c>
      <c r="H90" s="27" t="s">
        <v>13685</v>
      </c>
      <c r="T90" s="27" t="s">
        <v>50</v>
      </c>
      <c r="V90" s="27" t="s">
        <v>2778</v>
      </c>
      <c r="W90" s="27" t="s">
        <v>13686</v>
      </c>
    </row>
    <row r="91" customFormat="false" ht="15" hidden="false" customHeight="true" outlineLevel="0" collapsed="false">
      <c r="A91" s="27" t="s">
        <v>13687</v>
      </c>
      <c r="B91" s="27" t="s">
        <v>10264</v>
      </c>
      <c r="C91" s="27" t="s">
        <v>10260</v>
      </c>
      <c r="E91" s="27" t="s">
        <v>55</v>
      </c>
      <c r="G91" s="27" t="s">
        <v>98</v>
      </c>
      <c r="H91" s="27" t="s">
        <v>13688</v>
      </c>
      <c r="T91" s="27" t="s">
        <v>50</v>
      </c>
      <c r="V91" s="27" t="s">
        <v>9137</v>
      </c>
      <c r="W91" s="27" t="s">
        <v>13331</v>
      </c>
    </row>
    <row r="92" customFormat="false" ht="15" hidden="false" customHeight="true" outlineLevel="0" collapsed="false">
      <c r="A92" s="27" t="s">
        <v>13689</v>
      </c>
      <c r="B92" s="27" t="s">
        <v>160</v>
      </c>
      <c r="C92" s="27" t="s">
        <v>13690</v>
      </c>
      <c r="E92" s="27" t="s">
        <v>55</v>
      </c>
      <c r="G92" s="27" t="s">
        <v>98</v>
      </c>
      <c r="H92" s="27" t="s">
        <v>13691</v>
      </c>
      <c r="T92" s="27" t="s">
        <v>50</v>
      </c>
      <c r="V92" s="27" t="s">
        <v>3299</v>
      </c>
      <c r="W92" s="27" t="s">
        <v>13692</v>
      </c>
    </row>
    <row r="93" customFormat="false" ht="17.25" hidden="false" customHeight="true" outlineLevel="0" collapsed="false">
      <c r="A93" s="27" t="s">
        <v>13693</v>
      </c>
      <c r="B93" s="27" t="s">
        <v>2033</v>
      </c>
      <c r="C93" s="27" t="s">
        <v>13694</v>
      </c>
      <c r="E93" s="27" t="s">
        <v>55</v>
      </c>
      <c r="G93" s="27" t="s">
        <v>1466</v>
      </c>
      <c r="H93" s="27" t="s">
        <v>13695</v>
      </c>
      <c r="K93" s="27" t="s">
        <v>13307</v>
      </c>
      <c r="L93" s="27" t="s">
        <v>13445</v>
      </c>
      <c r="M93" s="27" t="s">
        <v>13307</v>
      </c>
      <c r="N93" s="27" t="s">
        <v>13445</v>
      </c>
      <c r="O93" s="27" t="s">
        <v>13307</v>
      </c>
      <c r="P93" s="27" t="s">
        <v>13445</v>
      </c>
      <c r="Q93" s="27" t="s">
        <v>13307</v>
      </c>
      <c r="R93" s="27" t="s">
        <v>13445</v>
      </c>
      <c r="T93" s="27" t="s">
        <v>50</v>
      </c>
      <c r="V93" s="27" t="s">
        <v>175</v>
      </c>
      <c r="W93" s="27" t="s">
        <v>13696</v>
      </c>
    </row>
    <row r="94" customFormat="false" ht="15" hidden="false" customHeight="true" outlineLevel="0" collapsed="false">
      <c r="A94" s="27" t="s">
        <v>13697</v>
      </c>
      <c r="B94" s="27" t="s">
        <v>1777</v>
      </c>
      <c r="C94" s="27" t="s">
        <v>2210</v>
      </c>
      <c r="E94" s="27" t="s">
        <v>55</v>
      </c>
      <c r="F94" s="27" t="s">
        <v>13698</v>
      </c>
      <c r="G94" s="27" t="s">
        <v>98</v>
      </c>
      <c r="H94" s="27" t="s">
        <v>13699</v>
      </c>
      <c r="T94" s="27" t="s">
        <v>50</v>
      </c>
      <c r="V94" s="27" t="s">
        <v>3465</v>
      </c>
      <c r="W94" s="27" t="s">
        <v>13592</v>
      </c>
    </row>
    <row r="95" customFormat="false" ht="15" hidden="false" customHeight="true" outlineLevel="0" collapsed="false">
      <c r="A95" s="27" t="s">
        <v>13700</v>
      </c>
      <c r="B95" s="27" t="s">
        <v>1218</v>
      </c>
      <c r="C95" s="27" t="s">
        <v>13701</v>
      </c>
      <c r="E95" s="27" t="s">
        <v>55</v>
      </c>
      <c r="F95" s="27" t="s">
        <v>13702</v>
      </c>
      <c r="G95" s="27" t="s">
        <v>98</v>
      </c>
      <c r="H95" s="27" t="s">
        <v>13703</v>
      </c>
      <c r="T95" s="27" t="s">
        <v>50</v>
      </c>
      <c r="V95" s="27" t="s">
        <v>13704</v>
      </c>
      <c r="W95" s="27" t="s">
        <v>13458</v>
      </c>
    </row>
    <row r="96" customFormat="false" ht="15" hidden="false" customHeight="true" outlineLevel="0" collapsed="false">
      <c r="A96" s="27" t="s">
        <v>13705</v>
      </c>
      <c r="B96" s="27" t="s">
        <v>13706</v>
      </c>
      <c r="C96" s="27" t="s">
        <v>4780</v>
      </c>
      <c r="E96" s="27" t="s">
        <v>55</v>
      </c>
      <c r="F96" s="27" t="s">
        <v>13707</v>
      </c>
      <c r="G96" s="27" t="s">
        <v>345</v>
      </c>
      <c r="H96" s="27" t="s">
        <v>13708</v>
      </c>
      <c r="T96" s="27" t="s">
        <v>50</v>
      </c>
      <c r="V96" s="27" t="s">
        <v>1340</v>
      </c>
      <c r="W96" s="27" t="s">
        <v>13522</v>
      </c>
    </row>
    <row r="97" customFormat="false" ht="15" hidden="false" customHeight="true" outlineLevel="0" collapsed="false">
      <c r="A97" s="27" t="s">
        <v>13709</v>
      </c>
      <c r="B97" s="27" t="s">
        <v>1007</v>
      </c>
      <c r="C97" s="27" t="s">
        <v>13710</v>
      </c>
      <c r="E97" s="27" t="s">
        <v>55</v>
      </c>
      <c r="G97" s="27" t="s">
        <v>98</v>
      </c>
      <c r="H97" s="27" t="s">
        <v>13711</v>
      </c>
      <c r="P97" s="27" t="s">
        <v>13308</v>
      </c>
      <c r="T97" s="27" t="s">
        <v>50</v>
      </c>
      <c r="V97" s="27" t="s">
        <v>13712</v>
      </c>
      <c r="W97" s="27" t="s">
        <v>13420</v>
      </c>
    </row>
    <row r="98" customFormat="false" ht="17.25" hidden="false" customHeight="true" outlineLevel="0" collapsed="false">
      <c r="A98" s="27" t="s">
        <v>13713</v>
      </c>
      <c r="B98" s="27" t="s">
        <v>13714</v>
      </c>
      <c r="C98" s="27" t="s">
        <v>13678</v>
      </c>
      <c r="E98" s="27" t="s">
        <v>55</v>
      </c>
      <c r="F98" s="27" t="s">
        <v>13563</v>
      </c>
      <c r="G98" s="27" t="s">
        <v>98</v>
      </c>
      <c r="H98" s="27" t="s">
        <v>13715</v>
      </c>
      <c r="T98" s="27" t="s">
        <v>50</v>
      </c>
      <c r="V98" s="27" t="s">
        <v>7079</v>
      </c>
      <c r="W98" s="27" t="s">
        <v>13681</v>
      </c>
    </row>
    <row r="99" customFormat="false" ht="15" hidden="false" customHeight="true" outlineLevel="0" collapsed="false">
      <c r="A99" s="27" t="s">
        <v>13716</v>
      </c>
      <c r="B99" s="27" t="s">
        <v>13717</v>
      </c>
      <c r="C99" s="27" t="s">
        <v>13673</v>
      </c>
      <c r="E99" s="27" t="s">
        <v>55</v>
      </c>
      <c r="F99" s="27" t="s">
        <v>5823</v>
      </c>
      <c r="G99" s="27" t="s">
        <v>98</v>
      </c>
      <c r="H99" s="27" t="s">
        <v>13718</v>
      </c>
      <c r="P99" s="27" t="s">
        <v>13719</v>
      </c>
      <c r="T99" s="27" t="s">
        <v>50</v>
      </c>
      <c r="V99" s="27" t="s">
        <v>9056</v>
      </c>
      <c r="W99" s="27" t="s">
        <v>13676</v>
      </c>
    </row>
    <row r="100" customFormat="false" ht="17.25" hidden="false" customHeight="true" outlineLevel="0" collapsed="false">
      <c r="A100" s="27" t="s">
        <v>4474</v>
      </c>
      <c r="B100" s="27" t="s">
        <v>353</v>
      </c>
      <c r="C100" s="27" t="s">
        <v>6170</v>
      </c>
      <c r="E100" s="27" t="s">
        <v>55</v>
      </c>
      <c r="G100" s="27" t="s">
        <v>98</v>
      </c>
      <c r="H100" s="27" t="s">
        <v>13720</v>
      </c>
      <c r="I100" s="27" t="s">
        <v>13721</v>
      </c>
      <c r="J100" s="27" t="s">
        <v>13722</v>
      </c>
      <c r="K100" s="27" t="s">
        <v>13721</v>
      </c>
      <c r="L100" s="27" t="s">
        <v>13722</v>
      </c>
      <c r="M100" s="27" t="s">
        <v>13721</v>
      </c>
      <c r="N100" s="27" t="s">
        <v>13722</v>
      </c>
      <c r="O100" s="27" t="s">
        <v>13721</v>
      </c>
      <c r="P100" s="27" t="s">
        <v>13722</v>
      </c>
      <c r="Q100" s="27" t="s">
        <v>13723</v>
      </c>
      <c r="T100" s="27" t="s">
        <v>50</v>
      </c>
      <c r="V100" s="27" t="s">
        <v>6171</v>
      </c>
      <c r="W100" s="27" t="s">
        <v>13394</v>
      </c>
    </row>
    <row r="101" customFormat="false" ht="15" hidden="false" customHeight="true" outlineLevel="0" collapsed="false">
      <c r="A101" s="27" t="s">
        <v>13724</v>
      </c>
      <c r="B101" s="27" t="s">
        <v>1502</v>
      </c>
      <c r="C101" s="27" t="s">
        <v>13725</v>
      </c>
      <c r="E101" s="27" t="s">
        <v>55</v>
      </c>
      <c r="F101" s="27" t="s">
        <v>13726</v>
      </c>
      <c r="G101" s="27" t="s">
        <v>61</v>
      </c>
      <c r="H101" s="27" t="s">
        <v>13727</v>
      </c>
      <c r="I101" s="27" t="s">
        <v>13728</v>
      </c>
      <c r="J101" s="27" t="s">
        <v>13729</v>
      </c>
      <c r="L101" s="27" t="s">
        <v>13729</v>
      </c>
      <c r="M101" s="27" t="s">
        <v>13728</v>
      </c>
      <c r="N101" s="27" t="s">
        <v>13729</v>
      </c>
      <c r="P101" s="27" t="s">
        <v>13729</v>
      </c>
      <c r="Q101" s="27" t="s">
        <v>13728</v>
      </c>
      <c r="T101" s="27" t="s">
        <v>50</v>
      </c>
      <c r="V101" s="27" t="s">
        <v>3058</v>
      </c>
      <c r="W101" s="27" t="s">
        <v>13730</v>
      </c>
    </row>
    <row r="102" customFormat="false" ht="17.25" hidden="false" customHeight="true" outlineLevel="0" collapsed="false">
      <c r="A102" s="27" t="s">
        <v>13731</v>
      </c>
      <c r="B102" s="27" t="s">
        <v>1226</v>
      </c>
      <c r="C102" s="27" t="s">
        <v>10409</v>
      </c>
      <c r="E102" s="27" t="s">
        <v>55</v>
      </c>
      <c r="F102" s="27" t="s">
        <v>13732</v>
      </c>
      <c r="G102" s="27" t="s">
        <v>215</v>
      </c>
      <c r="H102" s="27" t="s">
        <v>13733</v>
      </c>
      <c r="T102" s="27" t="s">
        <v>50</v>
      </c>
      <c r="U102" s="27" t="s">
        <v>2802</v>
      </c>
      <c r="V102" s="27" t="s">
        <v>2100</v>
      </c>
      <c r="W102" s="27" t="s">
        <v>13734</v>
      </c>
    </row>
    <row r="103" customFormat="false" ht="15" hidden="false" customHeight="true" outlineLevel="0" collapsed="false">
      <c r="A103" s="27" t="s">
        <v>13735</v>
      </c>
      <c r="B103" s="27" t="s">
        <v>5389</v>
      </c>
      <c r="C103" s="27" t="s">
        <v>13736</v>
      </c>
      <c r="E103" s="27" t="s">
        <v>55</v>
      </c>
      <c r="G103" s="27" t="s">
        <v>98</v>
      </c>
      <c r="H103" s="27" t="s">
        <v>13737</v>
      </c>
      <c r="T103" s="27" t="s">
        <v>50</v>
      </c>
      <c r="V103" s="27" t="s">
        <v>13738</v>
      </c>
      <c r="W103" s="27" t="s">
        <v>13631</v>
      </c>
    </row>
    <row r="104" customFormat="false" ht="15" hidden="false" customHeight="true" outlineLevel="0" collapsed="false">
      <c r="A104" s="27" t="s">
        <v>13739</v>
      </c>
      <c r="B104" s="27" t="s">
        <v>195</v>
      </c>
      <c r="C104" s="27" t="s">
        <v>13694</v>
      </c>
      <c r="E104" s="27" t="s">
        <v>55</v>
      </c>
      <c r="F104" s="27" t="s">
        <v>13740</v>
      </c>
      <c r="G104" s="27" t="s">
        <v>215</v>
      </c>
      <c r="H104" s="27" t="s">
        <v>13741</v>
      </c>
      <c r="T104" s="27" t="s">
        <v>50</v>
      </c>
      <c r="V104" s="27" t="s">
        <v>175</v>
      </c>
      <c r="W104" s="27" t="s">
        <v>13696</v>
      </c>
    </row>
    <row r="105" customFormat="false" ht="15" hidden="false" customHeight="true" outlineLevel="0" collapsed="false">
      <c r="A105" s="27" t="s">
        <v>13742</v>
      </c>
      <c r="B105" s="27" t="s">
        <v>861</v>
      </c>
      <c r="C105" s="27" t="s">
        <v>1332</v>
      </c>
      <c r="E105" s="27" t="s">
        <v>55</v>
      </c>
      <c r="F105" s="27" t="s">
        <v>6566</v>
      </c>
      <c r="G105" s="27" t="s">
        <v>98</v>
      </c>
      <c r="H105" s="27" t="s">
        <v>13743</v>
      </c>
      <c r="T105" s="27" t="s">
        <v>50</v>
      </c>
      <c r="V105" s="27" t="s">
        <v>1333</v>
      </c>
      <c r="W105" s="27" t="s">
        <v>13362</v>
      </c>
    </row>
    <row r="106" customFormat="false" ht="15" hidden="false" customHeight="true" outlineLevel="0" collapsed="false">
      <c r="A106" s="27" t="s">
        <v>13744</v>
      </c>
      <c r="B106" s="27" t="s">
        <v>13745</v>
      </c>
      <c r="C106" s="27" t="s">
        <v>13543</v>
      </c>
      <c r="E106" s="27" t="s">
        <v>55</v>
      </c>
      <c r="F106" s="27" t="s">
        <v>13544</v>
      </c>
      <c r="G106" s="27" t="s">
        <v>98</v>
      </c>
      <c r="H106" s="27" t="s">
        <v>13746</v>
      </c>
      <c r="T106" s="27" t="s">
        <v>50</v>
      </c>
      <c r="V106" s="27" t="s">
        <v>13546</v>
      </c>
      <c r="W106" s="27" t="s">
        <v>13522</v>
      </c>
    </row>
    <row r="107" customFormat="false" ht="15" hidden="false" customHeight="true" outlineLevel="0" collapsed="false">
      <c r="A107" s="27" t="s">
        <v>13747</v>
      </c>
      <c r="B107" s="27" t="s">
        <v>117</v>
      </c>
      <c r="C107" s="27" t="s">
        <v>3901</v>
      </c>
      <c r="E107" s="27" t="s">
        <v>55</v>
      </c>
      <c r="G107" s="27" t="s">
        <v>61</v>
      </c>
      <c r="H107" s="27" t="s">
        <v>13748</v>
      </c>
      <c r="I107" s="27" t="s">
        <v>13307</v>
      </c>
      <c r="J107" s="27" t="s">
        <v>13340</v>
      </c>
      <c r="K107" s="27" t="s">
        <v>13307</v>
      </c>
      <c r="L107" s="27" t="s">
        <v>13340</v>
      </c>
      <c r="M107" s="27" t="s">
        <v>13307</v>
      </c>
      <c r="N107" s="27" t="s">
        <v>13340</v>
      </c>
      <c r="P107" s="27" t="s">
        <v>13340</v>
      </c>
      <c r="R107" s="27" t="s">
        <v>13749</v>
      </c>
      <c r="T107" s="27" t="s">
        <v>50</v>
      </c>
      <c r="V107" s="27" t="s">
        <v>2778</v>
      </c>
      <c r="W107" s="27" t="s">
        <v>13379</v>
      </c>
    </row>
    <row r="108" customFormat="false" ht="15" hidden="false" customHeight="true" outlineLevel="0" collapsed="false">
      <c r="A108" s="27" t="s">
        <v>9839</v>
      </c>
      <c r="B108" s="27" t="s">
        <v>9953</v>
      </c>
      <c r="C108" s="27" t="s">
        <v>5821</v>
      </c>
      <c r="E108" s="27" t="s">
        <v>55</v>
      </c>
      <c r="F108" s="27" t="s">
        <v>5823</v>
      </c>
      <c r="G108" s="27" t="s">
        <v>215</v>
      </c>
      <c r="H108" s="27" t="s">
        <v>13750</v>
      </c>
      <c r="I108" s="27" t="s">
        <v>13751</v>
      </c>
      <c r="J108" s="27" t="s">
        <v>13309</v>
      </c>
      <c r="O108" s="27" t="s">
        <v>13751</v>
      </c>
      <c r="P108" s="27" t="s">
        <v>13309</v>
      </c>
      <c r="Q108" s="27" t="s">
        <v>13751</v>
      </c>
      <c r="R108" s="27" t="s">
        <v>13309</v>
      </c>
      <c r="T108" s="27" t="s">
        <v>50</v>
      </c>
      <c r="V108" s="27" t="s">
        <v>5822</v>
      </c>
      <c r="W108" s="27" t="s">
        <v>13602</v>
      </c>
    </row>
    <row r="109" customFormat="false" ht="17.25" hidden="false" customHeight="true" outlineLevel="0" collapsed="false">
      <c r="A109" s="27" t="s">
        <v>6588</v>
      </c>
      <c r="B109" s="27" t="s">
        <v>3524</v>
      </c>
      <c r="C109" s="27" t="s">
        <v>13752</v>
      </c>
      <c r="E109" s="27" t="s">
        <v>55</v>
      </c>
      <c r="G109" s="27" t="s">
        <v>345</v>
      </c>
      <c r="H109" s="27" t="s">
        <v>13753</v>
      </c>
      <c r="T109" s="27" t="s">
        <v>50</v>
      </c>
      <c r="U109" s="27" t="s">
        <v>421</v>
      </c>
      <c r="V109" s="27" t="s">
        <v>13754</v>
      </c>
      <c r="W109" s="27" t="s">
        <v>13522</v>
      </c>
    </row>
    <row r="110" customFormat="false" ht="17.25" hidden="false" customHeight="true" outlineLevel="0" collapsed="false">
      <c r="A110" s="27" t="s">
        <v>3589</v>
      </c>
      <c r="B110" s="27" t="s">
        <v>4419</v>
      </c>
      <c r="C110" s="27" t="s">
        <v>3081</v>
      </c>
      <c r="E110" s="27" t="s">
        <v>55</v>
      </c>
      <c r="F110" s="27" t="s">
        <v>13755</v>
      </c>
      <c r="G110" s="27" t="s">
        <v>215</v>
      </c>
      <c r="H110" s="27" t="s">
        <v>13756</v>
      </c>
      <c r="T110" s="27" t="s">
        <v>50</v>
      </c>
      <c r="V110" s="27" t="s">
        <v>2100</v>
      </c>
      <c r="W110" s="27" t="s">
        <v>13757</v>
      </c>
    </row>
    <row r="111" customFormat="false" ht="15" hidden="false" customHeight="true" outlineLevel="0" collapsed="false">
      <c r="A111" s="27" t="s">
        <v>13758</v>
      </c>
      <c r="B111" s="27" t="s">
        <v>1275</v>
      </c>
      <c r="C111" s="27" t="s">
        <v>5821</v>
      </c>
      <c r="E111" s="27" t="s">
        <v>55</v>
      </c>
      <c r="F111" s="27" t="s">
        <v>5823</v>
      </c>
      <c r="G111" s="27" t="s">
        <v>345</v>
      </c>
      <c r="H111" s="27" t="s">
        <v>13759</v>
      </c>
      <c r="T111" s="27" t="s">
        <v>50</v>
      </c>
      <c r="V111" s="27" t="s">
        <v>5822</v>
      </c>
      <c r="W111" s="27" t="s">
        <v>13602</v>
      </c>
    </row>
    <row r="112" customFormat="false" ht="15" hidden="false" customHeight="true" outlineLevel="0" collapsed="false">
      <c r="A112" s="27" t="s">
        <v>13760</v>
      </c>
      <c r="B112" s="27" t="s">
        <v>2633</v>
      </c>
      <c r="C112" s="27" t="s">
        <v>13761</v>
      </c>
      <c r="E112" s="27" t="s">
        <v>55</v>
      </c>
      <c r="F112" s="27" t="s">
        <v>13762</v>
      </c>
      <c r="G112" s="27" t="s">
        <v>345</v>
      </c>
      <c r="H112" s="27" t="s">
        <v>13763</v>
      </c>
      <c r="T112" s="27" t="s">
        <v>50</v>
      </c>
      <c r="V112" s="27" t="s">
        <v>2268</v>
      </c>
      <c r="W112" s="27" t="s">
        <v>13764</v>
      </c>
    </row>
    <row r="113" customFormat="false" ht="15" hidden="false" customHeight="true" outlineLevel="0" collapsed="false">
      <c r="A113" s="27" t="s">
        <v>13765</v>
      </c>
      <c r="B113" s="27" t="s">
        <v>7630</v>
      </c>
      <c r="C113" s="27" t="s">
        <v>3790</v>
      </c>
      <c r="E113" s="27" t="s">
        <v>55</v>
      </c>
      <c r="F113" s="27" t="s">
        <v>4955</v>
      </c>
      <c r="G113" s="27" t="s">
        <v>98</v>
      </c>
      <c r="H113" s="27" t="s">
        <v>13766</v>
      </c>
      <c r="T113" s="27" t="s">
        <v>50</v>
      </c>
      <c r="V113" s="27" t="s">
        <v>3791</v>
      </c>
      <c r="W113" s="27" t="s">
        <v>13331</v>
      </c>
    </row>
    <row r="114" customFormat="false" ht="15" hidden="false" customHeight="true" outlineLevel="0" collapsed="false">
      <c r="A114" s="27" t="s">
        <v>13767</v>
      </c>
      <c r="B114" s="27" t="s">
        <v>4324</v>
      </c>
      <c r="C114" s="27" t="s">
        <v>5915</v>
      </c>
      <c r="E114" s="27" t="s">
        <v>55</v>
      </c>
      <c r="F114" s="27" t="s">
        <v>5916</v>
      </c>
      <c r="G114" s="27" t="s">
        <v>61</v>
      </c>
      <c r="H114" s="27" t="s">
        <v>13768</v>
      </c>
      <c r="T114" s="27" t="s">
        <v>50</v>
      </c>
      <c r="V114" s="27" t="s">
        <v>2883</v>
      </c>
      <c r="W114" s="27" t="s">
        <v>13769</v>
      </c>
    </row>
    <row r="115" customFormat="false" ht="15" hidden="false" customHeight="true" outlineLevel="0" collapsed="false">
      <c r="A115" s="27" t="s">
        <v>1181</v>
      </c>
      <c r="B115" s="27" t="s">
        <v>727</v>
      </c>
      <c r="C115" s="27" t="s">
        <v>13694</v>
      </c>
      <c r="E115" s="27" t="s">
        <v>55</v>
      </c>
      <c r="G115" s="27" t="s">
        <v>98</v>
      </c>
      <c r="H115" s="27" t="s">
        <v>13770</v>
      </c>
      <c r="I115" s="27" t="s">
        <v>13315</v>
      </c>
      <c r="J115" s="27" t="s">
        <v>13309</v>
      </c>
      <c r="K115" s="27" t="s">
        <v>13315</v>
      </c>
      <c r="L115" s="27" t="s">
        <v>13309</v>
      </c>
      <c r="M115" s="27" t="s">
        <v>13315</v>
      </c>
      <c r="N115" s="27" t="s">
        <v>13309</v>
      </c>
      <c r="O115" s="27" t="s">
        <v>13315</v>
      </c>
      <c r="P115" s="27" t="s">
        <v>13309</v>
      </c>
      <c r="Q115" s="27" t="s">
        <v>13315</v>
      </c>
      <c r="R115" s="27" t="s">
        <v>13309</v>
      </c>
      <c r="T115" s="27" t="s">
        <v>50</v>
      </c>
      <c r="V115" s="27" t="s">
        <v>175</v>
      </c>
      <c r="W115" s="27" t="s">
        <v>13696</v>
      </c>
    </row>
    <row r="116" customFormat="false" ht="15" hidden="false" customHeight="true" outlineLevel="0" collapsed="false">
      <c r="A116" s="27" t="s">
        <v>7641</v>
      </c>
      <c r="B116" s="27" t="s">
        <v>332</v>
      </c>
      <c r="C116" s="27" t="s">
        <v>13771</v>
      </c>
      <c r="E116" s="27" t="s">
        <v>55</v>
      </c>
      <c r="G116" s="27" t="s">
        <v>215</v>
      </c>
      <c r="H116" s="27" t="s">
        <v>13772</v>
      </c>
      <c r="T116" s="27" t="s">
        <v>50</v>
      </c>
      <c r="V116" s="27" t="s">
        <v>1041</v>
      </c>
      <c r="W116" s="27" t="s">
        <v>13316</v>
      </c>
    </row>
    <row r="117" customFormat="false" ht="17.25" hidden="false" customHeight="true" outlineLevel="0" collapsed="false">
      <c r="A117" s="27" t="s">
        <v>486</v>
      </c>
      <c r="B117" s="27" t="s">
        <v>5505</v>
      </c>
      <c r="C117" s="27" t="s">
        <v>13694</v>
      </c>
      <c r="E117" s="27" t="s">
        <v>55</v>
      </c>
      <c r="F117" s="27" t="s">
        <v>13740</v>
      </c>
      <c r="G117" s="27" t="s">
        <v>215</v>
      </c>
      <c r="H117" s="27" t="s">
        <v>13773</v>
      </c>
      <c r="T117" s="27" t="s">
        <v>50</v>
      </c>
      <c r="U117" s="27" t="s">
        <v>2802</v>
      </c>
      <c r="V117" s="27" t="s">
        <v>175</v>
      </c>
      <c r="W117" s="27" t="s">
        <v>13696</v>
      </c>
    </row>
    <row r="118" customFormat="false" ht="15" hidden="false" customHeight="true" outlineLevel="0" collapsed="false">
      <c r="A118" s="27" t="s">
        <v>13774</v>
      </c>
      <c r="B118" s="27" t="s">
        <v>399</v>
      </c>
      <c r="C118" s="27" t="s">
        <v>13775</v>
      </c>
      <c r="E118" s="27" t="s">
        <v>55</v>
      </c>
      <c r="F118" s="27" t="s">
        <v>13776</v>
      </c>
      <c r="G118" s="27" t="s">
        <v>345</v>
      </c>
      <c r="H118" s="27" t="s">
        <v>13777</v>
      </c>
      <c r="T118" s="27" t="s">
        <v>50</v>
      </c>
      <c r="V118" s="27" t="s">
        <v>1637</v>
      </c>
      <c r="W118" s="27" t="s">
        <v>13570</v>
      </c>
    </row>
    <row r="119" customFormat="false" ht="15" hidden="false" customHeight="true" outlineLevel="0" collapsed="false">
      <c r="A119" s="27" t="s">
        <v>13778</v>
      </c>
      <c r="B119" s="27" t="s">
        <v>13779</v>
      </c>
      <c r="C119" s="27" t="s">
        <v>13780</v>
      </c>
      <c r="E119" s="27" t="s">
        <v>55</v>
      </c>
      <c r="F119" s="27" t="s">
        <v>13781</v>
      </c>
      <c r="G119" s="27" t="s">
        <v>345</v>
      </c>
      <c r="H119" s="27" t="s">
        <v>13782</v>
      </c>
      <c r="T119" s="27" t="s">
        <v>50</v>
      </c>
      <c r="V119" s="27" t="s">
        <v>1340</v>
      </c>
      <c r="W119" s="27" t="s">
        <v>13783</v>
      </c>
    </row>
    <row r="120" customFormat="false" ht="15" hidden="false" customHeight="true" outlineLevel="0" collapsed="false">
      <c r="A120" s="27" t="s">
        <v>13784</v>
      </c>
      <c r="B120" s="27" t="s">
        <v>183</v>
      </c>
      <c r="C120" s="27" t="s">
        <v>13785</v>
      </c>
      <c r="E120" s="27" t="s">
        <v>13786</v>
      </c>
      <c r="G120" s="27" t="s">
        <v>345</v>
      </c>
      <c r="H120" s="27" t="s">
        <v>13787</v>
      </c>
      <c r="T120" s="27" t="s">
        <v>50</v>
      </c>
      <c r="V120" s="27" t="s">
        <v>4321</v>
      </c>
      <c r="W120" s="27" t="s">
        <v>13788</v>
      </c>
    </row>
    <row r="121" customFormat="false" ht="15" hidden="false" customHeight="true" outlineLevel="0" collapsed="false">
      <c r="A121" s="27" t="s">
        <v>2860</v>
      </c>
      <c r="B121" s="27" t="s">
        <v>4407</v>
      </c>
      <c r="C121" s="27" t="s">
        <v>13789</v>
      </c>
      <c r="E121" s="27" t="s">
        <v>55</v>
      </c>
      <c r="G121" s="27" t="s">
        <v>98</v>
      </c>
      <c r="H121" s="27" t="s">
        <v>13790</v>
      </c>
      <c r="T121" s="27" t="s">
        <v>50</v>
      </c>
      <c r="V121" s="27" t="s">
        <v>4165</v>
      </c>
      <c r="W121" s="27" t="s">
        <v>13508</v>
      </c>
    </row>
    <row r="122" customFormat="false" ht="17.25" hidden="false" customHeight="true" outlineLevel="0" collapsed="false">
      <c r="A122" s="27" t="s">
        <v>13791</v>
      </c>
      <c r="B122" s="27" t="s">
        <v>13792</v>
      </c>
      <c r="C122" s="27" t="s">
        <v>1307</v>
      </c>
      <c r="E122" s="27" t="s">
        <v>55</v>
      </c>
      <c r="F122" s="27" t="s">
        <v>1309</v>
      </c>
      <c r="G122" s="27" t="s">
        <v>98</v>
      </c>
      <c r="H122" s="27" t="s">
        <v>13793</v>
      </c>
      <c r="T122" s="27" t="s">
        <v>50</v>
      </c>
      <c r="V122" s="27" t="s">
        <v>1308</v>
      </c>
      <c r="W122" s="27" t="s">
        <v>13394</v>
      </c>
    </row>
    <row r="123" customFormat="false" ht="17.25" hidden="false" customHeight="true" outlineLevel="0" collapsed="false">
      <c r="A123" s="27" t="s">
        <v>6909</v>
      </c>
      <c r="B123" s="27" t="s">
        <v>195</v>
      </c>
      <c r="C123" s="27" t="s">
        <v>3790</v>
      </c>
      <c r="E123" s="27" t="s">
        <v>55</v>
      </c>
      <c r="F123" s="27" t="s">
        <v>13794</v>
      </c>
      <c r="G123" s="27" t="s">
        <v>98</v>
      </c>
      <c r="H123" s="27" t="s">
        <v>13795</v>
      </c>
      <c r="T123" s="27" t="s">
        <v>50</v>
      </c>
      <c r="V123" s="27" t="s">
        <v>3791</v>
      </c>
      <c r="W123" s="27" t="s">
        <v>13331</v>
      </c>
    </row>
    <row r="124" customFormat="false" ht="15" hidden="false" customHeight="true" outlineLevel="0" collapsed="false">
      <c r="A124" s="27" t="s">
        <v>13796</v>
      </c>
      <c r="B124" s="27" t="s">
        <v>151</v>
      </c>
      <c r="C124" s="27" t="s">
        <v>13797</v>
      </c>
      <c r="E124" s="27" t="s">
        <v>55</v>
      </c>
      <c r="F124" s="27" t="s">
        <v>13798</v>
      </c>
      <c r="G124" s="27" t="s">
        <v>215</v>
      </c>
      <c r="H124" s="27" t="s">
        <v>13799</v>
      </c>
      <c r="T124" s="27" t="s">
        <v>50</v>
      </c>
      <c r="V124" s="27" t="s">
        <v>8231</v>
      </c>
      <c r="W124" s="27" t="s">
        <v>13800</v>
      </c>
    </row>
    <row r="125" customFormat="false" ht="15" hidden="false" customHeight="true" outlineLevel="0" collapsed="false">
      <c r="A125" s="27" t="s">
        <v>13801</v>
      </c>
      <c r="B125" s="27" t="s">
        <v>13802</v>
      </c>
      <c r="C125" s="27" t="s">
        <v>8767</v>
      </c>
      <c r="E125" s="27" t="s">
        <v>55</v>
      </c>
      <c r="F125" s="27" t="s">
        <v>13803</v>
      </c>
      <c r="G125" s="27" t="s">
        <v>98</v>
      </c>
      <c r="H125" s="27" t="s">
        <v>13804</v>
      </c>
      <c r="I125" s="27" t="s">
        <v>13315</v>
      </c>
      <c r="J125" s="27" t="s">
        <v>13309</v>
      </c>
      <c r="K125" s="27" t="s">
        <v>13315</v>
      </c>
      <c r="L125" s="27" t="s">
        <v>13309</v>
      </c>
      <c r="N125" s="27" t="s">
        <v>13309</v>
      </c>
      <c r="O125" s="27" t="s">
        <v>13315</v>
      </c>
      <c r="P125" s="27" t="s">
        <v>13309</v>
      </c>
      <c r="Q125" s="27" t="s">
        <v>13315</v>
      </c>
      <c r="R125" s="27" t="s">
        <v>13309</v>
      </c>
      <c r="T125" s="27" t="s">
        <v>50</v>
      </c>
      <c r="V125" s="27" t="s">
        <v>175</v>
      </c>
      <c r="W125" s="27" t="s">
        <v>13374</v>
      </c>
    </row>
    <row r="126" customFormat="false" ht="15" hidden="false" customHeight="true" outlineLevel="0" collapsed="false">
      <c r="A126" s="27" t="s">
        <v>3948</v>
      </c>
      <c r="B126" s="27" t="s">
        <v>332</v>
      </c>
      <c r="C126" s="27" t="s">
        <v>3769</v>
      </c>
      <c r="E126" s="27" t="s">
        <v>55</v>
      </c>
      <c r="F126" s="27" t="s">
        <v>13805</v>
      </c>
      <c r="G126" s="27" t="s">
        <v>98</v>
      </c>
      <c r="H126" s="27" t="s">
        <v>13806</v>
      </c>
      <c r="T126" s="27" t="s">
        <v>50</v>
      </c>
      <c r="V126" s="27" t="s">
        <v>1988</v>
      </c>
      <c r="W126" s="27" t="s">
        <v>13394</v>
      </c>
    </row>
    <row r="127" customFormat="false" ht="15" hidden="false" customHeight="true" outlineLevel="0" collapsed="false">
      <c r="A127" s="27" t="s">
        <v>13807</v>
      </c>
      <c r="B127" s="27" t="s">
        <v>2794</v>
      </c>
      <c r="C127" s="27" t="s">
        <v>13808</v>
      </c>
      <c r="E127" s="27" t="s">
        <v>55</v>
      </c>
      <c r="F127" s="27" t="s">
        <v>13809</v>
      </c>
      <c r="G127" s="27" t="s">
        <v>215</v>
      </c>
      <c r="H127" s="27" t="s">
        <v>13810</v>
      </c>
      <c r="T127" s="27" t="s">
        <v>50</v>
      </c>
      <c r="U127" s="27" t="s">
        <v>421</v>
      </c>
      <c r="V127" s="27" t="s">
        <v>1627</v>
      </c>
      <c r="W127" s="27" t="s">
        <v>13602</v>
      </c>
    </row>
    <row r="128" customFormat="false" ht="15" hidden="false" customHeight="true" outlineLevel="0" collapsed="false">
      <c r="A128" s="27" t="s">
        <v>13811</v>
      </c>
      <c r="B128" s="27" t="s">
        <v>619</v>
      </c>
      <c r="C128" s="27" t="s">
        <v>13812</v>
      </c>
      <c r="E128" s="27" t="s">
        <v>55</v>
      </c>
      <c r="F128" s="27" t="s">
        <v>13813</v>
      </c>
      <c r="G128" s="27" t="s">
        <v>215</v>
      </c>
      <c r="H128" s="27" t="s">
        <v>13814</v>
      </c>
      <c r="T128" s="27" t="s">
        <v>50</v>
      </c>
      <c r="V128" s="27" t="s">
        <v>1627</v>
      </c>
      <c r="W128" s="27" t="s">
        <v>13482</v>
      </c>
    </row>
    <row r="129" customFormat="false" ht="15" hidden="false" customHeight="true" outlineLevel="0" collapsed="false">
      <c r="A129" s="27" t="s">
        <v>13815</v>
      </c>
      <c r="B129" s="27" t="s">
        <v>353</v>
      </c>
      <c r="C129" s="27" t="s">
        <v>13548</v>
      </c>
      <c r="E129" s="27" t="s">
        <v>55</v>
      </c>
      <c r="G129" s="27" t="s">
        <v>345</v>
      </c>
      <c r="H129" s="27" t="s">
        <v>13816</v>
      </c>
      <c r="T129" s="27" t="s">
        <v>50</v>
      </c>
      <c r="V129" s="27" t="s">
        <v>389</v>
      </c>
      <c r="W129" s="27" t="s">
        <v>13551</v>
      </c>
    </row>
    <row r="130" customFormat="false" ht="15" hidden="false" customHeight="true" outlineLevel="0" collapsed="false">
      <c r="A130" s="27" t="s">
        <v>13817</v>
      </c>
      <c r="B130" s="27" t="s">
        <v>170</v>
      </c>
      <c r="C130" s="27" t="s">
        <v>13818</v>
      </c>
      <c r="E130" s="27" t="s">
        <v>55</v>
      </c>
      <c r="G130" s="27" t="s">
        <v>98</v>
      </c>
      <c r="H130" s="27" t="s">
        <v>13819</v>
      </c>
      <c r="T130" s="27" t="s">
        <v>50</v>
      </c>
      <c r="V130" s="27" t="s">
        <v>3105</v>
      </c>
      <c r="W130" s="27" t="s">
        <v>13661</v>
      </c>
    </row>
    <row r="131" customFormat="false" ht="15" hidden="false" customHeight="true" outlineLevel="0" collapsed="false">
      <c r="A131" s="27" t="s">
        <v>9489</v>
      </c>
      <c r="B131" s="27" t="s">
        <v>958</v>
      </c>
      <c r="C131" s="27" t="s">
        <v>13820</v>
      </c>
      <c r="E131" s="27" t="s">
        <v>55</v>
      </c>
      <c r="G131" s="27" t="s">
        <v>98</v>
      </c>
      <c r="H131" s="27" t="s">
        <v>13821</v>
      </c>
      <c r="T131" s="27" t="s">
        <v>50</v>
      </c>
      <c r="V131" s="27" t="s">
        <v>13822</v>
      </c>
      <c r="W131" s="27" t="s">
        <v>13558</v>
      </c>
    </row>
    <row r="132" customFormat="false" ht="17.25" hidden="false" customHeight="true" outlineLevel="0" collapsed="false">
      <c r="A132" s="27" t="s">
        <v>13823</v>
      </c>
      <c r="B132" s="27" t="s">
        <v>419</v>
      </c>
      <c r="C132" s="27" t="s">
        <v>13824</v>
      </c>
      <c r="E132" s="27" t="s">
        <v>55</v>
      </c>
      <c r="G132" s="27" t="s">
        <v>98</v>
      </c>
      <c r="H132" s="27" t="s">
        <v>13825</v>
      </c>
      <c r="I132" s="27" t="s">
        <v>13826</v>
      </c>
      <c r="J132" s="27" t="s">
        <v>13827</v>
      </c>
      <c r="K132" s="27" t="s">
        <v>13826</v>
      </c>
      <c r="L132" s="27" t="s">
        <v>13827</v>
      </c>
      <c r="M132" s="27" t="s">
        <v>13828</v>
      </c>
      <c r="N132" s="27" t="s">
        <v>13827</v>
      </c>
      <c r="O132" s="27" t="s">
        <v>13826</v>
      </c>
      <c r="P132" s="27" t="s">
        <v>13827</v>
      </c>
      <c r="Q132" s="27" t="s">
        <v>13826</v>
      </c>
      <c r="R132" s="27" t="s">
        <v>13827</v>
      </c>
      <c r="T132" s="27" t="s">
        <v>50</v>
      </c>
      <c r="V132" s="27" t="s">
        <v>13829</v>
      </c>
      <c r="W132" s="27" t="s">
        <v>13492</v>
      </c>
    </row>
    <row r="133" customFormat="false" ht="15" hidden="false" customHeight="true" outlineLevel="0" collapsed="false">
      <c r="A133" s="27" t="s">
        <v>13830</v>
      </c>
      <c r="B133" s="27" t="s">
        <v>1007</v>
      </c>
      <c r="C133" s="27" t="s">
        <v>11135</v>
      </c>
      <c r="E133" s="27" t="s">
        <v>55</v>
      </c>
      <c r="F133" s="27" t="s">
        <v>13831</v>
      </c>
      <c r="G133" s="27" t="s">
        <v>61</v>
      </c>
      <c r="H133" s="27" t="s">
        <v>13832</v>
      </c>
      <c r="I133" s="27" t="s">
        <v>13307</v>
      </c>
      <c r="J133" s="27" t="s">
        <v>13308</v>
      </c>
      <c r="M133" s="27" t="s">
        <v>13341</v>
      </c>
      <c r="N133" s="27" t="s">
        <v>13833</v>
      </c>
      <c r="O133" s="27" t="s">
        <v>13341</v>
      </c>
      <c r="P133" s="27" t="s">
        <v>13833</v>
      </c>
      <c r="T133" s="27" t="s">
        <v>50</v>
      </c>
      <c r="V133" s="27" t="s">
        <v>2412</v>
      </c>
      <c r="W133" s="27" t="s">
        <v>13335</v>
      </c>
    </row>
    <row r="134" customFormat="false" ht="17.25" hidden="false" customHeight="true" outlineLevel="0" collapsed="false">
      <c r="A134" s="27" t="s">
        <v>2541</v>
      </c>
      <c r="B134" s="27" t="s">
        <v>3958</v>
      </c>
      <c r="C134" s="27" t="s">
        <v>1987</v>
      </c>
      <c r="E134" s="27" t="s">
        <v>55</v>
      </c>
      <c r="F134" s="27" t="s">
        <v>13834</v>
      </c>
      <c r="G134" s="27" t="s">
        <v>98</v>
      </c>
      <c r="H134" s="27" t="s">
        <v>13835</v>
      </c>
      <c r="T134" s="27" t="s">
        <v>50</v>
      </c>
      <c r="V134" s="27" t="s">
        <v>1988</v>
      </c>
      <c r="W134" s="27" t="s">
        <v>13617</v>
      </c>
    </row>
    <row r="135" customFormat="false" ht="15" hidden="false" customHeight="true" outlineLevel="0" collapsed="false">
      <c r="A135" s="27" t="s">
        <v>13836</v>
      </c>
      <c r="B135" s="27" t="s">
        <v>13837</v>
      </c>
      <c r="C135" s="27" t="s">
        <v>13678</v>
      </c>
      <c r="E135" s="27" t="s">
        <v>55</v>
      </c>
      <c r="G135" s="27" t="s">
        <v>215</v>
      </c>
      <c r="H135" s="27" t="s">
        <v>13838</v>
      </c>
      <c r="I135" s="27" t="s">
        <v>13341</v>
      </c>
      <c r="J135" s="27" t="s">
        <v>13309</v>
      </c>
      <c r="K135" s="27" t="s">
        <v>13341</v>
      </c>
      <c r="L135" s="27" t="s">
        <v>13309</v>
      </c>
      <c r="M135" s="27" t="s">
        <v>13839</v>
      </c>
      <c r="O135" s="27" t="s">
        <v>13341</v>
      </c>
      <c r="P135" s="27" t="s">
        <v>13309</v>
      </c>
      <c r="Q135" s="27" t="s">
        <v>13341</v>
      </c>
      <c r="R135" s="27" t="s">
        <v>13309</v>
      </c>
      <c r="T135" s="27" t="s">
        <v>50</v>
      </c>
      <c r="V135" s="27" t="s">
        <v>7079</v>
      </c>
      <c r="W135" s="27" t="s">
        <v>13681</v>
      </c>
    </row>
    <row r="136" customFormat="false" ht="15" hidden="false" customHeight="true" outlineLevel="0" collapsed="false">
      <c r="A136" s="27" t="s">
        <v>13840</v>
      </c>
      <c r="B136" s="27" t="s">
        <v>13841</v>
      </c>
      <c r="C136" s="27" t="s">
        <v>13842</v>
      </c>
      <c r="E136" s="27" t="s">
        <v>55</v>
      </c>
      <c r="G136" s="27" t="s">
        <v>98</v>
      </c>
      <c r="H136" s="27" t="s">
        <v>13843</v>
      </c>
      <c r="L136" s="27" t="s">
        <v>13445</v>
      </c>
      <c r="O136" s="27" t="s">
        <v>13373</v>
      </c>
      <c r="T136" s="27" t="s">
        <v>50</v>
      </c>
      <c r="U136" s="27" t="s">
        <v>2802</v>
      </c>
      <c r="V136" s="27" t="s">
        <v>13844</v>
      </c>
      <c r="W136" s="27" t="s">
        <v>13348</v>
      </c>
    </row>
    <row r="137" customFormat="false" ht="17.25" hidden="false" customHeight="true" outlineLevel="0" collapsed="false">
      <c r="A137" s="27" t="s">
        <v>13845</v>
      </c>
      <c r="B137" s="27" t="s">
        <v>3527</v>
      </c>
      <c r="C137" s="27" t="s">
        <v>13538</v>
      </c>
      <c r="E137" s="27" t="s">
        <v>55</v>
      </c>
      <c r="F137" s="27" t="s">
        <v>13846</v>
      </c>
      <c r="G137" s="27" t="s">
        <v>345</v>
      </c>
      <c r="H137" s="27" t="s">
        <v>13847</v>
      </c>
      <c r="T137" s="27" t="s">
        <v>50</v>
      </c>
      <c r="V137" s="27" t="s">
        <v>3058</v>
      </c>
      <c r="W137" s="27" t="s">
        <v>13541</v>
      </c>
    </row>
    <row r="138" customFormat="false" ht="17.25" hidden="false" customHeight="true" outlineLevel="0" collapsed="false">
      <c r="A138" s="27" t="s">
        <v>13848</v>
      </c>
      <c r="B138" s="27" t="s">
        <v>958</v>
      </c>
      <c r="C138" s="27" t="s">
        <v>3182</v>
      </c>
      <c r="E138" s="27" t="s">
        <v>55</v>
      </c>
      <c r="F138" s="27" t="s">
        <v>13849</v>
      </c>
      <c r="G138" s="27" t="s">
        <v>215</v>
      </c>
      <c r="H138" s="27" t="s">
        <v>13850</v>
      </c>
      <c r="J138" s="27" t="s">
        <v>13851</v>
      </c>
      <c r="N138" s="27" t="s">
        <v>13851</v>
      </c>
      <c r="P138" s="27" t="s">
        <v>13852</v>
      </c>
      <c r="T138" s="27" t="s">
        <v>50</v>
      </c>
      <c r="V138" s="27" t="s">
        <v>3039</v>
      </c>
      <c r="W138" s="27" t="s">
        <v>13602</v>
      </c>
    </row>
    <row r="139" customFormat="false" ht="15" hidden="false" customHeight="true" outlineLevel="0" collapsed="false">
      <c r="A139" s="27" t="s">
        <v>13853</v>
      </c>
      <c r="B139" s="27" t="s">
        <v>332</v>
      </c>
      <c r="C139" s="27" t="s">
        <v>6387</v>
      </c>
      <c r="E139" s="27" t="s">
        <v>55</v>
      </c>
      <c r="G139" s="27" t="s">
        <v>98</v>
      </c>
      <c r="H139" s="27" t="s">
        <v>13854</v>
      </c>
      <c r="T139" s="27" t="s">
        <v>50</v>
      </c>
      <c r="V139" s="27" t="s">
        <v>3039</v>
      </c>
      <c r="W139" s="27" t="s">
        <v>13394</v>
      </c>
    </row>
    <row r="140" customFormat="false" ht="15" hidden="false" customHeight="true" outlineLevel="0" collapsed="false">
      <c r="A140" s="27" t="s">
        <v>13855</v>
      </c>
      <c r="B140" s="27" t="s">
        <v>643</v>
      </c>
      <c r="C140" s="27" t="s">
        <v>13856</v>
      </c>
      <c r="E140" s="27" t="s">
        <v>55</v>
      </c>
      <c r="F140" s="27" t="s">
        <v>13857</v>
      </c>
      <c r="G140" s="27" t="s">
        <v>215</v>
      </c>
      <c r="H140" s="27" t="s">
        <v>13858</v>
      </c>
      <c r="T140" s="27" t="s">
        <v>50</v>
      </c>
      <c r="U140" s="27" t="s">
        <v>386</v>
      </c>
      <c r="V140" s="27" t="s">
        <v>1637</v>
      </c>
      <c r="W140" s="27" t="s">
        <v>13859</v>
      </c>
    </row>
    <row r="141" customFormat="false" ht="15" hidden="false" customHeight="true" outlineLevel="0" collapsed="false">
      <c r="A141" s="27" t="s">
        <v>13860</v>
      </c>
      <c r="B141" s="27" t="s">
        <v>4897</v>
      </c>
      <c r="C141" s="27" t="s">
        <v>13861</v>
      </c>
      <c r="E141" s="27" t="s">
        <v>55</v>
      </c>
      <c r="F141" s="27" t="s">
        <v>13862</v>
      </c>
      <c r="G141" s="27" t="s">
        <v>215</v>
      </c>
      <c r="H141" s="27" t="s">
        <v>13863</v>
      </c>
      <c r="T141" s="27" t="s">
        <v>50</v>
      </c>
      <c r="V141" s="27" t="s">
        <v>175</v>
      </c>
      <c r="W141" s="27" t="s">
        <v>13864</v>
      </c>
    </row>
    <row r="142" customFormat="false" ht="17.25" hidden="false" customHeight="true" outlineLevel="0" collapsed="false">
      <c r="A142" s="27" t="s">
        <v>13865</v>
      </c>
      <c r="B142" s="27" t="s">
        <v>3011</v>
      </c>
      <c r="C142" s="27" t="s">
        <v>13866</v>
      </c>
      <c r="E142" s="27" t="s">
        <v>55</v>
      </c>
      <c r="F142" s="27" t="s">
        <v>13867</v>
      </c>
      <c r="G142" s="27" t="s">
        <v>98</v>
      </c>
      <c r="H142" s="27" t="s">
        <v>13868</v>
      </c>
      <c r="T142" s="27" t="s">
        <v>50</v>
      </c>
      <c r="V142" s="27" t="s">
        <v>13869</v>
      </c>
      <c r="W142" s="27" t="s">
        <v>13592</v>
      </c>
    </row>
    <row r="143" customFormat="false" ht="15" hidden="false" customHeight="true" outlineLevel="0" collapsed="false">
      <c r="A143" s="27" t="s">
        <v>13870</v>
      </c>
      <c r="B143" s="27" t="s">
        <v>5952</v>
      </c>
      <c r="C143" s="27" t="s">
        <v>13529</v>
      </c>
      <c r="E143" s="27" t="s">
        <v>55</v>
      </c>
      <c r="F143" s="27" t="s">
        <v>13871</v>
      </c>
      <c r="G143" s="27" t="s">
        <v>215</v>
      </c>
      <c r="H143" s="27" t="s">
        <v>13872</v>
      </c>
      <c r="T143" s="27" t="s">
        <v>50</v>
      </c>
      <c r="U143" s="27" t="s">
        <v>386</v>
      </c>
      <c r="V143" s="27" t="s">
        <v>2499</v>
      </c>
      <c r="W143" s="27" t="s">
        <v>13531</v>
      </c>
    </row>
    <row r="144" customFormat="false" ht="15" hidden="false" customHeight="true" outlineLevel="0" collapsed="false">
      <c r="A144" s="27" t="s">
        <v>13873</v>
      </c>
      <c r="B144" s="27" t="s">
        <v>1236</v>
      </c>
      <c r="C144" s="27" t="s">
        <v>13543</v>
      </c>
      <c r="E144" s="27" t="s">
        <v>55</v>
      </c>
      <c r="F144" s="27" t="s">
        <v>13544</v>
      </c>
      <c r="G144" s="27" t="s">
        <v>61</v>
      </c>
      <c r="H144" s="27" t="s">
        <v>13874</v>
      </c>
      <c r="T144" s="27" t="s">
        <v>50</v>
      </c>
      <c r="V144" s="27" t="s">
        <v>13546</v>
      </c>
      <c r="W144" s="27" t="s">
        <v>13522</v>
      </c>
    </row>
    <row r="145" customFormat="false" ht="15" hidden="false" customHeight="true" outlineLevel="0" collapsed="false">
      <c r="A145" s="27" t="s">
        <v>13875</v>
      </c>
      <c r="B145" s="27" t="s">
        <v>1226</v>
      </c>
      <c r="C145" s="27" t="s">
        <v>4320</v>
      </c>
      <c r="E145" s="27" t="s">
        <v>55</v>
      </c>
      <c r="F145" s="27" t="s">
        <v>13876</v>
      </c>
      <c r="G145" s="27" t="s">
        <v>215</v>
      </c>
      <c r="H145" s="27" t="s">
        <v>13877</v>
      </c>
      <c r="T145" s="27" t="s">
        <v>50</v>
      </c>
      <c r="V145" s="27" t="s">
        <v>4321</v>
      </c>
      <c r="W145" s="27" t="s">
        <v>13492</v>
      </c>
    </row>
    <row r="146" customFormat="false" ht="15" hidden="false" customHeight="true" outlineLevel="0" collapsed="false">
      <c r="A146" s="27" t="s">
        <v>13878</v>
      </c>
      <c r="B146" s="27" t="s">
        <v>142</v>
      </c>
      <c r="C146" s="27" t="s">
        <v>13879</v>
      </c>
      <c r="E146" s="27" t="s">
        <v>55</v>
      </c>
      <c r="F146" s="27" t="s">
        <v>13880</v>
      </c>
      <c r="G146" s="27" t="s">
        <v>215</v>
      </c>
      <c r="H146" s="27" t="s">
        <v>13881</v>
      </c>
      <c r="T146" s="27" t="s">
        <v>50</v>
      </c>
      <c r="U146" s="27" t="s">
        <v>386</v>
      </c>
      <c r="V146" s="27" t="s">
        <v>10694</v>
      </c>
      <c r="W146" s="27" t="s">
        <v>13348</v>
      </c>
    </row>
    <row r="147" customFormat="false" ht="15" hidden="false" customHeight="true" outlineLevel="0" collapsed="false">
      <c r="A147" s="27" t="s">
        <v>10345</v>
      </c>
      <c r="B147" s="27" t="s">
        <v>3570</v>
      </c>
      <c r="C147" s="27" t="s">
        <v>13882</v>
      </c>
      <c r="E147" s="27" t="s">
        <v>55</v>
      </c>
      <c r="F147" s="27" t="s">
        <v>10349</v>
      </c>
      <c r="G147" s="27" t="s">
        <v>215</v>
      </c>
      <c r="H147" s="27" t="s">
        <v>13883</v>
      </c>
      <c r="T147" s="27" t="s">
        <v>50</v>
      </c>
      <c r="V147" s="27" t="s">
        <v>13884</v>
      </c>
      <c r="W147" s="27" t="s">
        <v>13492</v>
      </c>
    </row>
    <row r="148" customFormat="false" ht="17.25" hidden="false" customHeight="true" outlineLevel="0" collapsed="false">
      <c r="A148" s="27" t="s">
        <v>6697</v>
      </c>
      <c r="B148" s="27" t="s">
        <v>13885</v>
      </c>
      <c r="C148" s="27" t="s">
        <v>5260</v>
      </c>
      <c r="E148" s="27" t="s">
        <v>55</v>
      </c>
      <c r="F148" s="27" t="s">
        <v>13886</v>
      </c>
      <c r="G148" s="27" t="s">
        <v>98</v>
      </c>
      <c r="H148" s="27" t="s">
        <v>13887</v>
      </c>
      <c r="I148" s="27" t="s">
        <v>13307</v>
      </c>
      <c r="J148" s="27" t="s">
        <v>13445</v>
      </c>
      <c r="K148" s="27" t="s">
        <v>13526</v>
      </c>
      <c r="L148" s="27" t="s">
        <v>13888</v>
      </c>
      <c r="O148" s="27" t="s">
        <v>13889</v>
      </c>
      <c r="T148" s="27" t="s">
        <v>50</v>
      </c>
      <c r="V148" s="27" t="s">
        <v>5261</v>
      </c>
      <c r="W148" s="27" t="s">
        <v>13458</v>
      </c>
    </row>
    <row r="149" customFormat="false" ht="17.25" hidden="false" customHeight="true" outlineLevel="0" collapsed="false">
      <c r="A149" s="27" t="s">
        <v>13890</v>
      </c>
      <c r="B149" s="27" t="s">
        <v>13891</v>
      </c>
      <c r="C149" s="27" t="s">
        <v>13892</v>
      </c>
      <c r="E149" s="27" t="s">
        <v>55</v>
      </c>
      <c r="G149" s="27" t="s">
        <v>215</v>
      </c>
      <c r="H149" s="27" t="s">
        <v>13893</v>
      </c>
      <c r="T149" s="27" t="s">
        <v>50</v>
      </c>
      <c r="V149" s="27" t="s">
        <v>3806</v>
      </c>
      <c r="W149" s="27" t="s">
        <v>13894</v>
      </c>
    </row>
    <row r="150" customFormat="false" ht="15" hidden="false" customHeight="true" outlineLevel="0" collapsed="false">
      <c r="A150" s="27" t="s">
        <v>13895</v>
      </c>
      <c r="B150" s="27" t="s">
        <v>13896</v>
      </c>
      <c r="C150" s="27" t="s">
        <v>13897</v>
      </c>
      <c r="E150" s="27" t="s">
        <v>55</v>
      </c>
      <c r="G150" s="27" t="s">
        <v>345</v>
      </c>
      <c r="H150" s="27" t="s">
        <v>13898</v>
      </c>
      <c r="T150" s="27" t="s">
        <v>50</v>
      </c>
      <c r="U150" s="27" t="s">
        <v>386</v>
      </c>
      <c r="V150" s="27" t="s">
        <v>1213</v>
      </c>
      <c r="W150" s="27" t="s">
        <v>13379</v>
      </c>
    </row>
    <row r="151" customFormat="false" ht="15" hidden="false" customHeight="true" outlineLevel="0" collapsed="false">
      <c r="A151" s="27" t="s">
        <v>4958</v>
      </c>
      <c r="B151" s="27" t="s">
        <v>931</v>
      </c>
      <c r="C151" s="27" t="s">
        <v>13899</v>
      </c>
      <c r="E151" s="27" t="s">
        <v>55</v>
      </c>
      <c r="F151" s="27" t="s">
        <v>13900</v>
      </c>
      <c r="G151" s="27" t="s">
        <v>98</v>
      </c>
      <c r="H151" s="27" t="s">
        <v>13901</v>
      </c>
      <c r="T151" s="27" t="s">
        <v>50</v>
      </c>
      <c r="U151" s="27" t="s">
        <v>776</v>
      </c>
      <c r="V151" s="27" t="s">
        <v>6803</v>
      </c>
      <c r="W151" s="27" t="s">
        <v>13902</v>
      </c>
    </row>
    <row r="152" customFormat="false" ht="15" hidden="false" customHeight="true" outlineLevel="0" collapsed="false">
      <c r="A152" s="27" t="s">
        <v>13903</v>
      </c>
      <c r="B152" s="27" t="s">
        <v>3763</v>
      </c>
      <c r="C152" s="27" t="s">
        <v>4029</v>
      </c>
      <c r="E152" s="27" t="s">
        <v>55</v>
      </c>
      <c r="G152" s="27" t="s">
        <v>215</v>
      </c>
      <c r="H152" s="27" t="s">
        <v>13904</v>
      </c>
      <c r="N152" s="27" t="s">
        <v>13905</v>
      </c>
      <c r="O152" s="27" t="s">
        <v>13906</v>
      </c>
      <c r="P152" s="27" t="s">
        <v>13907</v>
      </c>
      <c r="Q152" s="27" t="s">
        <v>13906</v>
      </c>
      <c r="R152" s="27" t="s">
        <v>13907</v>
      </c>
      <c r="T152" s="27" t="s">
        <v>50</v>
      </c>
      <c r="V152" s="27" t="s">
        <v>4030</v>
      </c>
      <c r="W152" s="27" t="s">
        <v>13458</v>
      </c>
    </row>
    <row r="153" customFormat="false" ht="15" hidden="false" customHeight="true" outlineLevel="0" collapsed="false">
      <c r="A153" s="27" t="s">
        <v>13908</v>
      </c>
      <c r="B153" s="27" t="s">
        <v>1174</v>
      </c>
      <c r="C153" s="27" t="s">
        <v>13909</v>
      </c>
      <c r="E153" s="27" t="s">
        <v>55</v>
      </c>
      <c r="G153" s="27" t="s">
        <v>345</v>
      </c>
      <c r="H153" s="27" t="s">
        <v>13910</v>
      </c>
      <c r="T153" s="27" t="s">
        <v>50</v>
      </c>
      <c r="V153" s="27" t="s">
        <v>13911</v>
      </c>
      <c r="W153" s="27" t="s">
        <v>13611</v>
      </c>
    </row>
    <row r="154" customFormat="false" ht="17.25" hidden="false" customHeight="true" outlineLevel="0" collapsed="false">
      <c r="A154" s="27" t="s">
        <v>13912</v>
      </c>
      <c r="B154" s="27" t="s">
        <v>1777</v>
      </c>
      <c r="C154" s="27" t="s">
        <v>13913</v>
      </c>
      <c r="E154" s="27" t="s">
        <v>55</v>
      </c>
      <c r="G154" s="27" t="s">
        <v>345</v>
      </c>
      <c r="H154" s="27" t="s">
        <v>13914</v>
      </c>
      <c r="T154" s="27" t="s">
        <v>50</v>
      </c>
      <c r="V154" s="27" t="s">
        <v>13915</v>
      </c>
      <c r="W154" s="27" t="s">
        <v>13916</v>
      </c>
    </row>
    <row r="155" customFormat="false" ht="15" hidden="false" customHeight="true" outlineLevel="0" collapsed="false">
      <c r="A155" s="27" t="s">
        <v>13917</v>
      </c>
      <c r="B155" s="27" t="s">
        <v>4707</v>
      </c>
      <c r="C155" s="27" t="s">
        <v>13918</v>
      </c>
      <c r="E155" s="27" t="s">
        <v>55</v>
      </c>
      <c r="F155" s="27" t="s">
        <v>13919</v>
      </c>
      <c r="G155" s="27" t="s">
        <v>345</v>
      </c>
      <c r="H155" s="27" t="s">
        <v>13920</v>
      </c>
      <c r="T155" s="27" t="s">
        <v>50</v>
      </c>
      <c r="V155" s="27" t="s">
        <v>2143</v>
      </c>
      <c r="W155" s="27" t="s">
        <v>13921</v>
      </c>
    </row>
    <row r="156" customFormat="false" ht="17.25" hidden="false" customHeight="true" outlineLevel="0" collapsed="false">
      <c r="A156" s="27" t="s">
        <v>486</v>
      </c>
      <c r="B156" s="27" t="s">
        <v>931</v>
      </c>
      <c r="C156" s="27" t="s">
        <v>13922</v>
      </c>
      <c r="E156" s="27" t="s">
        <v>55</v>
      </c>
      <c r="F156" s="27" t="s">
        <v>13923</v>
      </c>
      <c r="G156" s="27" t="s">
        <v>215</v>
      </c>
      <c r="H156" s="27" t="s">
        <v>13924</v>
      </c>
      <c r="I156" s="27" t="s">
        <v>13463</v>
      </c>
      <c r="J156" s="27" t="s">
        <v>13309</v>
      </c>
      <c r="K156" s="27" t="s">
        <v>13463</v>
      </c>
      <c r="L156" s="27" t="s">
        <v>13309</v>
      </c>
      <c r="M156" s="27" t="s">
        <v>13463</v>
      </c>
      <c r="N156" s="27" t="s">
        <v>13309</v>
      </c>
      <c r="O156" s="27" t="s">
        <v>13463</v>
      </c>
      <c r="P156" s="27" t="s">
        <v>13309</v>
      </c>
      <c r="Q156" s="27" t="s">
        <v>13463</v>
      </c>
      <c r="R156" s="27" t="s">
        <v>13309</v>
      </c>
      <c r="T156" s="27" t="s">
        <v>50</v>
      </c>
      <c r="V156" s="27" t="s">
        <v>8800</v>
      </c>
      <c r="W156" s="27" t="s">
        <v>13925</v>
      </c>
    </row>
    <row r="157" customFormat="false" ht="17.25" hidden="false" customHeight="true" outlineLevel="0" collapsed="false">
      <c r="A157" s="27" t="s">
        <v>1364</v>
      </c>
      <c r="B157" s="27" t="s">
        <v>1749</v>
      </c>
      <c r="C157" s="27" t="s">
        <v>13926</v>
      </c>
      <c r="E157" s="27" t="s">
        <v>55</v>
      </c>
      <c r="F157" s="27" t="s">
        <v>13927</v>
      </c>
      <c r="G157" s="27" t="s">
        <v>345</v>
      </c>
      <c r="H157" s="27" t="s">
        <v>13928</v>
      </c>
      <c r="T157" s="27" t="s">
        <v>50</v>
      </c>
      <c r="V157" s="27" t="s">
        <v>2977</v>
      </c>
      <c r="W157" s="27" t="s">
        <v>13599</v>
      </c>
    </row>
    <row r="158" customFormat="false" ht="15" hidden="false" customHeight="true" outlineLevel="0" collapsed="false">
      <c r="A158" s="27" t="s">
        <v>13929</v>
      </c>
      <c r="B158" s="27" t="s">
        <v>1247</v>
      </c>
      <c r="C158" s="27" t="s">
        <v>1249</v>
      </c>
      <c r="E158" s="27" t="s">
        <v>55</v>
      </c>
      <c r="F158" s="27" t="s">
        <v>13930</v>
      </c>
      <c r="G158" s="27" t="s">
        <v>61</v>
      </c>
      <c r="H158" s="27" t="s">
        <v>13931</v>
      </c>
      <c r="I158" s="27" t="s">
        <v>13463</v>
      </c>
      <c r="J158" s="27" t="s">
        <v>13309</v>
      </c>
      <c r="K158" s="27" t="s">
        <v>13463</v>
      </c>
      <c r="L158" s="27" t="s">
        <v>13309</v>
      </c>
      <c r="O158" s="27" t="s">
        <v>13463</v>
      </c>
      <c r="P158" s="27" t="s">
        <v>13309</v>
      </c>
      <c r="Q158" s="27" t="s">
        <v>13463</v>
      </c>
      <c r="R158" s="27" t="s">
        <v>13309</v>
      </c>
      <c r="T158" s="27" t="s">
        <v>50</v>
      </c>
      <c r="V158" s="27" t="s">
        <v>1250</v>
      </c>
      <c r="W158" s="27" t="s">
        <v>13592</v>
      </c>
    </row>
    <row r="159" customFormat="false" ht="15" hidden="false" customHeight="true" outlineLevel="0" collapsed="false">
      <c r="A159" s="27" t="s">
        <v>13932</v>
      </c>
      <c r="B159" s="27" t="s">
        <v>183</v>
      </c>
      <c r="C159" s="27" t="s">
        <v>13933</v>
      </c>
      <c r="E159" s="27" t="s">
        <v>55</v>
      </c>
      <c r="F159" s="27" t="s">
        <v>13934</v>
      </c>
      <c r="G159" s="27" t="s">
        <v>345</v>
      </c>
      <c r="H159" s="27" t="s">
        <v>13935</v>
      </c>
      <c r="T159" s="27" t="s">
        <v>50</v>
      </c>
      <c r="V159" s="27" t="s">
        <v>1769</v>
      </c>
      <c r="W159" s="27" t="s">
        <v>13671</v>
      </c>
    </row>
    <row r="160" customFormat="false" ht="15" hidden="false" customHeight="true" outlineLevel="0" collapsed="false">
      <c r="A160" s="27" t="s">
        <v>13936</v>
      </c>
      <c r="B160" s="27" t="s">
        <v>399</v>
      </c>
      <c r="C160" s="27" t="s">
        <v>10060</v>
      </c>
      <c r="E160" s="27" t="s">
        <v>55</v>
      </c>
      <c r="F160" s="27" t="s">
        <v>13937</v>
      </c>
      <c r="G160" s="27" t="s">
        <v>215</v>
      </c>
      <c r="H160" s="27" t="s">
        <v>13938</v>
      </c>
      <c r="T160" s="27" t="s">
        <v>50</v>
      </c>
      <c r="U160" s="27" t="s">
        <v>2802</v>
      </c>
      <c r="V160" s="27" t="s">
        <v>1900</v>
      </c>
      <c r="W160" s="27" t="s">
        <v>13379</v>
      </c>
    </row>
    <row r="161" customFormat="false" ht="15" hidden="false" customHeight="true" outlineLevel="0" collapsed="false">
      <c r="A161" s="27" t="s">
        <v>13939</v>
      </c>
      <c r="B161" s="27" t="s">
        <v>690</v>
      </c>
      <c r="C161" s="27" t="s">
        <v>13940</v>
      </c>
      <c r="E161" s="27" t="s">
        <v>55</v>
      </c>
      <c r="F161" s="27" t="s">
        <v>13941</v>
      </c>
      <c r="G161" s="27" t="s">
        <v>61</v>
      </c>
      <c r="H161" s="27" t="s">
        <v>13942</v>
      </c>
      <c r="K161" s="27" t="s">
        <v>13943</v>
      </c>
      <c r="L161" s="27" t="s">
        <v>13944</v>
      </c>
      <c r="M161" s="27" t="s">
        <v>13943</v>
      </c>
      <c r="N161" s="27" t="s">
        <v>13944</v>
      </c>
      <c r="O161" s="27" t="s">
        <v>13943</v>
      </c>
      <c r="P161" s="27" t="s">
        <v>13944</v>
      </c>
      <c r="T161" s="27" t="s">
        <v>50</v>
      </c>
      <c r="V161" s="27" t="s">
        <v>13945</v>
      </c>
      <c r="W161" s="27" t="s">
        <v>13458</v>
      </c>
    </row>
    <row r="162" customFormat="false" ht="15" hidden="false" customHeight="true" outlineLevel="0" collapsed="false">
      <c r="A162" s="27" t="s">
        <v>13946</v>
      </c>
      <c r="B162" s="27" t="s">
        <v>5345</v>
      </c>
      <c r="C162" s="27" t="s">
        <v>4029</v>
      </c>
      <c r="E162" s="27" t="s">
        <v>55</v>
      </c>
      <c r="F162" s="27" t="s">
        <v>13947</v>
      </c>
      <c r="G162" s="27" t="s">
        <v>98</v>
      </c>
      <c r="H162" s="27" t="s">
        <v>13948</v>
      </c>
      <c r="I162" s="27" t="s">
        <v>13307</v>
      </c>
      <c r="J162" s="27" t="s">
        <v>13308</v>
      </c>
      <c r="K162" s="27" t="s">
        <v>13307</v>
      </c>
      <c r="L162" s="27" t="s">
        <v>13308</v>
      </c>
      <c r="M162" s="27" t="s">
        <v>13307</v>
      </c>
      <c r="N162" s="27" t="s">
        <v>13308</v>
      </c>
      <c r="O162" s="27" t="s">
        <v>13307</v>
      </c>
      <c r="P162" s="27" t="s">
        <v>13308</v>
      </c>
      <c r="Q162" s="27" t="s">
        <v>13307</v>
      </c>
      <c r="R162" s="27" t="s">
        <v>13308</v>
      </c>
      <c r="T162" s="27" t="s">
        <v>50</v>
      </c>
      <c r="V162" s="27" t="s">
        <v>4030</v>
      </c>
      <c r="W162" s="27" t="s">
        <v>13458</v>
      </c>
    </row>
    <row r="163" customFormat="false" ht="15" hidden="false" customHeight="true" outlineLevel="0" collapsed="false">
      <c r="A163" s="27" t="s">
        <v>13949</v>
      </c>
      <c r="B163" s="27" t="s">
        <v>13950</v>
      </c>
      <c r="C163" s="27" t="s">
        <v>13892</v>
      </c>
      <c r="E163" s="27" t="s">
        <v>55</v>
      </c>
      <c r="F163" s="27" t="s">
        <v>13951</v>
      </c>
      <c r="G163" s="27" t="s">
        <v>98</v>
      </c>
      <c r="H163" s="27" t="s">
        <v>13952</v>
      </c>
      <c r="T163" s="27" t="s">
        <v>50</v>
      </c>
      <c r="V163" s="27" t="s">
        <v>3806</v>
      </c>
      <c r="W163" s="27" t="s">
        <v>13894</v>
      </c>
    </row>
    <row r="164" customFormat="false" ht="17.25" hidden="false" customHeight="true" outlineLevel="0" collapsed="false">
      <c r="A164" s="27" t="s">
        <v>13953</v>
      </c>
      <c r="B164" s="27" t="s">
        <v>643</v>
      </c>
      <c r="C164" s="27" t="s">
        <v>13954</v>
      </c>
      <c r="E164" s="27" t="s">
        <v>55</v>
      </c>
      <c r="F164" s="27" t="s">
        <v>13955</v>
      </c>
      <c r="G164" s="27" t="s">
        <v>98</v>
      </c>
      <c r="H164" s="27" t="s">
        <v>13956</v>
      </c>
      <c r="T164" s="27" t="s">
        <v>50</v>
      </c>
      <c r="V164" s="27" t="s">
        <v>1900</v>
      </c>
      <c r="W164" s="27" t="s">
        <v>13957</v>
      </c>
    </row>
    <row r="165" customFormat="false" ht="15" hidden="false" customHeight="true" outlineLevel="0" collapsed="false">
      <c r="A165" s="27" t="s">
        <v>13958</v>
      </c>
      <c r="B165" s="27" t="s">
        <v>2974</v>
      </c>
      <c r="C165" s="27" t="s">
        <v>2976</v>
      </c>
      <c r="E165" s="27" t="s">
        <v>55</v>
      </c>
      <c r="G165" s="27" t="s">
        <v>345</v>
      </c>
      <c r="H165" s="27" t="s">
        <v>13959</v>
      </c>
      <c r="T165" s="27" t="s">
        <v>50</v>
      </c>
      <c r="V165" s="27" t="s">
        <v>2977</v>
      </c>
      <c r="W165" s="27" t="s">
        <v>13960</v>
      </c>
    </row>
    <row r="166" customFormat="false" ht="15" hidden="false" customHeight="true" outlineLevel="0" collapsed="false">
      <c r="A166" s="27" t="s">
        <v>13961</v>
      </c>
      <c r="B166" s="27" t="s">
        <v>643</v>
      </c>
      <c r="C166" s="27" t="s">
        <v>13962</v>
      </c>
      <c r="E166" s="27" t="s">
        <v>55</v>
      </c>
      <c r="G166" s="27" t="s">
        <v>98</v>
      </c>
      <c r="H166" s="27" t="s">
        <v>13963</v>
      </c>
      <c r="T166" s="27" t="s">
        <v>50</v>
      </c>
      <c r="V166" s="27" t="s">
        <v>1576</v>
      </c>
      <c r="W166" s="27" t="s">
        <v>13475</v>
      </c>
    </row>
    <row r="167" customFormat="false" ht="17.25" hidden="false" customHeight="true" outlineLevel="0" collapsed="false">
      <c r="A167" s="27" t="s">
        <v>13964</v>
      </c>
      <c r="B167" s="27" t="s">
        <v>690</v>
      </c>
      <c r="C167" s="27" t="s">
        <v>5190</v>
      </c>
      <c r="E167" s="27" t="s">
        <v>55</v>
      </c>
      <c r="G167" s="27" t="s">
        <v>215</v>
      </c>
      <c r="H167" s="27" t="s">
        <v>13965</v>
      </c>
      <c r="T167" s="27" t="s">
        <v>50</v>
      </c>
      <c r="V167" s="27" t="s">
        <v>5191</v>
      </c>
      <c r="W167" s="27" t="s">
        <v>13394</v>
      </c>
    </row>
    <row r="168" customFormat="false" ht="15" hidden="false" customHeight="true" outlineLevel="0" collapsed="false">
      <c r="A168" s="27" t="s">
        <v>13966</v>
      </c>
      <c r="B168" s="27" t="s">
        <v>13967</v>
      </c>
      <c r="C168" s="27" t="s">
        <v>13968</v>
      </c>
      <c r="E168" s="27" t="s">
        <v>55</v>
      </c>
      <c r="F168" s="27" t="s">
        <v>13969</v>
      </c>
      <c r="G168" s="27" t="s">
        <v>98</v>
      </c>
      <c r="H168" s="27" t="s">
        <v>13970</v>
      </c>
      <c r="I168" s="27" t="s">
        <v>13307</v>
      </c>
      <c r="J168" s="27" t="s">
        <v>13309</v>
      </c>
      <c r="K168" s="27" t="s">
        <v>13307</v>
      </c>
      <c r="L168" s="27" t="s">
        <v>13520</v>
      </c>
      <c r="M168" s="27" t="s">
        <v>13307</v>
      </c>
      <c r="N168" s="27" t="s">
        <v>13366</v>
      </c>
      <c r="O168" s="27" t="s">
        <v>13307</v>
      </c>
      <c r="P168" s="27" t="s">
        <v>13309</v>
      </c>
      <c r="Q168" s="27" t="s">
        <v>13307</v>
      </c>
      <c r="R168" s="27" t="s">
        <v>13309</v>
      </c>
      <c r="T168" s="27" t="s">
        <v>50</v>
      </c>
      <c r="V168" s="27" t="s">
        <v>2977</v>
      </c>
      <c r="W168" s="27" t="s">
        <v>13925</v>
      </c>
    </row>
    <row r="169" customFormat="false" ht="17.25" hidden="false" customHeight="true" outlineLevel="0" collapsed="false">
      <c r="A169" s="27" t="s">
        <v>13971</v>
      </c>
      <c r="B169" s="27" t="s">
        <v>13972</v>
      </c>
      <c r="C169" s="27" t="s">
        <v>4029</v>
      </c>
      <c r="E169" s="27" t="s">
        <v>55</v>
      </c>
      <c r="F169" s="27" t="s">
        <v>13973</v>
      </c>
      <c r="G169" s="27" t="s">
        <v>345</v>
      </c>
      <c r="H169" s="27" t="s">
        <v>13974</v>
      </c>
      <c r="T169" s="27" t="s">
        <v>50</v>
      </c>
      <c r="V169" s="27" t="s">
        <v>4030</v>
      </c>
      <c r="W169" s="27" t="s">
        <v>13458</v>
      </c>
    </row>
    <row r="170" customFormat="false" ht="15" hidden="false" customHeight="true" outlineLevel="0" collapsed="false">
      <c r="A170" s="27" t="s">
        <v>13975</v>
      </c>
      <c r="B170" s="27" t="s">
        <v>3304</v>
      </c>
      <c r="C170" s="27" t="s">
        <v>1715</v>
      </c>
      <c r="E170" s="27" t="s">
        <v>55</v>
      </c>
      <c r="G170" s="27" t="s">
        <v>98</v>
      </c>
      <c r="H170" s="27" t="s">
        <v>13976</v>
      </c>
      <c r="T170" s="27" t="s">
        <v>50</v>
      </c>
      <c r="V170" s="27" t="s">
        <v>1716</v>
      </c>
      <c r="W170" s="27" t="s">
        <v>13977</v>
      </c>
    </row>
    <row r="171" customFormat="false" ht="15" hidden="false" customHeight="true" outlineLevel="0" collapsed="false">
      <c r="A171" s="27" t="s">
        <v>9557</v>
      </c>
      <c r="B171" s="27" t="s">
        <v>13978</v>
      </c>
      <c r="C171" s="27" t="s">
        <v>13979</v>
      </c>
      <c r="E171" s="27" t="s">
        <v>55</v>
      </c>
      <c r="F171" s="27" t="s">
        <v>13980</v>
      </c>
      <c r="G171" s="27" t="s">
        <v>345</v>
      </c>
      <c r="H171" s="27" t="s">
        <v>13981</v>
      </c>
      <c r="T171" s="27" t="s">
        <v>50</v>
      </c>
      <c r="V171" s="27" t="s">
        <v>13982</v>
      </c>
      <c r="W171" s="27" t="s">
        <v>13458</v>
      </c>
    </row>
    <row r="172" customFormat="false" ht="17.25" hidden="false" customHeight="true" outlineLevel="0" collapsed="false">
      <c r="A172" s="27" t="s">
        <v>13983</v>
      </c>
      <c r="B172" s="27" t="s">
        <v>13984</v>
      </c>
      <c r="C172" s="27" t="s">
        <v>13985</v>
      </c>
      <c r="E172" s="27" t="s">
        <v>55</v>
      </c>
      <c r="F172" s="27" t="s">
        <v>13986</v>
      </c>
      <c r="G172" s="27" t="s">
        <v>345</v>
      </c>
      <c r="H172" s="27" t="s">
        <v>13987</v>
      </c>
      <c r="T172" s="27" t="s">
        <v>50</v>
      </c>
      <c r="V172" s="27" t="s">
        <v>5621</v>
      </c>
      <c r="W172" s="27" t="s">
        <v>13788</v>
      </c>
    </row>
    <row r="173" customFormat="false" ht="15" hidden="false" customHeight="true" outlineLevel="0" collapsed="false">
      <c r="A173" s="27" t="s">
        <v>13988</v>
      </c>
      <c r="B173" s="27" t="s">
        <v>4112</v>
      </c>
      <c r="C173" s="27" t="s">
        <v>13989</v>
      </c>
      <c r="E173" s="27" t="s">
        <v>55</v>
      </c>
      <c r="F173" s="27" t="s">
        <v>13990</v>
      </c>
      <c r="G173" s="27" t="s">
        <v>98</v>
      </c>
      <c r="H173" s="27" t="s">
        <v>13991</v>
      </c>
      <c r="T173" s="27" t="s">
        <v>50</v>
      </c>
      <c r="V173" s="27" t="s">
        <v>13992</v>
      </c>
      <c r="W173" s="27" t="s">
        <v>13599</v>
      </c>
    </row>
    <row r="174" customFormat="false" ht="15" hidden="false" customHeight="true" outlineLevel="0" collapsed="false">
      <c r="A174" s="27" t="s">
        <v>13993</v>
      </c>
      <c r="B174" s="27" t="s">
        <v>4463</v>
      </c>
      <c r="C174" s="27" t="s">
        <v>13994</v>
      </c>
      <c r="E174" s="27" t="s">
        <v>55</v>
      </c>
      <c r="F174" s="27" t="s">
        <v>13995</v>
      </c>
      <c r="G174" s="27" t="s">
        <v>98</v>
      </c>
      <c r="H174" s="27" t="s">
        <v>13996</v>
      </c>
      <c r="T174" s="27" t="s">
        <v>50</v>
      </c>
      <c r="U174" s="27" t="s">
        <v>2802</v>
      </c>
      <c r="V174" s="27" t="s">
        <v>522</v>
      </c>
      <c r="W174" s="27" t="s">
        <v>13335</v>
      </c>
    </row>
    <row r="175" customFormat="false" ht="15" hidden="false" customHeight="true" outlineLevel="0" collapsed="false">
      <c r="A175" s="27" t="s">
        <v>13997</v>
      </c>
      <c r="B175" s="27" t="s">
        <v>13998</v>
      </c>
      <c r="C175" s="27" t="s">
        <v>13999</v>
      </c>
      <c r="E175" s="27" t="s">
        <v>55</v>
      </c>
      <c r="F175" s="27" t="s">
        <v>14000</v>
      </c>
      <c r="G175" s="27" t="s">
        <v>98</v>
      </c>
      <c r="H175" s="27" t="s">
        <v>14001</v>
      </c>
      <c r="I175" s="27" t="s">
        <v>13307</v>
      </c>
      <c r="J175" s="27" t="s">
        <v>13309</v>
      </c>
      <c r="K175" s="27" t="s">
        <v>13307</v>
      </c>
      <c r="L175" s="27" t="s">
        <v>13309</v>
      </c>
      <c r="M175" s="27" t="s">
        <v>13307</v>
      </c>
      <c r="N175" s="27" t="s">
        <v>13309</v>
      </c>
      <c r="O175" s="27" t="s">
        <v>13307</v>
      </c>
      <c r="P175" s="27" t="s">
        <v>13309</v>
      </c>
      <c r="Q175" s="27" t="s">
        <v>13307</v>
      </c>
      <c r="R175" s="27" t="s">
        <v>13309</v>
      </c>
      <c r="T175" s="27" t="s">
        <v>50</v>
      </c>
      <c r="V175" s="27" t="s">
        <v>1716</v>
      </c>
      <c r="W175" s="27" t="s">
        <v>14002</v>
      </c>
    </row>
    <row r="176" customFormat="false" ht="17.25" hidden="false" customHeight="true" outlineLevel="0" collapsed="false">
      <c r="A176" s="27" t="s">
        <v>14003</v>
      </c>
      <c r="B176" s="27" t="s">
        <v>14004</v>
      </c>
      <c r="C176" s="27" t="s">
        <v>1715</v>
      </c>
      <c r="E176" s="27" t="s">
        <v>55</v>
      </c>
      <c r="G176" s="27" t="s">
        <v>98</v>
      </c>
      <c r="H176" s="27" t="s">
        <v>14005</v>
      </c>
      <c r="T176" s="27" t="s">
        <v>50</v>
      </c>
      <c r="V176" s="27" t="s">
        <v>1716</v>
      </c>
      <c r="W176" s="27" t="s">
        <v>13977</v>
      </c>
    </row>
    <row r="177" customFormat="false" ht="17.25" hidden="false" customHeight="true" outlineLevel="0" collapsed="false">
      <c r="A177" s="27" t="s">
        <v>14006</v>
      </c>
      <c r="B177" s="27" t="s">
        <v>142</v>
      </c>
      <c r="C177" s="27" t="s">
        <v>14007</v>
      </c>
      <c r="E177" s="27" t="s">
        <v>55</v>
      </c>
      <c r="F177" s="27" t="s">
        <v>14008</v>
      </c>
      <c r="G177" s="27" t="s">
        <v>215</v>
      </c>
      <c r="H177" s="27" t="s">
        <v>14009</v>
      </c>
      <c r="T177" s="27" t="s">
        <v>50</v>
      </c>
      <c r="V177" s="27" t="s">
        <v>14010</v>
      </c>
      <c r="W177" s="27" t="s">
        <v>13570</v>
      </c>
    </row>
    <row r="178" customFormat="false" ht="15" hidden="false" customHeight="true" outlineLevel="0" collapsed="false">
      <c r="A178" s="27" t="s">
        <v>14011</v>
      </c>
      <c r="B178" s="27" t="s">
        <v>14012</v>
      </c>
      <c r="C178" s="27" t="s">
        <v>1715</v>
      </c>
      <c r="E178" s="27" t="s">
        <v>55</v>
      </c>
      <c r="G178" s="27" t="s">
        <v>345</v>
      </c>
      <c r="H178" s="27" t="s">
        <v>14013</v>
      </c>
      <c r="T178" s="27" t="s">
        <v>50</v>
      </c>
      <c r="V178" s="27" t="s">
        <v>1716</v>
      </c>
      <c r="W178" s="27" t="s">
        <v>13977</v>
      </c>
    </row>
    <row r="179" customFormat="false" ht="15" hidden="false" customHeight="true" outlineLevel="0" collapsed="false">
      <c r="A179" s="27" t="s">
        <v>14014</v>
      </c>
      <c r="B179" s="27" t="s">
        <v>868</v>
      </c>
      <c r="C179" s="27" t="s">
        <v>1715</v>
      </c>
      <c r="E179" s="27" t="s">
        <v>55</v>
      </c>
      <c r="F179" s="27" t="s">
        <v>1717</v>
      </c>
      <c r="G179" s="27" t="s">
        <v>345</v>
      </c>
      <c r="H179" s="27" t="s">
        <v>14015</v>
      </c>
      <c r="T179" s="27" t="s">
        <v>50</v>
      </c>
      <c r="V179" s="27" t="s">
        <v>1716</v>
      </c>
      <c r="W179" s="27" t="s">
        <v>13977</v>
      </c>
    </row>
    <row r="180" customFormat="false" ht="17.25" hidden="false" customHeight="true" outlineLevel="0" collapsed="false">
      <c r="A180" s="27" t="s">
        <v>14016</v>
      </c>
      <c r="B180" s="27" t="s">
        <v>231</v>
      </c>
      <c r="C180" s="27" t="s">
        <v>14017</v>
      </c>
      <c r="E180" s="27" t="s">
        <v>55</v>
      </c>
      <c r="G180" s="27" t="s">
        <v>345</v>
      </c>
      <c r="H180" s="27" t="s">
        <v>14018</v>
      </c>
      <c r="T180" s="27" t="s">
        <v>50</v>
      </c>
      <c r="V180" s="27" t="s">
        <v>14019</v>
      </c>
      <c r="W180" s="27" t="s">
        <v>13394</v>
      </c>
    </row>
    <row r="181" customFormat="false" ht="15" hidden="false" customHeight="true" outlineLevel="0" collapsed="false">
      <c r="A181" s="27" t="s">
        <v>14020</v>
      </c>
      <c r="B181" s="27" t="s">
        <v>3270</v>
      </c>
      <c r="C181" s="27" t="s">
        <v>14021</v>
      </c>
      <c r="E181" s="27" t="s">
        <v>55</v>
      </c>
      <c r="F181" s="27" t="s">
        <v>14022</v>
      </c>
      <c r="G181" s="27" t="s">
        <v>215</v>
      </c>
      <c r="H181" s="27" t="s">
        <v>14023</v>
      </c>
      <c r="T181" s="27" t="s">
        <v>50</v>
      </c>
      <c r="V181" s="27" t="s">
        <v>14024</v>
      </c>
      <c r="W181" s="27" t="s">
        <v>13492</v>
      </c>
    </row>
    <row r="182" customFormat="false" ht="15" hidden="false" customHeight="true" outlineLevel="0" collapsed="false">
      <c r="A182" s="27" t="s">
        <v>6417</v>
      </c>
      <c r="B182" s="27" t="s">
        <v>936</v>
      </c>
      <c r="C182" s="27" t="s">
        <v>13940</v>
      </c>
      <c r="E182" s="27" t="s">
        <v>55</v>
      </c>
      <c r="F182" s="27" t="s">
        <v>14025</v>
      </c>
      <c r="G182" s="27" t="s">
        <v>98</v>
      </c>
      <c r="H182" s="27" t="s">
        <v>14026</v>
      </c>
      <c r="I182" s="27" t="s">
        <v>13307</v>
      </c>
      <c r="J182" s="27" t="s">
        <v>13445</v>
      </c>
      <c r="K182" s="27" t="s">
        <v>13307</v>
      </c>
      <c r="L182" s="27" t="s">
        <v>13445</v>
      </c>
      <c r="M182" s="27" t="s">
        <v>13307</v>
      </c>
      <c r="N182" s="27" t="s">
        <v>13445</v>
      </c>
      <c r="O182" s="27" t="s">
        <v>13307</v>
      </c>
      <c r="P182" s="27" t="s">
        <v>13445</v>
      </c>
      <c r="Q182" s="27" t="s">
        <v>13307</v>
      </c>
      <c r="R182" s="27" t="s">
        <v>13445</v>
      </c>
      <c r="T182" s="27" t="s">
        <v>50</v>
      </c>
      <c r="V182" s="27" t="s">
        <v>13945</v>
      </c>
      <c r="W182" s="27" t="s">
        <v>13458</v>
      </c>
    </row>
    <row r="183" customFormat="false" ht="15" hidden="false" customHeight="true" outlineLevel="0" collapsed="false">
      <c r="A183" s="27" t="s">
        <v>14027</v>
      </c>
      <c r="B183" s="27" t="s">
        <v>727</v>
      </c>
      <c r="C183" s="27" t="s">
        <v>7026</v>
      </c>
      <c r="E183" s="27" t="s">
        <v>55</v>
      </c>
      <c r="G183" s="27" t="s">
        <v>215</v>
      </c>
      <c r="H183" s="27" t="s">
        <v>14028</v>
      </c>
      <c r="I183" s="27" t="s">
        <v>14029</v>
      </c>
      <c r="J183" s="27" t="s">
        <v>13309</v>
      </c>
      <c r="M183" s="27" t="s">
        <v>14029</v>
      </c>
      <c r="N183" s="27" t="s">
        <v>13309</v>
      </c>
      <c r="O183" s="27" t="s">
        <v>14029</v>
      </c>
      <c r="P183" s="27" t="s">
        <v>13309</v>
      </c>
      <c r="T183" s="27" t="s">
        <v>50</v>
      </c>
      <c r="V183" s="27" t="s">
        <v>7027</v>
      </c>
      <c r="W183" s="27" t="s">
        <v>13335</v>
      </c>
    </row>
    <row r="184" customFormat="false" ht="17.25" hidden="false" customHeight="true" outlineLevel="0" collapsed="false">
      <c r="A184" s="27" t="s">
        <v>14030</v>
      </c>
      <c r="B184" s="27" t="s">
        <v>14031</v>
      </c>
      <c r="C184" s="27" t="s">
        <v>14032</v>
      </c>
      <c r="E184" s="27" t="s">
        <v>55</v>
      </c>
      <c r="G184" s="27" t="s">
        <v>345</v>
      </c>
      <c r="H184" s="27" t="s">
        <v>14033</v>
      </c>
      <c r="T184" s="27" t="s">
        <v>50</v>
      </c>
      <c r="V184" s="27" t="s">
        <v>14034</v>
      </c>
      <c r="W184" s="27" t="s">
        <v>13492</v>
      </c>
    </row>
    <row r="185" customFormat="false" ht="15" hidden="false" customHeight="true" outlineLevel="0" collapsed="false">
      <c r="A185" s="27" t="s">
        <v>14035</v>
      </c>
      <c r="B185" s="27" t="s">
        <v>304</v>
      </c>
      <c r="C185" s="27" t="s">
        <v>5071</v>
      </c>
      <c r="E185" s="27" t="s">
        <v>55</v>
      </c>
      <c r="G185" s="27" t="s">
        <v>98</v>
      </c>
      <c r="H185" s="27" t="s">
        <v>14036</v>
      </c>
      <c r="T185" s="27" t="s">
        <v>50</v>
      </c>
      <c r="V185" s="27" t="s">
        <v>5072</v>
      </c>
      <c r="W185" s="27" t="s">
        <v>14037</v>
      </c>
    </row>
    <row r="186" customFormat="false" ht="15" hidden="false" customHeight="true" outlineLevel="0" collapsed="false">
      <c r="A186" s="27" t="s">
        <v>14038</v>
      </c>
      <c r="B186" s="27" t="s">
        <v>1275</v>
      </c>
      <c r="C186" s="27" t="s">
        <v>53</v>
      </c>
      <c r="E186" s="27" t="s">
        <v>55</v>
      </c>
      <c r="F186" s="27" t="s">
        <v>14039</v>
      </c>
      <c r="G186" s="27" t="s">
        <v>98</v>
      </c>
      <c r="H186" s="27" t="s">
        <v>14040</v>
      </c>
      <c r="T186" s="27" t="s">
        <v>50</v>
      </c>
      <c r="V186" s="27" t="s">
        <v>54</v>
      </c>
      <c r="W186" s="27" t="s">
        <v>14041</v>
      </c>
    </row>
    <row r="187" customFormat="false" ht="17.25" hidden="false" customHeight="true" outlineLevel="0" collapsed="false">
      <c r="A187" s="27" t="s">
        <v>14042</v>
      </c>
      <c r="B187" s="27" t="s">
        <v>14043</v>
      </c>
      <c r="C187" s="27" t="s">
        <v>8706</v>
      </c>
      <c r="E187" s="27" t="s">
        <v>55</v>
      </c>
      <c r="F187" s="27" t="s">
        <v>14044</v>
      </c>
      <c r="G187" s="27" t="s">
        <v>215</v>
      </c>
      <c r="H187" s="27" t="s">
        <v>14045</v>
      </c>
      <c r="I187" s="27" t="s">
        <v>13526</v>
      </c>
      <c r="J187" s="27" t="s">
        <v>14046</v>
      </c>
      <c r="M187" s="27" t="s">
        <v>13526</v>
      </c>
      <c r="N187" s="27" t="s">
        <v>14046</v>
      </c>
      <c r="Q187" s="27" t="s">
        <v>13526</v>
      </c>
      <c r="R187" s="27" t="s">
        <v>14046</v>
      </c>
      <c r="T187" s="27" t="s">
        <v>50</v>
      </c>
      <c r="V187" s="27" t="s">
        <v>8707</v>
      </c>
      <c r="W187" s="27" t="s">
        <v>13348</v>
      </c>
    </row>
    <row r="188" customFormat="false" ht="17.25" hidden="false" customHeight="true" outlineLevel="0" collapsed="false">
      <c r="A188" s="27" t="s">
        <v>6697</v>
      </c>
      <c r="B188" s="27" t="s">
        <v>14047</v>
      </c>
      <c r="C188" s="27" t="s">
        <v>8342</v>
      </c>
      <c r="E188" s="27" t="s">
        <v>55</v>
      </c>
      <c r="F188" s="27" t="s">
        <v>14048</v>
      </c>
      <c r="G188" s="27" t="s">
        <v>215</v>
      </c>
      <c r="H188" s="27" t="s">
        <v>14049</v>
      </c>
      <c r="T188" s="27" t="s">
        <v>50</v>
      </c>
      <c r="V188" s="27" t="s">
        <v>2143</v>
      </c>
      <c r="W188" s="27" t="s">
        <v>13502</v>
      </c>
    </row>
    <row r="189" customFormat="false" ht="15" hidden="false" customHeight="true" outlineLevel="0" collapsed="false">
      <c r="A189" s="27" t="s">
        <v>14050</v>
      </c>
      <c r="B189" s="27" t="s">
        <v>3248</v>
      </c>
      <c r="C189" s="27" t="s">
        <v>14051</v>
      </c>
      <c r="E189" s="27" t="s">
        <v>55</v>
      </c>
      <c r="G189" s="27" t="s">
        <v>345</v>
      </c>
      <c r="H189" s="27" t="s">
        <v>14052</v>
      </c>
      <c r="T189" s="27" t="s">
        <v>50</v>
      </c>
      <c r="V189" s="27" t="s">
        <v>236</v>
      </c>
      <c r="W189" s="27" t="s">
        <v>14053</v>
      </c>
    </row>
    <row r="190" customFormat="false" ht="15" hidden="false" customHeight="true" outlineLevel="0" collapsed="false">
      <c r="A190" s="27" t="s">
        <v>14054</v>
      </c>
      <c r="B190" s="27" t="s">
        <v>958</v>
      </c>
      <c r="C190" s="27" t="s">
        <v>3156</v>
      </c>
      <c r="E190" s="27" t="s">
        <v>55</v>
      </c>
      <c r="F190" s="27" t="s">
        <v>14055</v>
      </c>
      <c r="G190" s="27" t="s">
        <v>215</v>
      </c>
      <c r="H190" s="27" t="s">
        <v>14056</v>
      </c>
      <c r="T190" s="27" t="s">
        <v>50</v>
      </c>
      <c r="U190" s="27" t="s">
        <v>2802</v>
      </c>
      <c r="V190" s="27" t="s">
        <v>852</v>
      </c>
      <c r="W190" s="27" t="s">
        <v>14057</v>
      </c>
    </row>
    <row r="191" customFormat="false" ht="17.25" hidden="false" customHeight="true" outlineLevel="0" collapsed="false">
      <c r="A191" s="27" t="s">
        <v>14058</v>
      </c>
      <c r="B191" s="27" t="s">
        <v>3217</v>
      </c>
      <c r="C191" s="27" t="s">
        <v>1001</v>
      </c>
      <c r="E191" s="27" t="s">
        <v>55</v>
      </c>
      <c r="F191" s="27" t="s">
        <v>1003</v>
      </c>
      <c r="G191" s="27" t="s">
        <v>98</v>
      </c>
      <c r="H191" s="27" t="s">
        <v>14059</v>
      </c>
      <c r="I191" s="27" t="s">
        <v>14060</v>
      </c>
      <c r="J191" s="27" t="s">
        <v>14061</v>
      </c>
      <c r="K191" s="27" t="s">
        <v>14060</v>
      </c>
      <c r="L191" s="27" t="s">
        <v>14061</v>
      </c>
      <c r="M191" s="27" t="s">
        <v>14060</v>
      </c>
      <c r="N191" s="27" t="s">
        <v>14046</v>
      </c>
      <c r="O191" s="27" t="s">
        <v>14060</v>
      </c>
      <c r="P191" s="27" t="s">
        <v>14046</v>
      </c>
      <c r="Q191" s="27" t="s">
        <v>14060</v>
      </c>
      <c r="R191" s="27" t="s">
        <v>14046</v>
      </c>
      <c r="T191" s="27" t="s">
        <v>50</v>
      </c>
      <c r="V191" s="27" t="s">
        <v>1002</v>
      </c>
      <c r="W191" s="27" t="s">
        <v>13422</v>
      </c>
    </row>
    <row r="192" customFormat="false" ht="15" hidden="false" customHeight="true" outlineLevel="0" collapsed="false">
      <c r="A192" s="27" t="s">
        <v>14062</v>
      </c>
      <c r="B192" s="27" t="s">
        <v>142</v>
      </c>
      <c r="C192" s="27" t="s">
        <v>14063</v>
      </c>
      <c r="E192" s="27" t="s">
        <v>55</v>
      </c>
      <c r="F192" s="27" t="s">
        <v>14064</v>
      </c>
      <c r="G192" s="27" t="s">
        <v>98</v>
      </c>
      <c r="H192" s="27" t="s">
        <v>14065</v>
      </c>
      <c r="I192" s="27" t="s">
        <v>13307</v>
      </c>
      <c r="J192" s="27" t="s">
        <v>13309</v>
      </c>
      <c r="K192" s="27" t="s">
        <v>13307</v>
      </c>
      <c r="L192" s="27" t="s">
        <v>13309</v>
      </c>
      <c r="M192" s="27" t="s">
        <v>13307</v>
      </c>
      <c r="N192" s="27" t="s">
        <v>13309</v>
      </c>
      <c r="O192" s="27" t="s">
        <v>13307</v>
      </c>
      <c r="P192" s="27" t="s">
        <v>13309</v>
      </c>
      <c r="Q192" s="27" t="s">
        <v>13307</v>
      </c>
      <c r="R192" s="27" t="s">
        <v>13309</v>
      </c>
      <c r="T192" s="27" t="s">
        <v>50</v>
      </c>
      <c r="V192" s="27" t="s">
        <v>14066</v>
      </c>
      <c r="W192" s="27" t="s">
        <v>13348</v>
      </c>
    </row>
    <row r="193" customFormat="false" ht="17.25" hidden="false" customHeight="true" outlineLevel="0" collapsed="false">
      <c r="A193" s="27" t="s">
        <v>14067</v>
      </c>
      <c r="B193" s="27" t="s">
        <v>1166</v>
      </c>
      <c r="C193" s="27" t="s">
        <v>8448</v>
      </c>
      <c r="E193" s="27" t="s">
        <v>55</v>
      </c>
      <c r="F193" s="27" t="s">
        <v>14068</v>
      </c>
      <c r="G193" s="27" t="s">
        <v>215</v>
      </c>
      <c r="H193" s="27" t="s">
        <v>14069</v>
      </c>
      <c r="T193" s="27" t="s">
        <v>50</v>
      </c>
      <c r="V193" s="27" t="s">
        <v>5921</v>
      </c>
      <c r="W193" s="27" t="s">
        <v>13316</v>
      </c>
    </row>
    <row r="194" customFormat="false" ht="15" hidden="false" customHeight="true" outlineLevel="0" collapsed="false">
      <c r="A194" s="27" t="s">
        <v>14070</v>
      </c>
      <c r="B194" s="27" t="s">
        <v>1766</v>
      </c>
      <c r="C194" s="27" t="s">
        <v>14071</v>
      </c>
      <c r="E194" s="27" t="s">
        <v>55</v>
      </c>
      <c r="F194" s="27" t="s">
        <v>14072</v>
      </c>
      <c r="G194" s="27" t="s">
        <v>215</v>
      </c>
      <c r="H194" s="27" t="s">
        <v>14073</v>
      </c>
      <c r="T194" s="27" t="s">
        <v>50</v>
      </c>
      <c r="V194" s="27" t="s">
        <v>14074</v>
      </c>
      <c r="W194" s="27" t="s">
        <v>13551</v>
      </c>
    </row>
    <row r="195" customFormat="false" ht="17.25" hidden="false" customHeight="true" outlineLevel="0" collapsed="false">
      <c r="A195" s="27" t="s">
        <v>14075</v>
      </c>
      <c r="B195" s="27" t="s">
        <v>14076</v>
      </c>
      <c r="C195" s="27" t="s">
        <v>53</v>
      </c>
      <c r="E195" s="27" t="s">
        <v>55</v>
      </c>
      <c r="G195" s="27" t="s">
        <v>98</v>
      </c>
      <c r="H195" s="27" t="s">
        <v>14077</v>
      </c>
      <c r="T195" s="27" t="s">
        <v>50</v>
      </c>
      <c r="V195" s="27" t="s">
        <v>54</v>
      </c>
      <c r="W195" s="27" t="s">
        <v>14041</v>
      </c>
    </row>
    <row r="196" customFormat="false" ht="17.25" hidden="false" customHeight="true" outlineLevel="0" collapsed="false">
      <c r="A196" s="27" t="s">
        <v>4205</v>
      </c>
      <c r="B196" s="27" t="s">
        <v>14078</v>
      </c>
      <c r="C196" s="27" t="s">
        <v>4208</v>
      </c>
      <c r="E196" s="27" t="s">
        <v>55</v>
      </c>
      <c r="G196" s="27" t="s">
        <v>98</v>
      </c>
      <c r="H196" s="27" t="s">
        <v>14079</v>
      </c>
      <c r="T196" s="27" t="s">
        <v>50</v>
      </c>
      <c r="V196" s="27" t="s">
        <v>588</v>
      </c>
      <c r="W196" s="27" t="s">
        <v>14080</v>
      </c>
    </row>
    <row r="197" customFormat="false" ht="17.25" hidden="false" customHeight="true" outlineLevel="0" collapsed="false">
      <c r="A197" s="27" t="s">
        <v>14081</v>
      </c>
      <c r="B197" s="27" t="s">
        <v>3788</v>
      </c>
      <c r="C197" s="27" t="s">
        <v>14082</v>
      </c>
      <c r="E197" s="27" t="s">
        <v>55</v>
      </c>
      <c r="G197" s="27" t="s">
        <v>61</v>
      </c>
      <c r="H197" s="27" t="s">
        <v>14083</v>
      </c>
      <c r="T197" s="27" t="s">
        <v>50</v>
      </c>
      <c r="V197" s="27" t="s">
        <v>14084</v>
      </c>
      <c r="W197" s="27" t="s">
        <v>14041</v>
      </c>
    </row>
    <row r="198" customFormat="false" ht="17.25" hidden="false" customHeight="true" outlineLevel="0" collapsed="false">
      <c r="A198" s="27" t="s">
        <v>14085</v>
      </c>
      <c r="B198" s="27" t="s">
        <v>142</v>
      </c>
      <c r="C198" s="27" t="s">
        <v>14086</v>
      </c>
      <c r="E198" s="27" t="s">
        <v>55</v>
      </c>
      <c r="F198" s="27" t="s">
        <v>14087</v>
      </c>
      <c r="G198" s="27" t="s">
        <v>98</v>
      </c>
      <c r="H198" s="27" t="s">
        <v>14088</v>
      </c>
      <c r="T198" s="27" t="s">
        <v>50</v>
      </c>
      <c r="V198" s="27" t="s">
        <v>3026</v>
      </c>
      <c r="W198" s="27" t="s">
        <v>13531</v>
      </c>
    </row>
    <row r="199" customFormat="false" ht="17.25" hidden="false" customHeight="true" outlineLevel="0" collapsed="false">
      <c r="A199" s="27" t="s">
        <v>14089</v>
      </c>
      <c r="B199" s="27" t="s">
        <v>1236</v>
      </c>
      <c r="C199" s="27" t="s">
        <v>14090</v>
      </c>
      <c r="E199" s="27" t="s">
        <v>55</v>
      </c>
      <c r="F199" s="27" t="s">
        <v>14091</v>
      </c>
      <c r="G199" s="27" t="s">
        <v>98</v>
      </c>
      <c r="H199" s="27" t="s">
        <v>14092</v>
      </c>
      <c r="J199" s="27" t="s">
        <v>13445</v>
      </c>
      <c r="L199" s="27" t="s">
        <v>13445</v>
      </c>
      <c r="N199" s="27" t="s">
        <v>13445</v>
      </c>
      <c r="O199" s="27" t="s">
        <v>14093</v>
      </c>
      <c r="P199" s="27" t="s">
        <v>13445</v>
      </c>
      <c r="R199" s="27" t="s">
        <v>13445</v>
      </c>
      <c r="T199" s="27" t="s">
        <v>50</v>
      </c>
      <c r="V199" s="27" t="s">
        <v>14094</v>
      </c>
      <c r="W199" s="27" t="s">
        <v>13764</v>
      </c>
    </row>
    <row r="200" customFormat="false" ht="17.25" hidden="false" customHeight="true" outlineLevel="0" collapsed="false">
      <c r="A200" s="27" t="s">
        <v>14095</v>
      </c>
      <c r="B200" s="27" t="s">
        <v>1460</v>
      </c>
      <c r="C200" s="27" t="s">
        <v>5869</v>
      </c>
      <c r="E200" s="27" t="s">
        <v>55</v>
      </c>
      <c r="G200" s="27" t="s">
        <v>98</v>
      </c>
      <c r="H200" s="27" t="s">
        <v>14096</v>
      </c>
      <c r="I200" s="27" t="s">
        <v>13307</v>
      </c>
      <c r="J200" s="27" t="s">
        <v>13445</v>
      </c>
      <c r="K200" s="27" t="s">
        <v>13373</v>
      </c>
      <c r="L200" s="27" t="s">
        <v>13309</v>
      </c>
      <c r="M200" s="27" t="s">
        <v>13307</v>
      </c>
      <c r="N200" s="27" t="s">
        <v>13445</v>
      </c>
      <c r="O200" s="27" t="s">
        <v>13307</v>
      </c>
      <c r="P200" s="27" t="s">
        <v>13309</v>
      </c>
      <c r="Q200" s="27" t="s">
        <v>13373</v>
      </c>
      <c r="R200" s="27" t="s">
        <v>13308</v>
      </c>
      <c r="T200" s="27" t="s">
        <v>50</v>
      </c>
      <c r="V200" s="27" t="s">
        <v>3849</v>
      </c>
      <c r="W200" s="27" t="s">
        <v>13464</v>
      </c>
    </row>
    <row r="201" customFormat="false" ht="15" hidden="false" customHeight="true" outlineLevel="0" collapsed="false">
      <c r="A201" s="27" t="s">
        <v>14097</v>
      </c>
      <c r="B201" s="27" t="s">
        <v>4847</v>
      </c>
      <c r="C201" s="27" t="s">
        <v>3258</v>
      </c>
      <c r="E201" s="27" t="s">
        <v>55</v>
      </c>
      <c r="F201" s="27" t="s">
        <v>14098</v>
      </c>
      <c r="G201" s="27" t="s">
        <v>98</v>
      </c>
      <c r="H201" s="27" t="s">
        <v>14099</v>
      </c>
      <c r="I201" s="27" t="s">
        <v>14100</v>
      </c>
      <c r="J201" s="27" t="s">
        <v>14046</v>
      </c>
      <c r="K201" s="27" t="s">
        <v>14100</v>
      </c>
      <c r="L201" s="27" t="s">
        <v>14046</v>
      </c>
      <c r="M201" s="27" t="s">
        <v>14100</v>
      </c>
      <c r="N201" s="27" t="s">
        <v>14046</v>
      </c>
      <c r="O201" s="27" t="s">
        <v>14100</v>
      </c>
      <c r="P201" s="27" t="s">
        <v>14046</v>
      </c>
      <c r="Q201" s="27" t="s">
        <v>14100</v>
      </c>
      <c r="R201" s="27" t="s">
        <v>14046</v>
      </c>
      <c r="T201" s="27" t="s">
        <v>50</v>
      </c>
      <c r="V201" s="27" t="s">
        <v>3259</v>
      </c>
      <c r="W201" s="27" t="s">
        <v>13592</v>
      </c>
    </row>
    <row r="202" customFormat="false" ht="15" hidden="false" customHeight="true" outlineLevel="0" collapsed="false">
      <c r="A202" s="27" t="s">
        <v>14101</v>
      </c>
      <c r="B202" s="27" t="s">
        <v>142</v>
      </c>
      <c r="C202" s="27" t="s">
        <v>5071</v>
      </c>
      <c r="E202" s="27" t="s">
        <v>55</v>
      </c>
      <c r="F202" s="27" t="s">
        <v>14102</v>
      </c>
      <c r="G202" s="27" t="s">
        <v>98</v>
      </c>
      <c r="H202" s="27" t="s">
        <v>14103</v>
      </c>
      <c r="T202" s="27" t="s">
        <v>50</v>
      </c>
      <c r="V202" s="27" t="s">
        <v>5072</v>
      </c>
      <c r="W202" s="27" t="s">
        <v>14037</v>
      </c>
    </row>
    <row r="203" customFormat="false" ht="17.25" hidden="false" customHeight="true" outlineLevel="0" collapsed="false">
      <c r="A203" s="27" t="s">
        <v>14104</v>
      </c>
      <c r="B203" s="27" t="s">
        <v>936</v>
      </c>
      <c r="C203" s="27" t="s">
        <v>6014</v>
      </c>
      <c r="E203" s="27" t="s">
        <v>55</v>
      </c>
      <c r="F203" s="27" t="s">
        <v>6015</v>
      </c>
      <c r="G203" s="27" t="s">
        <v>98</v>
      </c>
      <c r="H203" s="27" t="s">
        <v>14105</v>
      </c>
      <c r="I203" s="27" t="s">
        <v>14106</v>
      </c>
      <c r="J203" s="27" t="s">
        <v>13309</v>
      </c>
      <c r="K203" s="27" t="s">
        <v>14107</v>
      </c>
      <c r="L203" s="27" t="s">
        <v>13309</v>
      </c>
      <c r="N203" s="27" t="s">
        <v>13309</v>
      </c>
      <c r="P203" s="27" t="s">
        <v>13309</v>
      </c>
      <c r="Q203" s="27" t="s">
        <v>13507</v>
      </c>
      <c r="R203" s="27" t="s">
        <v>13309</v>
      </c>
      <c r="T203" s="27" t="s">
        <v>50</v>
      </c>
      <c r="V203" s="27" t="s">
        <v>224</v>
      </c>
      <c r="W203" s="27" t="s">
        <v>14108</v>
      </c>
    </row>
    <row r="204" customFormat="false" ht="15" hidden="false" customHeight="true" outlineLevel="0" collapsed="false">
      <c r="A204" s="27" t="s">
        <v>14109</v>
      </c>
      <c r="B204" s="27" t="s">
        <v>14110</v>
      </c>
      <c r="C204" s="27" t="s">
        <v>3258</v>
      </c>
      <c r="E204" s="27" t="s">
        <v>55</v>
      </c>
      <c r="F204" s="27" t="s">
        <v>7801</v>
      </c>
      <c r="G204" s="27" t="s">
        <v>215</v>
      </c>
      <c r="H204" s="27" t="s">
        <v>14111</v>
      </c>
      <c r="M204" s="27" t="s">
        <v>13526</v>
      </c>
      <c r="N204" s="27" t="s">
        <v>14112</v>
      </c>
      <c r="Q204" s="27" t="s">
        <v>13889</v>
      </c>
      <c r="T204" s="27" t="s">
        <v>50</v>
      </c>
      <c r="V204" s="27" t="s">
        <v>3259</v>
      </c>
      <c r="W204" s="27" t="s">
        <v>13592</v>
      </c>
    </row>
    <row r="205" customFormat="false" ht="15.75" hidden="false" customHeight="true" outlineLevel="0" collapsed="false">
      <c r="A205" s="27" t="s">
        <v>8242</v>
      </c>
      <c r="B205" s="27" t="s">
        <v>3304</v>
      </c>
      <c r="C205" s="27" t="s">
        <v>960</v>
      </c>
      <c r="E205" s="27" t="s">
        <v>55</v>
      </c>
      <c r="F205" s="27" t="s">
        <v>14113</v>
      </c>
      <c r="G205" s="27" t="s">
        <v>98</v>
      </c>
      <c r="H205" s="27" t="s">
        <v>14114</v>
      </c>
      <c r="T205" s="27" t="s">
        <v>50</v>
      </c>
      <c r="V205" s="27" t="s">
        <v>961</v>
      </c>
      <c r="W205" s="27" t="s">
        <v>14115</v>
      </c>
    </row>
    <row r="206" customFormat="false" ht="15" hidden="false" customHeight="true" outlineLevel="0" collapsed="false">
      <c r="A206" s="27" t="s">
        <v>14116</v>
      </c>
      <c r="B206" s="27" t="s">
        <v>4285</v>
      </c>
      <c r="C206" s="27" t="s">
        <v>14117</v>
      </c>
      <c r="E206" s="27" t="s">
        <v>55</v>
      </c>
      <c r="F206" s="27" t="s">
        <v>6244</v>
      </c>
      <c r="G206" s="27" t="s">
        <v>215</v>
      </c>
      <c r="H206" s="27" t="s">
        <v>14118</v>
      </c>
      <c r="T206" s="27" t="s">
        <v>50</v>
      </c>
      <c r="V206" s="27" t="s">
        <v>14119</v>
      </c>
      <c r="W206" s="27" t="s">
        <v>13348</v>
      </c>
    </row>
    <row r="207" customFormat="false" ht="15" hidden="false" customHeight="true" outlineLevel="0" collapsed="false">
      <c r="A207" s="27" t="s">
        <v>14120</v>
      </c>
      <c r="B207" s="27" t="s">
        <v>14121</v>
      </c>
      <c r="C207" s="27" t="s">
        <v>53</v>
      </c>
      <c r="E207" s="27" t="s">
        <v>55</v>
      </c>
      <c r="G207" s="27" t="s">
        <v>98</v>
      </c>
      <c r="H207" s="27" t="s">
        <v>14122</v>
      </c>
      <c r="L207" s="27" t="s">
        <v>14123</v>
      </c>
      <c r="O207" s="27" t="s">
        <v>13315</v>
      </c>
      <c r="P207" s="27" t="s">
        <v>13309</v>
      </c>
      <c r="T207" s="27" t="s">
        <v>50</v>
      </c>
      <c r="V207" s="27" t="s">
        <v>54</v>
      </c>
      <c r="W207" s="27" t="s">
        <v>14041</v>
      </c>
    </row>
    <row r="208" customFormat="false" ht="15" hidden="false" customHeight="true" outlineLevel="0" collapsed="false">
      <c r="A208" s="27" t="s">
        <v>14124</v>
      </c>
      <c r="B208" s="27" t="s">
        <v>1396</v>
      </c>
      <c r="C208" s="27" t="s">
        <v>14125</v>
      </c>
      <c r="E208" s="27" t="s">
        <v>55</v>
      </c>
      <c r="G208" s="27" t="s">
        <v>215</v>
      </c>
      <c r="H208" s="27" t="s">
        <v>14126</v>
      </c>
      <c r="T208" s="27" t="s">
        <v>50</v>
      </c>
      <c r="V208" s="27" t="s">
        <v>961</v>
      </c>
      <c r="W208" s="27" t="s">
        <v>13470</v>
      </c>
    </row>
    <row r="209" customFormat="false" ht="15" hidden="false" customHeight="true" outlineLevel="0" collapsed="false">
      <c r="A209" s="27" t="s">
        <v>1580</v>
      </c>
      <c r="B209" s="27" t="s">
        <v>14127</v>
      </c>
      <c r="C209" s="27" t="s">
        <v>53</v>
      </c>
      <c r="E209" s="27" t="s">
        <v>55</v>
      </c>
      <c r="G209" s="27" t="s">
        <v>98</v>
      </c>
      <c r="H209" s="27" t="s">
        <v>14128</v>
      </c>
      <c r="T209" s="27" t="s">
        <v>50</v>
      </c>
      <c r="V209" s="27" t="s">
        <v>54</v>
      </c>
      <c r="W209" s="27" t="s">
        <v>14041</v>
      </c>
    </row>
    <row r="210" customFormat="false" ht="15" hidden="false" customHeight="true" outlineLevel="0" collapsed="false">
      <c r="A210" s="27" t="s">
        <v>6697</v>
      </c>
      <c r="B210" s="27" t="s">
        <v>593</v>
      </c>
      <c r="C210" s="27" t="s">
        <v>53</v>
      </c>
      <c r="E210" s="27" t="s">
        <v>55</v>
      </c>
      <c r="F210" s="27" t="s">
        <v>14039</v>
      </c>
      <c r="G210" s="27" t="s">
        <v>98</v>
      </c>
      <c r="H210" s="27" t="s">
        <v>14129</v>
      </c>
      <c r="T210" s="27" t="s">
        <v>50</v>
      </c>
      <c r="V210" s="27" t="s">
        <v>54</v>
      </c>
      <c r="W210" s="27" t="s">
        <v>14041</v>
      </c>
    </row>
    <row r="211" customFormat="false" ht="15" hidden="false" customHeight="true" outlineLevel="0" collapsed="false">
      <c r="A211" s="27" t="s">
        <v>14130</v>
      </c>
      <c r="B211" s="27" t="s">
        <v>14131</v>
      </c>
      <c r="C211" s="27" t="s">
        <v>3258</v>
      </c>
      <c r="E211" s="27" t="s">
        <v>55</v>
      </c>
      <c r="F211" s="27" t="s">
        <v>7801</v>
      </c>
      <c r="G211" s="27" t="s">
        <v>215</v>
      </c>
      <c r="H211" s="27" t="s">
        <v>14132</v>
      </c>
      <c r="T211" s="27" t="s">
        <v>50</v>
      </c>
      <c r="V211" s="27" t="s">
        <v>3259</v>
      </c>
      <c r="W211" s="27" t="s">
        <v>13592</v>
      </c>
    </row>
    <row r="212" customFormat="false" ht="15" hidden="false" customHeight="true" outlineLevel="0" collapsed="false">
      <c r="A212" s="27" t="s">
        <v>7285</v>
      </c>
      <c r="B212" s="27" t="s">
        <v>195</v>
      </c>
      <c r="C212" s="27" t="s">
        <v>5947</v>
      </c>
      <c r="E212" s="27" t="s">
        <v>55</v>
      </c>
      <c r="F212" s="27" t="s">
        <v>14133</v>
      </c>
      <c r="G212" s="27" t="s">
        <v>61</v>
      </c>
      <c r="H212" s="27" t="s">
        <v>14134</v>
      </c>
      <c r="I212" s="27" t="s">
        <v>14135</v>
      </c>
      <c r="J212" s="27" t="s">
        <v>13445</v>
      </c>
      <c r="K212" s="27" t="s">
        <v>14135</v>
      </c>
      <c r="L212" s="27" t="s">
        <v>13445</v>
      </c>
      <c r="M212" s="27" t="s">
        <v>14135</v>
      </c>
      <c r="N212" s="27" t="s">
        <v>13366</v>
      </c>
      <c r="O212" s="27" t="s">
        <v>14135</v>
      </c>
      <c r="P212" s="27" t="s">
        <v>13309</v>
      </c>
      <c r="Q212" s="27" t="s">
        <v>14135</v>
      </c>
      <c r="R212" s="27" t="s">
        <v>13309</v>
      </c>
      <c r="T212" s="27" t="s">
        <v>50</v>
      </c>
      <c r="V212" s="27" t="s">
        <v>2387</v>
      </c>
      <c r="W212" s="27" t="s">
        <v>14136</v>
      </c>
    </row>
    <row r="213" customFormat="false" ht="15" hidden="false" customHeight="true" outlineLevel="0" collapsed="false">
      <c r="A213" s="27" t="s">
        <v>14137</v>
      </c>
      <c r="B213" s="27" t="s">
        <v>7503</v>
      </c>
      <c r="C213" s="27" t="s">
        <v>14138</v>
      </c>
      <c r="E213" s="27" t="s">
        <v>55</v>
      </c>
      <c r="F213" s="27" t="s">
        <v>14139</v>
      </c>
      <c r="G213" s="27" t="s">
        <v>215</v>
      </c>
      <c r="H213" s="27" t="s">
        <v>14140</v>
      </c>
      <c r="T213" s="27" t="s">
        <v>50</v>
      </c>
      <c r="V213" s="27" t="s">
        <v>2387</v>
      </c>
      <c r="W213" s="27" t="s">
        <v>13957</v>
      </c>
    </row>
    <row r="214" customFormat="false" ht="15" hidden="false" customHeight="true" outlineLevel="0" collapsed="false">
      <c r="A214" s="27" t="s">
        <v>14141</v>
      </c>
      <c r="B214" s="27" t="s">
        <v>1074</v>
      </c>
      <c r="C214" s="27" t="s">
        <v>3415</v>
      </c>
      <c r="E214" s="27" t="s">
        <v>55</v>
      </c>
      <c r="F214" s="27" t="s">
        <v>14142</v>
      </c>
      <c r="G214" s="27" t="s">
        <v>98</v>
      </c>
      <c r="H214" s="27" t="s">
        <v>14143</v>
      </c>
      <c r="T214" s="27" t="s">
        <v>50</v>
      </c>
      <c r="V214" s="27" t="s">
        <v>3416</v>
      </c>
      <c r="W214" s="27" t="s">
        <v>13522</v>
      </c>
    </row>
    <row r="215" customFormat="false" ht="15" hidden="false" customHeight="true" outlineLevel="0" collapsed="false">
      <c r="A215" s="27" t="s">
        <v>14144</v>
      </c>
      <c r="B215" s="27" t="s">
        <v>5792</v>
      </c>
      <c r="C215" s="27" t="s">
        <v>14145</v>
      </c>
      <c r="E215" s="27" t="s">
        <v>55</v>
      </c>
      <c r="F215" s="27" t="s">
        <v>14146</v>
      </c>
      <c r="G215" s="27" t="s">
        <v>215</v>
      </c>
      <c r="H215" s="27" t="s">
        <v>14147</v>
      </c>
      <c r="T215" s="27" t="s">
        <v>50</v>
      </c>
      <c r="U215" s="27" t="s">
        <v>386</v>
      </c>
      <c r="V215" s="27" t="s">
        <v>1474</v>
      </c>
      <c r="W215" s="27" t="s">
        <v>13492</v>
      </c>
    </row>
    <row r="216" customFormat="false" ht="15" hidden="false" customHeight="true" outlineLevel="0" collapsed="false">
      <c r="A216" s="27" t="s">
        <v>14148</v>
      </c>
      <c r="B216" s="27" t="s">
        <v>242</v>
      </c>
      <c r="C216" s="27" t="s">
        <v>14125</v>
      </c>
      <c r="E216" s="27" t="s">
        <v>55</v>
      </c>
      <c r="F216" s="27" t="s">
        <v>14149</v>
      </c>
      <c r="G216" s="27" t="s">
        <v>215</v>
      </c>
      <c r="H216" s="27" t="s">
        <v>14150</v>
      </c>
      <c r="J216" s="27" t="s">
        <v>13309</v>
      </c>
      <c r="K216" s="27" t="s">
        <v>14151</v>
      </c>
      <c r="M216" s="27" t="s">
        <v>14151</v>
      </c>
      <c r="O216" s="27" t="s">
        <v>14151</v>
      </c>
      <c r="Q216" s="27" t="s">
        <v>14151</v>
      </c>
      <c r="T216" s="27" t="s">
        <v>50</v>
      </c>
      <c r="V216" s="27" t="s">
        <v>961</v>
      </c>
      <c r="W216" s="27" t="s">
        <v>13470</v>
      </c>
    </row>
    <row r="217" customFormat="false" ht="15" hidden="false" customHeight="true" outlineLevel="0" collapsed="false">
      <c r="A217" s="27" t="s">
        <v>14152</v>
      </c>
      <c r="B217" s="27" t="s">
        <v>14153</v>
      </c>
      <c r="C217" s="27" t="s">
        <v>12670</v>
      </c>
      <c r="E217" s="27" t="s">
        <v>55</v>
      </c>
      <c r="G217" s="27" t="s">
        <v>98</v>
      </c>
      <c r="H217" s="27" t="s">
        <v>14154</v>
      </c>
      <c r="I217" s="27" t="s">
        <v>14100</v>
      </c>
      <c r="J217" s="27" t="s">
        <v>14155</v>
      </c>
      <c r="K217" s="27" t="s">
        <v>14156</v>
      </c>
      <c r="L217" s="27" t="s">
        <v>13907</v>
      </c>
      <c r="M217" s="27" t="s">
        <v>14157</v>
      </c>
      <c r="N217" s="27" t="s">
        <v>13907</v>
      </c>
      <c r="O217" s="27" t="s">
        <v>13526</v>
      </c>
      <c r="P217" s="27" t="s">
        <v>13907</v>
      </c>
      <c r="Q217" s="27" t="s">
        <v>14156</v>
      </c>
      <c r="R217" s="27" t="s">
        <v>14158</v>
      </c>
      <c r="T217" s="27" t="s">
        <v>50</v>
      </c>
      <c r="V217" s="27" t="s">
        <v>2628</v>
      </c>
      <c r="W217" s="27" t="s">
        <v>13611</v>
      </c>
    </row>
    <row r="218" customFormat="false" ht="15" hidden="false" customHeight="true" outlineLevel="0" collapsed="false">
      <c r="A218" s="27" t="s">
        <v>14159</v>
      </c>
      <c r="B218" s="27" t="s">
        <v>1766</v>
      </c>
      <c r="C218" s="27" t="s">
        <v>5071</v>
      </c>
      <c r="E218" s="27" t="s">
        <v>55</v>
      </c>
      <c r="F218" s="27" t="s">
        <v>14160</v>
      </c>
      <c r="G218" s="27" t="s">
        <v>98</v>
      </c>
      <c r="H218" s="27" t="s">
        <v>14161</v>
      </c>
      <c r="I218" s="27" t="s">
        <v>13751</v>
      </c>
      <c r="J218" s="27" t="s">
        <v>13445</v>
      </c>
      <c r="K218" s="27" t="s">
        <v>13751</v>
      </c>
      <c r="L218" s="27" t="s">
        <v>13445</v>
      </c>
      <c r="M218" s="27" t="s">
        <v>13751</v>
      </c>
      <c r="N218" s="27" t="s">
        <v>13445</v>
      </c>
      <c r="O218" s="27" t="s">
        <v>13751</v>
      </c>
      <c r="P218" s="27" t="s">
        <v>13445</v>
      </c>
      <c r="Q218" s="27" t="s">
        <v>13751</v>
      </c>
      <c r="R218" s="27" t="s">
        <v>13445</v>
      </c>
      <c r="T218" s="27" t="s">
        <v>50</v>
      </c>
      <c r="V218" s="27" t="s">
        <v>5072</v>
      </c>
      <c r="W218" s="27" t="s">
        <v>14037</v>
      </c>
    </row>
    <row r="219" customFormat="false" ht="15" hidden="false" customHeight="true" outlineLevel="0" collapsed="false">
      <c r="A219" s="27" t="s">
        <v>14162</v>
      </c>
      <c r="B219" s="27" t="s">
        <v>4504</v>
      </c>
      <c r="C219" s="27" t="s">
        <v>53</v>
      </c>
      <c r="E219" s="27" t="s">
        <v>55</v>
      </c>
      <c r="F219" s="27" t="s">
        <v>14039</v>
      </c>
      <c r="G219" s="27" t="s">
        <v>98</v>
      </c>
      <c r="H219" s="27" t="s">
        <v>14163</v>
      </c>
      <c r="T219" s="27" t="s">
        <v>50</v>
      </c>
      <c r="V219" s="27" t="s">
        <v>54</v>
      </c>
      <c r="W219" s="27" t="s">
        <v>14041</v>
      </c>
    </row>
    <row r="220" customFormat="false" ht="15" hidden="false" customHeight="true" outlineLevel="0" collapsed="false">
      <c r="A220" s="27" t="s">
        <v>14164</v>
      </c>
      <c r="B220" s="27" t="s">
        <v>14165</v>
      </c>
      <c r="C220" s="27" t="s">
        <v>14166</v>
      </c>
      <c r="E220" s="27" t="s">
        <v>55</v>
      </c>
      <c r="G220" s="27" t="s">
        <v>345</v>
      </c>
      <c r="H220" s="27" t="s">
        <v>14167</v>
      </c>
      <c r="T220" s="27" t="s">
        <v>50</v>
      </c>
      <c r="V220" s="27" t="s">
        <v>7418</v>
      </c>
      <c r="W220" s="27" t="s">
        <v>13492</v>
      </c>
    </row>
    <row r="221" customFormat="false" ht="15" hidden="false" customHeight="true" outlineLevel="0" collapsed="false">
      <c r="A221" s="27" t="s">
        <v>14168</v>
      </c>
      <c r="B221" s="27" t="s">
        <v>14169</v>
      </c>
      <c r="C221" s="27" t="s">
        <v>973</v>
      </c>
      <c r="E221" s="27" t="s">
        <v>55</v>
      </c>
      <c r="F221" s="27" t="s">
        <v>14170</v>
      </c>
      <c r="G221" s="27" t="s">
        <v>215</v>
      </c>
      <c r="H221" s="27" t="s">
        <v>14171</v>
      </c>
      <c r="T221" s="27" t="s">
        <v>50</v>
      </c>
      <c r="V221" s="27" t="s">
        <v>974</v>
      </c>
      <c r="W221" s="27" t="s">
        <v>13686</v>
      </c>
    </row>
    <row r="222" customFormat="false" ht="15" hidden="false" customHeight="true" outlineLevel="0" collapsed="false">
      <c r="A222" s="27" t="s">
        <v>14172</v>
      </c>
      <c r="B222" s="27" t="s">
        <v>1403</v>
      </c>
      <c r="C222" s="27" t="s">
        <v>14173</v>
      </c>
      <c r="E222" s="27" t="s">
        <v>55</v>
      </c>
      <c r="F222" s="27" t="s">
        <v>14174</v>
      </c>
      <c r="G222" s="27" t="s">
        <v>98</v>
      </c>
      <c r="H222" s="27" t="s">
        <v>14175</v>
      </c>
      <c r="T222" s="27" t="s">
        <v>50</v>
      </c>
      <c r="U222" s="27" t="s">
        <v>2802</v>
      </c>
      <c r="V222" s="27" t="s">
        <v>14176</v>
      </c>
      <c r="W222" s="27" t="s">
        <v>13316</v>
      </c>
    </row>
    <row r="223" customFormat="false" ht="17.25" hidden="false" customHeight="true" outlineLevel="0" collapsed="false">
      <c r="A223" s="27" t="s">
        <v>14177</v>
      </c>
      <c r="B223" s="27" t="s">
        <v>543</v>
      </c>
      <c r="C223" s="27" t="s">
        <v>14178</v>
      </c>
      <c r="E223" s="27" t="s">
        <v>55</v>
      </c>
      <c r="G223" s="27" t="s">
        <v>98</v>
      </c>
      <c r="H223" s="27" t="s">
        <v>14179</v>
      </c>
      <c r="T223" s="27" t="s">
        <v>50</v>
      </c>
      <c r="V223" s="27" t="s">
        <v>14180</v>
      </c>
      <c r="W223" s="27" t="s">
        <v>14181</v>
      </c>
    </row>
    <row r="224" customFormat="false" ht="15" hidden="false" customHeight="true" outlineLevel="0" collapsed="false">
      <c r="A224" s="27" t="s">
        <v>14182</v>
      </c>
      <c r="B224" s="27" t="s">
        <v>14183</v>
      </c>
      <c r="C224" s="27" t="s">
        <v>973</v>
      </c>
      <c r="E224" s="27" t="s">
        <v>55</v>
      </c>
      <c r="F224" s="27" t="s">
        <v>14170</v>
      </c>
      <c r="G224" s="27" t="s">
        <v>215</v>
      </c>
      <c r="H224" s="27" t="s">
        <v>14184</v>
      </c>
      <c r="T224" s="27" t="s">
        <v>50</v>
      </c>
      <c r="V224" s="27" t="s">
        <v>974</v>
      </c>
      <c r="W224" s="27" t="s">
        <v>13686</v>
      </c>
    </row>
    <row r="225" customFormat="false" ht="15" hidden="false" customHeight="true" outlineLevel="0" collapsed="false">
      <c r="A225" s="27" t="s">
        <v>1134</v>
      </c>
      <c r="B225" s="27" t="s">
        <v>14185</v>
      </c>
      <c r="C225" s="27" t="s">
        <v>14186</v>
      </c>
      <c r="E225" s="27" t="s">
        <v>55</v>
      </c>
      <c r="F225" s="27" t="s">
        <v>14187</v>
      </c>
      <c r="G225" s="27" t="s">
        <v>215</v>
      </c>
      <c r="H225" s="27" t="s">
        <v>14188</v>
      </c>
      <c r="J225" s="27" t="s">
        <v>13309</v>
      </c>
      <c r="N225" s="27" t="s">
        <v>13309</v>
      </c>
      <c r="P225" s="27" t="s">
        <v>13309</v>
      </c>
      <c r="R225" s="27" t="s">
        <v>13310</v>
      </c>
      <c r="T225" s="27" t="s">
        <v>50</v>
      </c>
      <c r="V225" s="27" t="s">
        <v>14189</v>
      </c>
      <c r="W225" s="27" t="s">
        <v>13348</v>
      </c>
    </row>
    <row r="226" customFormat="false" ht="15" hidden="false" customHeight="true" outlineLevel="0" collapsed="false">
      <c r="A226" s="27" t="s">
        <v>2042</v>
      </c>
      <c r="B226" s="27" t="s">
        <v>643</v>
      </c>
      <c r="C226" s="27" t="s">
        <v>3258</v>
      </c>
      <c r="E226" s="27" t="s">
        <v>55</v>
      </c>
      <c r="G226" s="27" t="s">
        <v>215</v>
      </c>
      <c r="H226" s="27" t="s">
        <v>14190</v>
      </c>
      <c r="T226" s="27" t="s">
        <v>50</v>
      </c>
      <c r="U226" s="27" t="s">
        <v>776</v>
      </c>
      <c r="V226" s="27" t="s">
        <v>3259</v>
      </c>
      <c r="W226" s="27" t="s">
        <v>13592</v>
      </c>
    </row>
    <row r="227" customFormat="false" ht="15" hidden="false" customHeight="true" outlineLevel="0" collapsed="false">
      <c r="A227" s="27" t="s">
        <v>14191</v>
      </c>
      <c r="B227" s="27" t="s">
        <v>1275</v>
      </c>
      <c r="C227" s="27" t="s">
        <v>5071</v>
      </c>
      <c r="E227" s="27" t="s">
        <v>55</v>
      </c>
      <c r="F227" s="27" t="s">
        <v>5073</v>
      </c>
      <c r="G227" s="27" t="s">
        <v>98</v>
      </c>
      <c r="H227" s="27" t="s">
        <v>14192</v>
      </c>
      <c r="T227" s="27" t="s">
        <v>50</v>
      </c>
      <c r="V227" s="27" t="s">
        <v>5072</v>
      </c>
      <c r="W227" s="27" t="s">
        <v>14037</v>
      </c>
    </row>
    <row r="228" customFormat="false" ht="15" hidden="false" customHeight="true" outlineLevel="0" collapsed="false">
      <c r="A228" s="27" t="s">
        <v>6938</v>
      </c>
      <c r="B228" s="27" t="s">
        <v>14193</v>
      </c>
      <c r="C228" s="27" t="s">
        <v>6940</v>
      </c>
      <c r="E228" s="27" t="s">
        <v>55</v>
      </c>
      <c r="F228" s="27" t="s">
        <v>6942</v>
      </c>
      <c r="G228" s="27" t="s">
        <v>98</v>
      </c>
      <c r="H228" s="27" t="s">
        <v>14194</v>
      </c>
      <c r="I228" s="27" t="s">
        <v>14195</v>
      </c>
      <c r="J228" s="27" t="s">
        <v>14196</v>
      </c>
      <c r="K228" s="27" t="s">
        <v>14195</v>
      </c>
      <c r="L228" s="27" t="s">
        <v>14196</v>
      </c>
      <c r="M228" s="27" t="s">
        <v>14195</v>
      </c>
      <c r="N228" s="27" t="s">
        <v>14196</v>
      </c>
      <c r="O228" s="27" t="s">
        <v>14197</v>
      </c>
      <c r="P228" s="27" t="s">
        <v>14198</v>
      </c>
      <c r="Q228" s="27" t="s">
        <v>14195</v>
      </c>
      <c r="R228" s="27" t="s">
        <v>14196</v>
      </c>
      <c r="T228" s="27" t="s">
        <v>50</v>
      </c>
      <c r="V228" s="27" t="s">
        <v>6941</v>
      </c>
      <c r="W228" s="27" t="s">
        <v>13788</v>
      </c>
    </row>
    <row r="229" customFormat="false" ht="15" hidden="false" customHeight="true" outlineLevel="0" collapsed="false">
      <c r="A229" s="27" t="s">
        <v>14199</v>
      </c>
      <c r="B229" s="27" t="s">
        <v>1200</v>
      </c>
      <c r="C229" s="27" t="s">
        <v>53</v>
      </c>
      <c r="E229" s="27" t="s">
        <v>55</v>
      </c>
      <c r="F229" s="27" t="s">
        <v>14200</v>
      </c>
      <c r="G229" s="27" t="s">
        <v>98</v>
      </c>
      <c r="H229" s="27" t="s">
        <v>14201</v>
      </c>
      <c r="T229" s="27" t="s">
        <v>50</v>
      </c>
      <c r="V229" s="27" t="s">
        <v>54</v>
      </c>
      <c r="W229" s="27" t="s">
        <v>14041</v>
      </c>
    </row>
    <row r="230" customFormat="false" ht="15" hidden="false" customHeight="true" outlineLevel="0" collapsed="false">
      <c r="A230" s="27" t="s">
        <v>14202</v>
      </c>
      <c r="B230" s="27" t="s">
        <v>14203</v>
      </c>
      <c r="C230" s="27" t="s">
        <v>4306</v>
      </c>
      <c r="E230" s="27" t="s">
        <v>55</v>
      </c>
      <c r="F230" s="27" t="s">
        <v>14204</v>
      </c>
      <c r="G230" s="27" t="s">
        <v>98</v>
      </c>
      <c r="H230" s="27" t="s">
        <v>14205</v>
      </c>
      <c r="I230" s="27" t="s">
        <v>13341</v>
      </c>
      <c r="J230" s="27" t="s">
        <v>13367</v>
      </c>
      <c r="M230" s="27" t="s">
        <v>13341</v>
      </c>
      <c r="N230" s="27" t="s">
        <v>13367</v>
      </c>
      <c r="Q230" s="27" t="s">
        <v>13341</v>
      </c>
      <c r="R230" s="27" t="s">
        <v>13367</v>
      </c>
      <c r="T230" s="27" t="s">
        <v>50</v>
      </c>
      <c r="V230" s="27" t="s">
        <v>4307</v>
      </c>
      <c r="W230" s="27" t="s">
        <v>13788</v>
      </c>
    </row>
    <row r="231" customFormat="false" ht="15" hidden="false" customHeight="true" outlineLevel="0" collapsed="false">
      <c r="A231" s="27" t="s">
        <v>14206</v>
      </c>
      <c r="B231" s="27" t="s">
        <v>6837</v>
      </c>
      <c r="C231" s="27" t="s">
        <v>14207</v>
      </c>
      <c r="E231" s="27" t="s">
        <v>55</v>
      </c>
      <c r="G231" s="27" t="s">
        <v>215</v>
      </c>
      <c r="H231" s="27" t="s">
        <v>14208</v>
      </c>
      <c r="T231" s="27" t="s">
        <v>50</v>
      </c>
      <c r="U231" s="27" t="s">
        <v>2802</v>
      </c>
      <c r="V231" s="27" t="s">
        <v>7715</v>
      </c>
      <c r="W231" s="27" t="s">
        <v>13925</v>
      </c>
    </row>
    <row r="232" customFormat="false" ht="15" hidden="false" customHeight="true" outlineLevel="0" collapsed="false">
      <c r="A232" s="27" t="s">
        <v>14209</v>
      </c>
      <c r="B232" s="27" t="s">
        <v>14210</v>
      </c>
      <c r="C232" s="27" t="s">
        <v>14211</v>
      </c>
      <c r="E232" s="27" t="s">
        <v>55</v>
      </c>
      <c r="F232" s="27" t="s">
        <v>14212</v>
      </c>
      <c r="G232" s="27" t="s">
        <v>98</v>
      </c>
      <c r="H232" s="27" t="s">
        <v>14213</v>
      </c>
      <c r="I232" s="27" t="s">
        <v>13373</v>
      </c>
      <c r="J232" s="27" t="s">
        <v>13309</v>
      </c>
      <c r="K232" s="27" t="s">
        <v>13373</v>
      </c>
      <c r="L232" s="27" t="s">
        <v>13309</v>
      </c>
      <c r="M232" s="27" t="s">
        <v>13373</v>
      </c>
      <c r="N232" s="27" t="s">
        <v>13309</v>
      </c>
      <c r="O232" s="27" t="s">
        <v>13373</v>
      </c>
      <c r="P232" s="27" t="s">
        <v>13309</v>
      </c>
      <c r="Q232" s="27" t="s">
        <v>13373</v>
      </c>
      <c r="R232" s="27" t="s">
        <v>13309</v>
      </c>
      <c r="T232" s="27" t="s">
        <v>50</v>
      </c>
      <c r="V232" s="27" t="s">
        <v>14214</v>
      </c>
      <c r="W232" s="27" t="s">
        <v>13671</v>
      </c>
    </row>
    <row r="233" customFormat="false" ht="15" hidden="false" customHeight="true" outlineLevel="0" collapsed="false">
      <c r="A233" s="27" t="s">
        <v>14215</v>
      </c>
      <c r="B233" s="27" t="s">
        <v>1056</v>
      </c>
      <c r="C233" s="27" t="s">
        <v>14216</v>
      </c>
      <c r="E233" s="27" t="s">
        <v>55</v>
      </c>
      <c r="F233" s="27" t="s">
        <v>14217</v>
      </c>
      <c r="G233" s="27" t="s">
        <v>98</v>
      </c>
      <c r="H233" s="27" t="s">
        <v>14218</v>
      </c>
      <c r="T233" s="27" t="s">
        <v>50</v>
      </c>
      <c r="V233" s="27" t="s">
        <v>588</v>
      </c>
      <c r="W233" s="27" t="s">
        <v>14219</v>
      </c>
    </row>
    <row r="234" customFormat="false" ht="15" hidden="false" customHeight="true" outlineLevel="0" collapsed="false">
      <c r="A234" s="27" t="s">
        <v>14220</v>
      </c>
      <c r="B234" s="27" t="s">
        <v>14221</v>
      </c>
      <c r="C234" s="27" t="s">
        <v>14222</v>
      </c>
      <c r="E234" s="27" t="s">
        <v>55</v>
      </c>
      <c r="F234" s="27" t="s">
        <v>14223</v>
      </c>
      <c r="G234" s="27" t="s">
        <v>98</v>
      </c>
      <c r="H234" s="27" t="s">
        <v>14224</v>
      </c>
      <c r="T234" s="27" t="s">
        <v>50</v>
      </c>
      <c r="V234" s="27" t="s">
        <v>7356</v>
      </c>
      <c r="W234" s="27" t="s">
        <v>13379</v>
      </c>
    </row>
    <row r="235" customFormat="false" ht="15" hidden="false" customHeight="true" outlineLevel="0" collapsed="false">
      <c r="A235" s="27" t="s">
        <v>14225</v>
      </c>
      <c r="B235" s="27" t="s">
        <v>1226</v>
      </c>
      <c r="C235" s="27" t="s">
        <v>14226</v>
      </c>
      <c r="E235" s="27" t="s">
        <v>55</v>
      </c>
      <c r="F235" s="27" t="s">
        <v>14227</v>
      </c>
      <c r="G235" s="27" t="s">
        <v>98</v>
      </c>
      <c r="H235" s="27" t="s">
        <v>14228</v>
      </c>
      <c r="T235" s="27" t="s">
        <v>50</v>
      </c>
      <c r="V235" s="27" t="s">
        <v>4367</v>
      </c>
      <c r="W235" s="27" t="s">
        <v>14229</v>
      </c>
    </row>
    <row r="236" customFormat="false" ht="17.25" hidden="false" customHeight="true" outlineLevel="0" collapsed="false">
      <c r="A236" s="27" t="s">
        <v>14230</v>
      </c>
      <c r="B236" s="27" t="s">
        <v>1385</v>
      </c>
      <c r="C236" s="27" t="s">
        <v>12670</v>
      </c>
      <c r="E236" s="27" t="s">
        <v>55</v>
      </c>
      <c r="F236" s="27" t="s">
        <v>14231</v>
      </c>
      <c r="G236" s="27" t="s">
        <v>98</v>
      </c>
      <c r="H236" s="27" t="s">
        <v>14232</v>
      </c>
      <c r="I236" s="27" t="s">
        <v>13507</v>
      </c>
      <c r="J236" s="27" t="s">
        <v>14233</v>
      </c>
      <c r="K236" s="27" t="s">
        <v>13507</v>
      </c>
      <c r="L236" s="27" t="s">
        <v>14233</v>
      </c>
      <c r="M236" s="27" t="s">
        <v>13507</v>
      </c>
      <c r="N236" s="27" t="s">
        <v>14233</v>
      </c>
      <c r="O236" s="27" t="s">
        <v>13507</v>
      </c>
      <c r="P236" s="27" t="s">
        <v>14233</v>
      </c>
      <c r="Q236" s="27" t="s">
        <v>13507</v>
      </c>
      <c r="R236" s="27" t="s">
        <v>14233</v>
      </c>
      <c r="T236" s="27" t="s">
        <v>50</v>
      </c>
      <c r="V236" s="27" t="s">
        <v>2628</v>
      </c>
      <c r="W236" s="27" t="s">
        <v>13611</v>
      </c>
    </row>
    <row r="237" customFormat="false" ht="15" hidden="false" customHeight="true" outlineLevel="0" collapsed="false">
      <c r="A237" s="27" t="s">
        <v>14234</v>
      </c>
      <c r="B237" s="27" t="s">
        <v>8571</v>
      </c>
      <c r="C237" s="27" t="s">
        <v>14235</v>
      </c>
      <c r="E237" s="27" t="s">
        <v>55</v>
      </c>
      <c r="F237" s="27" t="s">
        <v>14236</v>
      </c>
      <c r="G237" s="27" t="s">
        <v>98</v>
      </c>
      <c r="H237" s="27" t="s">
        <v>14237</v>
      </c>
      <c r="T237" s="27" t="s">
        <v>50</v>
      </c>
      <c r="V237" s="27" t="s">
        <v>852</v>
      </c>
      <c r="W237" s="27" t="s">
        <v>14238</v>
      </c>
    </row>
    <row r="238" customFormat="false" ht="15" hidden="false" customHeight="true" outlineLevel="0" collapsed="false">
      <c r="A238" s="27" t="s">
        <v>14239</v>
      </c>
      <c r="B238" s="27" t="s">
        <v>14240</v>
      </c>
      <c r="C238" s="27" t="s">
        <v>14241</v>
      </c>
      <c r="E238" s="27" t="s">
        <v>55</v>
      </c>
      <c r="F238" s="27" t="s">
        <v>14242</v>
      </c>
      <c r="G238" s="27" t="s">
        <v>98</v>
      </c>
      <c r="H238" s="27" t="s">
        <v>14243</v>
      </c>
      <c r="T238" s="27" t="s">
        <v>50</v>
      </c>
      <c r="V238" s="27" t="s">
        <v>14244</v>
      </c>
      <c r="W238" s="27" t="s">
        <v>13592</v>
      </c>
    </row>
    <row r="239" customFormat="false" ht="17.25" hidden="false" customHeight="true" outlineLevel="0" collapsed="false">
      <c r="A239" s="27" t="s">
        <v>14245</v>
      </c>
      <c r="B239" s="27" t="s">
        <v>14246</v>
      </c>
      <c r="C239" s="27" t="s">
        <v>53</v>
      </c>
      <c r="E239" s="27" t="s">
        <v>55</v>
      </c>
      <c r="G239" s="27" t="s">
        <v>98</v>
      </c>
      <c r="H239" s="27" t="s">
        <v>14247</v>
      </c>
      <c r="T239" s="27" t="s">
        <v>50</v>
      </c>
      <c r="V239" s="27" t="s">
        <v>54</v>
      </c>
      <c r="W239" s="27" t="s">
        <v>14041</v>
      </c>
    </row>
    <row r="240" customFormat="false" ht="17.25" hidden="false" customHeight="true" outlineLevel="0" collapsed="false">
      <c r="A240" s="27" t="s">
        <v>14248</v>
      </c>
      <c r="B240" s="27" t="s">
        <v>128</v>
      </c>
      <c r="C240" s="27" t="s">
        <v>14249</v>
      </c>
      <c r="E240" s="27" t="s">
        <v>55</v>
      </c>
      <c r="F240" s="27" t="s">
        <v>14250</v>
      </c>
      <c r="G240" s="27" t="s">
        <v>98</v>
      </c>
      <c r="H240" s="27" t="s">
        <v>14251</v>
      </c>
      <c r="T240" s="27" t="s">
        <v>50</v>
      </c>
      <c r="V240" s="27" t="s">
        <v>14252</v>
      </c>
      <c r="W240" s="27" t="s">
        <v>13788</v>
      </c>
    </row>
    <row r="241" customFormat="false" ht="17.25" hidden="false" customHeight="true" outlineLevel="0" collapsed="false">
      <c r="A241" s="27" t="s">
        <v>14253</v>
      </c>
      <c r="B241" s="27" t="s">
        <v>593</v>
      </c>
      <c r="C241" s="27" t="s">
        <v>973</v>
      </c>
      <c r="E241" s="27" t="s">
        <v>55</v>
      </c>
      <c r="F241" s="27" t="s">
        <v>14170</v>
      </c>
      <c r="G241" s="27" t="s">
        <v>98</v>
      </c>
      <c r="H241" s="27" t="s">
        <v>14254</v>
      </c>
      <c r="T241" s="27" t="s">
        <v>50</v>
      </c>
      <c r="U241" s="27" t="s">
        <v>2802</v>
      </c>
      <c r="V241" s="27" t="s">
        <v>974</v>
      </c>
      <c r="W241" s="27" t="s">
        <v>13686</v>
      </c>
    </row>
    <row r="242" customFormat="false" ht="15" hidden="false" customHeight="true" outlineLevel="0" collapsed="false">
      <c r="A242" s="27" t="s">
        <v>14255</v>
      </c>
      <c r="B242" s="27" t="s">
        <v>14256</v>
      </c>
      <c r="C242" s="27" t="s">
        <v>973</v>
      </c>
      <c r="E242" s="27" t="s">
        <v>55</v>
      </c>
      <c r="F242" s="27" t="s">
        <v>14170</v>
      </c>
      <c r="G242" s="27" t="s">
        <v>215</v>
      </c>
      <c r="H242" s="27" t="s">
        <v>14257</v>
      </c>
      <c r="T242" s="27" t="s">
        <v>50</v>
      </c>
      <c r="U242" s="27" t="s">
        <v>2802</v>
      </c>
      <c r="V242" s="27" t="s">
        <v>974</v>
      </c>
      <c r="W242" s="27" t="s">
        <v>13686</v>
      </c>
    </row>
    <row r="243" customFormat="false" ht="15" hidden="false" customHeight="true" outlineLevel="0" collapsed="false">
      <c r="A243" s="27" t="s">
        <v>14258</v>
      </c>
      <c r="B243" s="27" t="s">
        <v>182</v>
      </c>
      <c r="C243" s="27" t="s">
        <v>3258</v>
      </c>
      <c r="E243" s="27" t="s">
        <v>55</v>
      </c>
      <c r="F243" s="27" t="s">
        <v>7801</v>
      </c>
      <c r="G243" s="27" t="s">
        <v>98</v>
      </c>
      <c r="H243" s="27" t="s">
        <v>14259</v>
      </c>
      <c r="I243" s="27" t="s">
        <v>13526</v>
      </c>
      <c r="J243" s="27" t="s">
        <v>14046</v>
      </c>
      <c r="K243" s="27" t="s">
        <v>13526</v>
      </c>
      <c r="L243" s="27" t="s">
        <v>14046</v>
      </c>
      <c r="O243" s="27" t="s">
        <v>13526</v>
      </c>
      <c r="P243" s="27" t="s">
        <v>14046</v>
      </c>
      <c r="Q243" s="27" t="s">
        <v>13526</v>
      </c>
      <c r="R243" s="27" t="s">
        <v>14046</v>
      </c>
      <c r="T243" s="27" t="s">
        <v>50</v>
      </c>
      <c r="V243" s="27" t="s">
        <v>3259</v>
      </c>
      <c r="W243" s="27" t="s">
        <v>13592</v>
      </c>
    </row>
    <row r="244" customFormat="false" ht="15" hidden="false" customHeight="true" outlineLevel="0" collapsed="false">
      <c r="A244" s="27" t="s">
        <v>14260</v>
      </c>
      <c r="B244" s="27" t="s">
        <v>1460</v>
      </c>
      <c r="C244" s="27" t="s">
        <v>14216</v>
      </c>
      <c r="E244" s="27" t="s">
        <v>55</v>
      </c>
      <c r="G244" s="27" t="s">
        <v>215</v>
      </c>
      <c r="H244" s="27" t="s">
        <v>14261</v>
      </c>
      <c r="T244" s="27" t="s">
        <v>50</v>
      </c>
      <c r="V244" s="27" t="s">
        <v>588</v>
      </c>
      <c r="W244" s="27" t="s">
        <v>14219</v>
      </c>
    </row>
    <row r="245" customFormat="false" ht="15" hidden="false" customHeight="true" outlineLevel="0" collapsed="false">
      <c r="A245" s="27" t="s">
        <v>5009</v>
      </c>
      <c r="B245" s="27" t="s">
        <v>3454</v>
      </c>
      <c r="C245" s="27" t="s">
        <v>14262</v>
      </c>
      <c r="E245" s="27" t="s">
        <v>55</v>
      </c>
      <c r="G245" s="27" t="s">
        <v>345</v>
      </c>
      <c r="H245" s="27" t="s">
        <v>14263</v>
      </c>
      <c r="T245" s="27" t="s">
        <v>50</v>
      </c>
      <c r="V245" s="27" t="s">
        <v>14264</v>
      </c>
      <c r="W245" s="27" t="s">
        <v>14181</v>
      </c>
    </row>
    <row r="246" customFormat="false" ht="17.25" hidden="false" customHeight="true" outlineLevel="0" collapsed="false">
      <c r="A246" s="27" t="s">
        <v>14265</v>
      </c>
      <c r="B246" s="27" t="s">
        <v>1355</v>
      </c>
      <c r="C246" s="27" t="s">
        <v>3156</v>
      </c>
      <c r="E246" s="27" t="s">
        <v>55</v>
      </c>
      <c r="F246" s="27" t="s">
        <v>14266</v>
      </c>
      <c r="G246" s="27" t="s">
        <v>215</v>
      </c>
      <c r="H246" s="27" t="s">
        <v>14267</v>
      </c>
      <c r="T246" s="27" t="s">
        <v>50</v>
      </c>
      <c r="V246" s="27" t="s">
        <v>852</v>
      </c>
      <c r="W246" s="27" t="s">
        <v>14057</v>
      </c>
    </row>
    <row r="247" customFormat="false" ht="15" hidden="false" customHeight="true" outlineLevel="0" collapsed="false">
      <c r="A247" s="27" t="s">
        <v>14268</v>
      </c>
      <c r="B247" s="27" t="s">
        <v>1721</v>
      </c>
      <c r="C247" s="27" t="s">
        <v>1935</v>
      </c>
      <c r="E247" s="27" t="s">
        <v>55</v>
      </c>
      <c r="G247" s="27" t="s">
        <v>98</v>
      </c>
      <c r="H247" s="27" t="s">
        <v>14269</v>
      </c>
      <c r="T247" s="27" t="s">
        <v>50</v>
      </c>
      <c r="V247" s="27" t="s">
        <v>1474</v>
      </c>
      <c r="W247" s="27" t="s">
        <v>13788</v>
      </c>
    </row>
    <row r="248" customFormat="false" ht="15" hidden="false" customHeight="true" outlineLevel="0" collapsed="false">
      <c r="A248" s="27" t="s">
        <v>5009</v>
      </c>
      <c r="B248" s="27" t="s">
        <v>2048</v>
      </c>
      <c r="C248" s="27" t="s">
        <v>14211</v>
      </c>
      <c r="E248" s="27" t="s">
        <v>55</v>
      </c>
      <c r="F248" s="27" t="s">
        <v>14212</v>
      </c>
      <c r="G248" s="27" t="s">
        <v>98</v>
      </c>
      <c r="H248" s="27" t="s">
        <v>14270</v>
      </c>
      <c r="I248" s="27" t="s">
        <v>13373</v>
      </c>
      <c r="J248" s="27" t="s">
        <v>13309</v>
      </c>
      <c r="K248" s="27" t="s">
        <v>13373</v>
      </c>
      <c r="L248" s="27" t="s">
        <v>13309</v>
      </c>
      <c r="M248" s="27" t="s">
        <v>13373</v>
      </c>
      <c r="N248" s="27" t="s">
        <v>13309</v>
      </c>
      <c r="O248" s="27" t="s">
        <v>13373</v>
      </c>
      <c r="P248" s="27" t="s">
        <v>13309</v>
      </c>
      <c r="Q248" s="27" t="s">
        <v>13373</v>
      </c>
      <c r="R248" s="27" t="s">
        <v>13309</v>
      </c>
      <c r="T248" s="27" t="s">
        <v>50</v>
      </c>
      <c r="V248" s="27" t="s">
        <v>14214</v>
      </c>
      <c r="W248" s="27" t="s">
        <v>13671</v>
      </c>
    </row>
    <row r="249" customFormat="false" ht="17.25" hidden="false" customHeight="true" outlineLevel="0" collapsed="false">
      <c r="A249" s="27" t="s">
        <v>14271</v>
      </c>
      <c r="B249" s="27" t="s">
        <v>128</v>
      </c>
      <c r="C249" s="27" t="s">
        <v>14272</v>
      </c>
      <c r="E249" s="27" t="s">
        <v>55</v>
      </c>
      <c r="F249" s="27" t="s">
        <v>14273</v>
      </c>
      <c r="G249" s="27" t="s">
        <v>215</v>
      </c>
      <c r="H249" s="27" t="s">
        <v>14274</v>
      </c>
      <c r="T249" s="27" t="s">
        <v>50</v>
      </c>
      <c r="V249" s="27" t="s">
        <v>14275</v>
      </c>
      <c r="W249" s="27" t="s">
        <v>13592</v>
      </c>
    </row>
    <row r="250" customFormat="false" ht="15" hidden="false" customHeight="true" outlineLevel="0" collapsed="false">
      <c r="A250" s="27" t="s">
        <v>4291</v>
      </c>
      <c r="B250" s="27" t="s">
        <v>3447</v>
      </c>
      <c r="C250" s="27" t="s">
        <v>53</v>
      </c>
      <c r="E250" s="27" t="s">
        <v>55</v>
      </c>
      <c r="G250" s="27" t="s">
        <v>98</v>
      </c>
      <c r="H250" s="27" t="s">
        <v>14276</v>
      </c>
      <c r="T250" s="27" t="s">
        <v>50</v>
      </c>
      <c r="V250" s="27" t="s">
        <v>54</v>
      </c>
      <c r="W250" s="27" t="s">
        <v>14041</v>
      </c>
    </row>
    <row r="251" customFormat="false" ht="15" hidden="false" customHeight="true" outlineLevel="0" collapsed="false">
      <c r="A251" s="27" t="s">
        <v>14277</v>
      </c>
      <c r="B251" s="27" t="s">
        <v>7282</v>
      </c>
      <c r="C251" s="27" t="s">
        <v>14278</v>
      </c>
      <c r="E251" s="27" t="s">
        <v>55</v>
      </c>
      <c r="F251" s="27" t="s">
        <v>14279</v>
      </c>
      <c r="G251" s="27" t="s">
        <v>215</v>
      </c>
      <c r="H251" s="27" t="s">
        <v>14280</v>
      </c>
      <c r="T251" s="27" t="s">
        <v>50</v>
      </c>
      <c r="U251" s="27" t="s">
        <v>2802</v>
      </c>
      <c r="V251" s="27" t="s">
        <v>3548</v>
      </c>
      <c r="W251" s="27" t="s">
        <v>13558</v>
      </c>
    </row>
    <row r="252" customFormat="false" ht="17.25" hidden="false" customHeight="true" outlineLevel="0" collapsed="false">
      <c r="A252" s="27" t="s">
        <v>14281</v>
      </c>
      <c r="B252" s="27" t="s">
        <v>2861</v>
      </c>
      <c r="C252" s="27" t="s">
        <v>14216</v>
      </c>
      <c r="E252" s="27" t="s">
        <v>55</v>
      </c>
      <c r="G252" s="27" t="s">
        <v>98</v>
      </c>
      <c r="H252" s="27" t="s">
        <v>14282</v>
      </c>
      <c r="T252" s="27" t="s">
        <v>50</v>
      </c>
      <c r="V252" s="27" t="s">
        <v>588</v>
      </c>
      <c r="W252" s="27" t="s">
        <v>14219</v>
      </c>
    </row>
    <row r="253" customFormat="false" ht="15" hidden="false" customHeight="true" outlineLevel="0" collapsed="false">
      <c r="A253" s="27" t="s">
        <v>14283</v>
      </c>
      <c r="B253" s="27" t="s">
        <v>1766</v>
      </c>
      <c r="C253" s="27" t="s">
        <v>14284</v>
      </c>
      <c r="E253" s="27" t="s">
        <v>55</v>
      </c>
      <c r="F253" s="27" t="s">
        <v>14285</v>
      </c>
      <c r="G253" s="27" t="s">
        <v>98</v>
      </c>
      <c r="H253" s="27" t="s">
        <v>14286</v>
      </c>
      <c r="T253" s="27" t="s">
        <v>50</v>
      </c>
      <c r="V253" s="27" t="s">
        <v>14287</v>
      </c>
      <c r="W253" s="27" t="s">
        <v>13394</v>
      </c>
    </row>
    <row r="254" customFormat="false" ht="15" hidden="false" customHeight="true" outlineLevel="0" collapsed="false">
      <c r="A254" s="27" t="s">
        <v>14288</v>
      </c>
      <c r="B254" s="27" t="s">
        <v>6964</v>
      </c>
      <c r="C254" s="27" t="s">
        <v>14289</v>
      </c>
      <c r="E254" s="27" t="s">
        <v>55</v>
      </c>
      <c r="G254" s="27" t="s">
        <v>98</v>
      </c>
      <c r="H254" s="27" t="s">
        <v>14290</v>
      </c>
      <c r="I254" s="27" t="s">
        <v>13751</v>
      </c>
      <c r="J254" s="27" t="s">
        <v>14291</v>
      </c>
      <c r="K254" s="27" t="s">
        <v>14292</v>
      </c>
      <c r="L254" s="27" t="s">
        <v>13308</v>
      </c>
      <c r="Q254" s="27" t="s">
        <v>14151</v>
      </c>
      <c r="R254" s="27" t="s">
        <v>13310</v>
      </c>
      <c r="T254" s="27" t="s">
        <v>50</v>
      </c>
      <c r="V254" s="27" t="s">
        <v>469</v>
      </c>
      <c r="W254" s="27" t="s">
        <v>13374</v>
      </c>
    </row>
    <row r="255" customFormat="false" ht="15" hidden="false" customHeight="true" outlineLevel="0" collapsed="false">
      <c r="A255" s="27" t="s">
        <v>14293</v>
      </c>
      <c r="B255" s="27" t="s">
        <v>14294</v>
      </c>
      <c r="C255" s="27" t="s">
        <v>14295</v>
      </c>
      <c r="E255" s="27" t="s">
        <v>55</v>
      </c>
      <c r="F255" s="27" t="s">
        <v>14296</v>
      </c>
      <c r="G255" s="27" t="s">
        <v>98</v>
      </c>
      <c r="H255" s="27" t="s">
        <v>14297</v>
      </c>
      <c r="I255" s="27" t="s">
        <v>14298</v>
      </c>
      <c r="J255" s="27" t="s">
        <v>14299</v>
      </c>
      <c r="K255" s="27" t="s">
        <v>14298</v>
      </c>
      <c r="L255" s="27" t="s">
        <v>14299</v>
      </c>
      <c r="M255" s="27" t="s">
        <v>14298</v>
      </c>
      <c r="O255" s="27" t="s">
        <v>14298</v>
      </c>
      <c r="P255" s="27" t="s">
        <v>14299</v>
      </c>
      <c r="Q255" s="27" t="s">
        <v>14298</v>
      </c>
      <c r="R255" s="27" t="s">
        <v>14299</v>
      </c>
      <c r="T255" s="27" t="s">
        <v>50</v>
      </c>
      <c r="V255" s="27" t="s">
        <v>186</v>
      </c>
      <c r="W255" s="27" t="s">
        <v>13646</v>
      </c>
    </row>
    <row r="256" customFormat="false" ht="15" hidden="false" customHeight="true" outlineLevel="0" collapsed="false">
      <c r="A256" s="27" t="s">
        <v>14300</v>
      </c>
      <c r="B256" s="27" t="s">
        <v>14301</v>
      </c>
      <c r="C256" s="27" t="s">
        <v>14302</v>
      </c>
      <c r="E256" s="27" t="s">
        <v>55</v>
      </c>
      <c r="F256" s="27" t="s">
        <v>14303</v>
      </c>
      <c r="G256" s="27" t="s">
        <v>215</v>
      </c>
      <c r="H256" s="27" t="s">
        <v>14304</v>
      </c>
      <c r="T256" s="27" t="s">
        <v>50</v>
      </c>
      <c r="V256" s="27" t="s">
        <v>14305</v>
      </c>
      <c r="W256" s="27" t="s">
        <v>13345</v>
      </c>
    </row>
    <row r="257" customFormat="false" ht="17.25" hidden="false" customHeight="true" outlineLevel="0" collapsed="false">
      <c r="A257" s="27" t="s">
        <v>14306</v>
      </c>
      <c r="B257" s="27" t="s">
        <v>1777</v>
      </c>
      <c r="C257" s="27" t="s">
        <v>3258</v>
      </c>
      <c r="E257" s="27" t="s">
        <v>55</v>
      </c>
      <c r="F257" s="27" t="s">
        <v>7801</v>
      </c>
      <c r="G257" s="27" t="s">
        <v>215</v>
      </c>
      <c r="H257" s="27" t="s">
        <v>14307</v>
      </c>
      <c r="I257" s="27" t="s">
        <v>13526</v>
      </c>
      <c r="J257" s="27" t="s">
        <v>14112</v>
      </c>
      <c r="K257" s="27" t="s">
        <v>13526</v>
      </c>
      <c r="L257" s="27" t="s">
        <v>14112</v>
      </c>
      <c r="O257" s="27" t="s">
        <v>13526</v>
      </c>
      <c r="P257" s="27" t="s">
        <v>14112</v>
      </c>
      <c r="Q257" s="27" t="s">
        <v>13526</v>
      </c>
      <c r="R257" s="27" t="s">
        <v>14112</v>
      </c>
      <c r="T257" s="27" t="s">
        <v>50</v>
      </c>
      <c r="V257" s="27" t="s">
        <v>3259</v>
      </c>
      <c r="W257" s="27" t="s">
        <v>13592</v>
      </c>
    </row>
    <row r="258" customFormat="false" ht="15" hidden="false" customHeight="true" outlineLevel="0" collapsed="false">
      <c r="A258" s="27" t="s">
        <v>8660</v>
      </c>
      <c r="B258" s="27" t="s">
        <v>3270</v>
      </c>
      <c r="C258" s="27" t="s">
        <v>14308</v>
      </c>
      <c r="E258" s="27" t="s">
        <v>55</v>
      </c>
      <c r="F258" s="27" t="s">
        <v>771</v>
      </c>
      <c r="G258" s="27" t="s">
        <v>98</v>
      </c>
      <c r="H258" s="27" t="s">
        <v>14309</v>
      </c>
      <c r="I258" s="27" t="s">
        <v>13315</v>
      </c>
      <c r="J258" s="27" t="s">
        <v>13520</v>
      </c>
      <c r="K258" s="27" t="s">
        <v>13315</v>
      </c>
      <c r="L258" s="27" t="s">
        <v>13520</v>
      </c>
      <c r="M258" s="27" t="s">
        <v>13315</v>
      </c>
      <c r="N258" s="27" t="s">
        <v>13520</v>
      </c>
      <c r="O258" s="27" t="s">
        <v>13315</v>
      </c>
      <c r="P258" s="27" t="s">
        <v>13520</v>
      </c>
      <c r="Q258" s="27" t="s">
        <v>13315</v>
      </c>
      <c r="R258" s="27" t="s">
        <v>13520</v>
      </c>
      <c r="T258" s="27" t="s">
        <v>50</v>
      </c>
      <c r="U258" s="27" t="s">
        <v>421</v>
      </c>
      <c r="V258" s="27" t="s">
        <v>14310</v>
      </c>
      <c r="W258" s="27" t="s">
        <v>14311</v>
      </c>
    </row>
    <row r="259" customFormat="false" ht="15" hidden="false" customHeight="true" outlineLevel="0" collapsed="false">
      <c r="A259" s="27" t="s">
        <v>14312</v>
      </c>
      <c r="B259" s="27" t="s">
        <v>160</v>
      </c>
      <c r="C259" s="27" t="s">
        <v>6094</v>
      </c>
      <c r="E259" s="27" t="s">
        <v>55</v>
      </c>
      <c r="F259" s="27" t="s">
        <v>6095</v>
      </c>
      <c r="G259" s="27" t="s">
        <v>98</v>
      </c>
      <c r="H259" s="27" t="s">
        <v>14313</v>
      </c>
      <c r="I259" s="27" t="s">
        <v>13507</v>
      </c>
      <c r="J259" s="27" t="s">
        <v>14314</v>
      </c>
      <c r="K259" s="27" t="s">
        <v>14315</v>
      </c>
      <c r="L259" s="27" t="s">
        <v>13367</v>
      </c>
      <c r="M259" s="27" t="s">
        <v>14315</v>
      </c>
      <c r="N259" s="27" t="s">
        <v>14316</v>
      </c>
      <c r="Q259" s="27" t="s">
        <v>14317</v>
      </c>
      <c r="T259" s="27" t="s">
        <v>50</v>
      </c>
      <c r="V259" s="27" t="s">
        <v>852</v>
      </c>
      <c r="W259" s="27" t="s">
        <v>14318</v>
      </c>
    </row>
    <row r="260" customFormat="false" ht="15" hidden="false" customHeight="true" outlineLevel="0" collapsed="false">
      <c r="A260" s="27" t="s">
        <v>14319</v>
      </c>
      <c r="B260" s="27" t="s">
        <v>142</v>
      </c>
      <c r="C260" s="27" t="s">
        <v>3258</v>
      </c>
      <c r="E260" s="27" t="s">
        <v>55</v>
      </c>
      <c r="F260" s="27" t="s">
        <v>14098</v>
      </c>
      <c r="G260" s="27" t="s">
        <v>215</v>
      </c>
      <c r="H260" s="27" t="s">
        <v>14320</v>
      </c>
      <c r="T260" s="27" t="s">
        <v>50</v>
      </c>
      <c r="U260" s="27" t="s">
        <v>2802</v>
      </c>
      <c r="V260" s="27" t="s">
        <v>3259</v>
      </c>
      <c r="W260" s="27" t="s">
        <v>13592</v>
      </c>
    </row>
    <row r="261" customFormat="false" ht="17.25" hidden="false" customHeight="true" outlineLevel="0" collapsed="false">
      <c r="A261" s="27" t="s">
        <v>14321</v>
      </c>
      <c r="B261" s="27" t="s">
        <v>14322</v>
      </c>
      <c r="C261" s="27" t="s">
        <v>14216</v>
      </c>
      <c r="E261" s="27" t="s">
        <v>55</v>
      </c>
      <c r="G261" s="27" t="s">
        <v>98</v>
      </c>
      <c r="H261" s="27" t="s">
        <v>14323</v>
      </c>
      <c r="T261" s="27" t="s">
        <v>50</v>
      </c>
      <c r="V261" s="27" t="s">
        <v>588</v>
      </c>
      <c r="W261" s="27" t="s">
        <v>14219</v>
      </c>
    </row>
    <row r="262" customFormat="false" ht="15" hidden="false" customHeight="true" outlineLevel="0" collapsed="false">
      <c r="A262" s="27" t="s">
        <v>14324</v>
      </c>
      <c r="B262" s="27" t="s">
        <v>1275</v>
      </c>
      <c r="C262" s="27" t="s">
        <v>14235</v>
      </c>
      <c r="E262" s="27" t="s">
        <v>55</v>
      </c>
      <c r="F262" s="27" t="s">
        <v>14236</v>
      </c>
      <c r="G262" s="27" t="s">
        <v>98</v>
      </c>
      <c r="H262" s="27" t="s">
        <v>14325</v>
      </c>
      <c r="I262" s="27" t="s">
        <v>13315</v>
      </c>
      <c r="J262" s="27" t="s">
        <v>13367</v>
      </c>
      <c r="K262" s="27" t="s">
        <v>13315</v>
      </c>
      <c r="L262" s="27" t="s">
        <v>13367</v>
      </c>
      <c r="M262" s="27" t="s">
        <v>13315</v>
      </c>
      <c r="N262" s="27" t="s">
        <v>13367</v>
      </c>
      <c r="O262" s="27" t="s">
        <v>13463</v>
      </c>
      <c r="P262" s="27" t="s">
        <v>13310</v>
      </c>
      <c r="Q262" s="27" t="s">
        <v>13315</v>
      </c>
      <c r="R262" s="27" t="s">
        <v>13367</v>
      </c>
      <c r="T262" s="27" t="s">
        <v>50</v>
      </c>
      <c r="V262" s="27" t="s">
        <v>852</v>
      </c>
      <c r="W262" s="27" t="s">
        <v>14238</v>
      </c>
    </row>
    <row r="263" customFormat="false" ht="15" hidden="false" customHeight="true" outlineLevel="0" collapsed="false">
      <c r="A263" s="27" t="s">
        <v>14326</v>
      </c>
      <c r="B263" s="27" t="s">
        <v>353</v>
      </c>
      <c r="C263" s="27" t="s">
        <v>53</v>
      </c>
      <c r="E263" s="27" t="s">
        <v>55</v>
      </c>
      <c r="G263" s="27" t="s">
        <v>98</v>
      </c>
      <c r="H263" s="27" t="s">
        <v>14327</v>
      </c>
      <c r="T263" s="27" t="s">
        <v>50</v>
      </c>
      <c r="V263" s="27" t="s">
        <v>54</v>
      </c>
      <c r="W263" s="27" t="s">
        <v>14041</v>
      </c>
    </row>
    <row r="264" customFormat="false" ht="15" hidden="false" customHeight="true" outlineLevel="0" collapsed="false">
      <c r="A264" s="27" t="s">
        <v>14328</v>
      </c>
      <c r="B264" s="27" t="s">
        <v>3633</v>
      </c>
      <c r="C264" s="27" t="s">
        <v>14329</v>
      </c>
      <c r="E264" s="27" t="s">
        <v>55</v>
      </c>
      <c r="F264" s="27" t="s">
        <v>6411</v>
      </c>
      <c r="G264" s="27" t="s">
        <v>61</v>
      </c>
      <c r="H264" s="27" t="s">
        <v>14330</v>
      </c>
      <c r="T264" s="27" t="s">
        <v>50</v>
      </c>
      <c r="V264" s="27" t="s">
        <v>14331</v>
      </c>
      <c r="W264" s="27" t="s">
        <v>13335</v>
      </c>
    </row>
    <row r="265" customFormat="false" ht="17.25" hidden="false" customHeight="true" outlineLevel="0" collapsed="false">
      <c r="A265" s="27" t="s">
        <v>14332</v>
      </c>
      <c r="B265" s="27" t="s">
        <v>709</v>
      </c>
      <c r="C265" s="27" t="s">
        <v>3258</v>
      </c>
      <c r="E265" s="27" t="s">
        <v>55</v>
      </c>
      <c r="G265" s="27" t="s">
        <v>215</v>
      </c>
      <c r="H265" s="27" t="s">
        <v>14333</v>
      </c>
      <c r="T265" s="27" t="s">
        <v>50</v>
      </c>
      <c r="V265" s="27" t="s">
        <v>3259</v>
      </c>
      <c r="W265" s="27" t="s">
        <v>13592</v>
      </c>
    </row>
    <row r="266" customFormat="false" ht="15" hidden="false" customHeight="true" outlineLevel="0" collapsed="false">
      <c r="A266" s="27" t="s">
        <v>14334</v>
      </c>
      <c r="B266" s="27" t="s">
        <v>2048</v>
      </c>
      <c r="C266" s="27" t="s">
        <v>3258</v>
      </c>
      <c r="E266" s="27" t="s">
        <v>55</v>
      </c>
      <c r="G266" s="27" t="s">
        <v>215</v>
      </c>
      <c r="H266" s="27" t="s">
        <v>14335</v>
      </c>
      <c r="T266" s="27" t="s">
        <v>50</v>
      </c>
      <c r="V266" s="27" t="s">
        <v>3259</v>
      </c>
      <c r="W266" s="27" t="s">
        <v>13592</v>
      </c>
    </row>
    <row r="267" customFormat="false" ht="17.25" hidden="false" customHeight="true" outlineLevel="0" collapsed="false">
      <c r="A267" s="27" t="s">
        <v>14336</v>
      </c>
      <c r="B267" s="27" t="s">
        <v>231</v>
      </c>
      <c r="C267" s="27" t="s">
        <v>14337</v>
      </c>
      <c r="E267" s="27" t="s">
        <v>55</v>
      </c>
      <c r="F267" s="27" t="s">
        <v>14338</v>
      </c>
      <c r="G267" s="27" t="s">
        <v>98</v>
      </c>
      <c r="H267" s="27" t="s">
        <v>14339</v>
      </c>
      <c r="I267" s="27" t="s">
        <v>13728</v>
      </c>
      <c r="J267" s="27" t="s">
        <v>13392</v>
      </c>
      <c r="K267" s="27" t="s">
        <v>13751</v>
      </c>
      <c r="N267" s="27" t="s">
        <v>13366</v>
      </c>
      <c r="O267" s="27" t="s">
        <v>14340</v>
      </c>
      <c r="P267" s="27" t="s">
        <v>14341</v>
      </c>
      <c r="R267" s="27" t="s">
        <v>13366</v>
      </c>
      <c r="T267" s="27" t="s">
        <v>50</v>
      </c>
      <c r="V267" s="27" t="s">
        <v>11224</v>
      </c>
      <c r="W267" s="27" t="s">
        <v>14342</v>
      </c>
    </row>
    <row r="268" customFormat="false" ht="15" hidden="false" customHeight="true" outlineLevel="0" collapsed="false">
      <c r="A268" s="27" t="s">
        <v>14343</v>
      </c>
      <c r="B268" s="27" t="s">
        <v>4112</v>
      </c>
      <c r="C268" s="27" t="s">
        <v>14344</v>
      </c>
      <c r="E268" s="27" t="s">
        <v>55</v>
      </c>
      <c r="F268" s="27" t="s">
        <v>14345</v>
      </c>
      <c r="G268" s="27" t="s">
        <v>98</v>
      </c>
      <c r="H268" s="27" t="s">
        <v>14346</v>
      </c>
      <c r="T268" s="27" t="s">
        <v>50</v>
      </c>
      <c r="V268" s="27" t="s">
        <v>14347</v>
      </c>
      <c r="W268" s="27" t="s">
        <v>13482</v>
      </c>
    </row>
    <row r="269" customFormat="false" ht="15" hidden="false" customHeight="true" outlineLevel="0" collapsed="false">
      <c r="A269" s="27" t="s">
        <v>14348</v>
      </c>
      <c r="B269" s="27" t="s">
        <v>3784</v>
      </c>
      <c r="C269" s="27" t="s">
        <v>1957</v>
      </c>
      <c r="E269" s="27" t="s">
        <v>55</v>
      </c>
      <c r="F269" s="27" t="s">
        <v>14349</v>
      </c>
      <c r="G269" s="27" t="s">
        <v>98</v>
      </c>
      <c r="H269" s="27" t="s">
        <v>14350</v>
      </c>
      <c r="I269" s="27" t="s">
        <v>13721</v>
      </c>
      <c r="J269" s="27" t="s">
        <v>13445</v>
      </c>
      <c r="K269" s="27" t="s">
        <v>13721</v>
      </c>
      <c r="L269" s="27" t="s">
        <v>13309</v>
      </c>
      <c r="M269" s="27" t="s">
        <v>13721</v>
      </c>
      <c r="N269" s="27" t="s">
        <v>14341</v>
      </c>
      <c r="O269" s="27" t="s">
        <v>13721</v>
      </c>
      <c r="P269" s="27" t="s">
        <v>13308</v>
      </c>
      <c r="T269" s="27" t="s">
        <v>50</v>
      </c>
      <c r="V269" s="27" t="s">
        <v>1958</v>
      </c>
      <c r="W269" s="27" t="s">
        <v>13348</v>
      </c>
    </row>
    <row r="270" customFormat="false" ht="15" hidden="false" customHeight="true" outlineLevel="0" collapsed="false">
      <c r="A270" s="27" t="s">
        <v>1665</v>
      </c>
      <c r="B270" s="27" t="s">
        <v>8571</v>
      </c>
      <c r="C270" s="27" t="s">
        <v>14351</v>
      </c>
      <c r="E270" s="27" t="s">
        <v>55</v>
      </c>
      <c r="F270" s="27" t="s">
        <v>14352</v>
      </c>
      <c r="G270" s="27" t="s">
        <v>98</v>
      </c>
      <c r="H270" s="27" t="s">
        <v>14353</v>
      </c>
      <c r="T270" s="27" t="s">
        <v>50</v>
      </c>
      <c r="V270" s="27" t="s">
        <v>14354</v>
      </c>
      <c r="W270" s="27" t="s">
        <v>14355</v>
      </c>
    </row>
    <row r="271" customFormat="false" ht="15" hidden="false" customHeight="true" outlineLevel="0" collapsed="false">
      <c r="A271" s="27" t="s">
        <v>14356</v>
      </c>
      <c r="B271" s="27" t="s">
        <v>2928</v>
      </c>
      <c r="C271" s="27" t="s">
        <v>14357</v>
      </c>
      <c r="E271" s="27" t="s">
        <v>55</v>
      </c>
      <c r="G271" s="27" t="s">
        <v>98</v>
      </c>
      <c r="H271" s="27" t="s">
        <v>14358</v>
      </c>
      <c r="T271" s="27" t="s">
        <v>50</v>
      </c>
      <c r="V271" s="27" t="s">
        <v>14359</v>
      </c>
      <c r="W271" s="27" t="s">
        <v>13611</v>
      </c>
    </row>
    <row r="272" customFormat="false" ht="15" hidden="false" customHeight="true" outlineLevel="0" collapsed="false">
      <c r="A272" s="27" t="s">
        <v>14360</v>
      </c>
      <c r="B272" s="27" t="s">
        <v>5792</v>
      </c>
      <c r="C272" s="27" t="s">
        <v>14361</v>
      </c>
      <c r="E272" s="27" t="s">
        <v>55</v>
      </c>
      <c r="F272" s="27" t="s">
        <v>14362</v>
      </c>
      <c r="G272" s="27" t="s">
        <v>98</v>
      </c>
      <c r="H272" s="27" t="s">
        <v>14363</v>
      </c>
      <c r="T272" s="27" t="s">
        <v>50</v>
      </c>
      <c r="V272" s="27" t="s">
        <v>14364</v>
      </c>
      <c r="W272" s="27" t="s">
        <v>13925</v>
      </c>
    </row>
    <row r="273" customFormat="false" ht="15" hidden="false" customHeight="true" outlineLevel="0" collapsed="false">
      <c r="A273" s="27" t="s">
        <v>14365</v>
      </c>
      <c r="B273" s="27" t="s">
        <v>14366</v>
      </c>
      <c r="C273" s="27" t="s">
        <v>14367</v>
      </c>
      <c r="E273" s="27" t="s">
        <v>55</v>
      </c>
      <c r="F273" s="27" t="s">
        <v>14368</v>
      </c>
      <c r="G273" s="27" t="s">
        <v>98</v>
      </c>
      <c r="H273" s="27" t="s">
        <v>14369</v>
      </c>
      <c r="T273" s="27" t="s">
        <v>50</v>
      </c>
      <c r="V273" s="27" t="s">
        <v>14364</v>
      </c>
      <c r="W273" s="27" t="s">
        <v>14370</v>
      </c>
    </row>
    <row r="274" customFormat="false" ht="15" hidden="false" customHeight="true" outlineLevel="0" collapsed="false">
      <c r="A274" s="27" t="s">
        <v>14371</v>
      </c>
      <c r="B274" s="27" t="s">
        <v>14372</v>
      </c>
      <c r="C274" s="27" t="s">
        <v>14373</v>
      </c>
      <c r="E274" s="27" t="s">
        <v>55</v>
      </c>
      <c r="F274" s="27" t="s">
        <v>14374</v>
      </c>
      <c r="G274" s="27" t="s">
        <v>98</v>
      </c>
      <c r="H274" s="27" t="s">
        <v>14375</v>
      </c>
      <c r="I274" s="27" t="s">
        <v>14376</v>
      </c>
      <c r="J274" s="27" t="s">
        <v>14196</v>
      </c>
      <c r="L274" s="27" t="s">
        <v>13445</v>
      </c>
      <c r="N274" s="27" t="s">
        <v>13445</v>
      </c>
      <c r="P274" s="27" t="s">
        <v>14196</v>
      </c>
      <c r="Q274" s="27" t="s">
        <v>14376</v>
      </c>
      <c r="R274" s="27" t="s">
        <v>14377</v>
      </c>
      <c r="T274" s="27" t="s">
        <v>50</v>
      </c>
      <c r="V274" s="27" t="s">
        <v>4151</v>
      </c>
      <c r="W274" s="27" t="s">
        <v>13902</v>
      </c>
    </row>
    <row r="275" customFormat="false" ht="17.25" hidden="false" customHeight="true" outlineLevel="0" collapsed="false">
      <c r="A275" s="27" t="s">
        <v>14378</v>
      </c>
      <c r="B275" s="27" t="s">
        <v>1174</v>
      </c>
      <c r="C275" s="27" t="s">
        <v>3937</v>
      </c>
      <c r="E275" s="27" t="s">
        <v>55</v>
      </c>
      <c r="F275" s="27" t="s">
        <v>3938</v>
      </c>
      <c r="G275" s="27" t="s">
        <v>215</v>
      </c>
      <c r="H275" s="27" t="s">
        <v>14379</v>
      </c>
      <c r="T275" s="27" t="s">
        <v>50</v>
      </c>
      <c r="V275" s="27" t="s">
        <v>2804</v>
      </c>
      <c r="W275" s="27" t="s">
        <v>13859</v>
      </c>
    </row>
    <row r="276" customFormat="false" ht="17.25" hidden="false" customHeight="true" outlineLevel="0" collapsed="false">
      <c r="A276" s="27" t="s">
        <v>14380</v>
      </c>
      <c r="B276" s="27" t="s">
        <v>204</v>
      </c>
      <c r="C276" s="27" t="s">
        <v>1137</v>
      </c>
      <c r="E276" s="27" t="s">
        <v>55</v>
      </c>
      <c r="G276" s="27" t="s">
        <v>345</v>
      </c>
      <c r="H276" s="27" t="s">
        <v>14381</v>
      </c>
      <c r="T276" s="27" t="s">
        <v>50</v>
      </c>
      <c r="V276" s="27" t="s">
        <v>1138</v>
      </c>
      <c r="W276" s="27" t="s">
        <v>14382</v>
      </c>
    </row>
    <row r="277" customFormat="false" ht="15" hidden="false" customHeight="true" outlineLevel="0" collapsed="false">
      <c r="A277" s="27" t="s">
        <v>3001</v>
      </c>
      <c r="B277" s="27" t="s">
        <v>2254</v>
      </c>
      <c r="C277" s="27" t="s">
        <v>6324</v>
      </c>
      <c r="E277" s="27" t="s">
        <v>55</v>
      </c>
      <c r="F277" s="27" t="s">
        <v>14383</v>
      </c>
      <c r="G277" s="27" t="s">
        <v>98</v>
      </c>
      <c r="H277" s="27" t="s">
        <v>14384</v>
      </c>
      <c r="T277" s="27" t="s">
        <v>50</v>
      </c>
      <c r="V277" s="27" t="s">
        <v>6325</v>
      </c>
      <c r="W277" s="27" t="s">
        <v>13635</v>
      </c>
    </row>
    <row r="278" customFormat="false" ht="17.25" hidden="false" customHeight="true" outlineLevel="0" collapsed="false">
      <c r="A278" s="27" t="s">
        <v>14385</v>
      </c>
      <c r="B278" s="27" t="s">
        <v>1455</v>
      </c>
      <c r="C278" s="27" t="s">
        <v>14386</v>
      </c>
      <c r="E278" s="27" t="s">
        <v>55</v>
      </c>
      <c r="F278" s="27" t="s">
        <v>14387</v>
      </c>
      <c r="G278" s="27" t="s">
        <v>215</v>
      </c>
      <c r="H278" s="27" t="s">
        <v>14388</v>
      </c>
      <c r="I278" s="27" t="s">
        <v>14135</v>
      </c>
      <c r="J278" s="27" t="s">
        <v>13366</v>
      </c>
      <c r="K278" s="27" t="s">
        <v>14135</v>
      </c>
      <c r="L278" s="27" t="s">
        <v>13366</v>
      </c>
      <c r="M278" s="27" t="s">
        <v>14135</v>
      </c>
      <c r="N278" s="27" t="s">
        <v>13366</v>
      </c>
      <c r="O278" s="27" t="s">
        <v>14135</v>
      </c>
      <c r="P278" s="27" t="s">
        <v>13366</v>
      </c>
      <c r="Q278" s="27" t="s">
        <v>14135</v>
      </c>
      <c r="R278" s="27" t="s">
        <v>13366</v>
      </c>
      <c r="T278" s="27" t="s">
        <v>50</v>
      </c>
      <c r="V278" s="27" t="s">
        <v>14389</v>
      </c>
      <c r="W278" s="27" t="s">
        <v>13492</v>
      </c>
    </row>
    <row r="279" customFormat="false" ht="15" hidden="false" customHeight="true" outlineLevel="0" collapsed="false">
      <c r="A279" s="27" t="s">
        <v>14390</v>
      </c>
      <c r="B279" s="27" t="s">
        <v>4463</v>
      </c>
      <c r="C279" s="27" t="s">
        <v>6324</v>
      </c>
      <c r="E279" s="27" t="s">
        <v>55</v>
      </c>
      <c r="F279" s="27" t="s">
        <v>14383</v>
      </c>
      <c r="G279" s="27" t="s">
        <v>98</v>
      </c>
      <c r="H279" s="27" t="s">
        <v>14391</v>
      </c>
      <c r="T279" s="27" t="s">
        <v>50</v>
      </c>
      <c r="V279" s="27" t="s">
        <v>6325</v>
      </c>
      <c r="W279" s="27" t="s">
        <v>13635</v>
      </c>
    </row>
    <row r="280" customFormat="false" ht="17.25" hidden="false" customHeight="true" outlineLevel="0" collapsed="false">
      <c r="A280" s="27" t="s">
        <v>537</v>
      </c>
      <c r="B280" s="27" t="s">
        <v>5227</v>
      </c>
      <c r="C280" s="27" t="s">
        <v>14392</v>
      </c>
      <c r="E280" s="27" t="s">
        <v>55</v>
      </c>
      <c r="F280" s="27" t="s">
        <v>14393</v>
      </c>
      <c r="G280" s="27" t="s">
        <v>345</v>
      </c>
      <c r="H280" s="27" t="s">
        <v>14394</v>
      </c>
      <c r="T280" s="27" t="s">
        <v>50</v>
      </c>
      <c r="U280" s="27" t="s">
        <v>386</v>
      </c>
      <c r="V280" s="27" t="s">
        <v>14395</v>
      </c>
      <c r="W280" s="27" t="s">
        <v>13335</v>
      </c>
    </row>
    <row r="281" customFormat="false" ht="17.25" hidden="false" customHeight="true" outlineLevel="0" collapsed="false">
      <c r="A281" s="27" t="s">
        <v>14396</v>
      </c>
      <c r="B281" s="27" t="s">
        <v>10963</v>
      </c>
      <c r="C281" s="27" t="s">
        <v>14397</v>
      </c>
      <c r="E281" s="27" t="s">
        <v>55</v>
      </c>
      <c r="F281" s="27" t="s">
        <v>14398</v>
      </c>
      <c r="G281" s="27" t="s">
        <v>98</v>
      </c>
      <c r="H281" s="27" t="s">
        <v>14399</v>
      </c>
      <c r="T281" s="27" t="s">
        <v>50</v>
      </c>
      <c r="V281" s="27" t="s">
        <v>11224</v>
      </c>
      <c r="W281" s="27" t="s">
        <v>14400</v>
      </c>
    </row>
    <row r="282" customFormat="false" ht="15" hidden="false" customHeight="true" outlineLevel="0" collapsed="false">
      <c r="A282" s="27" t="s">
        <v>14401</v>
      </c>
      <c r="B282" s="27" t="s">
        <v>9009</v>
      </c>
      <c r="C282" s="27" t="s">
        <v>14402</v>
      </c>
      <c r="E282" s="27" t="s">
        <v>55</v>
      </c>
      <c r="F282" s="27" t="s">
        <v>14403</v>
      </c>
      <c r="G282" s="27" t="s">
        <v>215</v>
      </c>
      <c r="H282" s="27" t="s">
        <v>14404</v>
      </c>
      <c r="T282" s="27" t="s">
        <v>50</v>
      </c>
      <c r="V282" s="27" t="s">
        <v>14405</v>
      </c>
      <c r="W282" s="27" t="s">
        <v>13362</v>
      </c>
    </row>
    <row r="283" customFormat="false" ht="17.25" hidden="false" customHeight="true" outlineLevel="0" collapsed="false">
      <c r="A283" s="27" t="s">
        <v>14406</v>
      </c>
      <c r="B283" s="27" t="s">
        <v>1968</v>
      </c>
      <c r="C283" s="27" t="s">
        <v>14357</v>
      </c>
      <c r="E283" s="27" t="s">
        <v>55</v>
      </c>
      <c r="G283" s="27" t="s">
        <v>98</v>
      </c>
      <c r="H283" s="27" t="s">
        <v>14407</v>
      </c>
      <c r="T283" s="27" t="s">
        <v>50</v>
      </c>
      <c r="V283" s="27" t="s">
        <v>14359</v>
      </c>
      <c r="W283" s="27" t="s">
        <v>13611</v>
      </c>
    </row>
    <row r="284" customFormat="false" ht="15" hidden="false" customHeight="true" outlineLevel="0" collapsed="false">
      <c r="A284" s="27" t="s">
        <v>14408</v>
      </c>
      <c r="B284" s="27" t="s">
        <v>1101</v>
      </c>
      <c r="C284" s="27" t="s">
        <v>14409</v>
      </c>
      <c r="E284" s="27" t="s">
        <v>55</v>
      </c>
      <c r="F284" s="27" t="s">
        <v>14410</v>
      </c>
      <c r="G284" s="27" t="s">
        <v>345</v>
      </c>
      <c r="H284" s="27" t="s">
        <v>14411</v>
      </c>
      <c r="T284" s="27" t="s">
        <v>50</v>
      </c>
      <c r="V284" s="27" t="s">
        <v>14412</v>
      </c>
      <c r="W284" s="27" t="s">
        <v>13902</v>
      </c>
    </row>
    <row r="285" customFormat="false" ht="17.25" hidden="false" customHeight="true" outlineLevel="0" collapsed="false">
      <c r="A285" s="27" t="s">
        <v>14413</v>
      </c>
      <c r="B285" s="27" t="s">
        <v>14414</v>
      </c>
      <c r="C285" s="27" t="s">
        <v>14415</v>
      </c>
      <c r="E285" s="27" t="s">
        <v>55</v>
      </c>
      <c r="F285" s="27" t="s">
        <v>14416</v>
      </c>
      <c r="G285" s="27" t="s">
        <v>215</v>
      </c>
      <c r="H285" s="27" t="s">
        <v>14417</v>
      </c>
      <c r="T285" s="27" t="s">
        <v>50</v>
      </c>
      <c r="U285" s="27" t="s">
        <v>386</v>
      </c>
      <c r="V285" s="27" t="s">
        <v>605</v>
      </c>
      <c r="W285" s="27" t="s">
        <v>14418</v>
      </c>
    </row>
    <row r="286" customFormat="false" ht="17.25" hidden="false" customHeight="true" outlineLevel="0" collapsed="false">
      <c r="A286" s="27" t="s">
        <v>14419</v>
      </c>
      <c r="B286" s="27" t="s">
        <v>14420</v>
      </c>
      <c r="C286" s="27" t="s">
        <v>14357</v>
      </c>
      <c r="E286" s="27" t="s">
        <v>55</v>
      </c>
      <c r="G286" s="27" t="s">
        <v>98</v>
      </c>
      <c r="H286" s="27" t="s">
        <v>14421</v>
      </c>
      <c r="T286" s="27" t="s">
        <v>50</v>
      </c>
      <c r="V286" s="27" t="s">
        <v>14359</v>
      </c>
      <c r="W286" s="27" t="s">
        <v>13611</v>
      </c>
    </row>
    <row r="287" customFormat="false" ht="17.25" hidden="false" customHeight="true" outlineLevel="0" collapsed="false">
      <c r="A287" s="27" t="s">
        <v>14422</v>
      </c>
      <c r="B287" s="27" t="s">
        <v>14423</v>
      </c>
      <c r="C287" s="27" t="s">
        <v>14424</v>
      </c>
      <c r="E287" s="27" t="s">
        <v>55</v>
      </c>
      <c r="F287" s="27" t="s">
        <v>14425</v>
      </c>
      <c r="G287" s="27" t="s">
        <v>345</v>
      </c>
      <c r="H287" s="27" t="s">
        <v>14426</v>
      </c>
      <c r="T287" s="27" t="s">
        <v>50</v>
      </c>
      <c r="V287" s="27" t="s">
        <v>3322</v>
      </c>
      <c r="W287" s="27" t="s">
        <v>13592</v>
      </c>
    </row>
    <row r="288" customFormat="false" ht="17.25" hidden="false" customHeight="true" outlineLevel="0" collapsed="false">
      <c r="A288" s="27" t="s">
        <v>14427</v>
      </c>
      <c r="B288" s="27" t="s">
        <v>1784</v>
      </c>
      <c r="C288" s="27" t="s">
        <v>14428</v>
      </c>
      <c r="E288" s="27" t="s">
        <v>55</v>
      </c>
      <c r="G288" s="27" t="s">
        <v>98</v>
      </c>
      <c r="H288" s="27" t="s">
        <v>14429</v>
      </c>
      <c r="T288" s="27" t="s">
        <v>50</v>
      </c>
      <c r="V288" s="27" t="s">
        <v>4219</v>
      </c>
      <c r="W288" s="27" t="s">
        <v>13394</v>
      </c>
    </row>
    <row r="289" customFormat="false" ht="17.25" hidden="false" customHeight="true" outlineLevel="0" collapsed="false">
      <c r="A289" s="27" t="s">
        <v>14430</v>
      </c>
      <c r="B289" s="27" t="s">
        <v>5966</v>
      </c>
      <c r="C289" s="27" t="s">
        <v>7446</v>
      </c>
      <c r="E289" s="27" t="s">
        <v>55</v>
      </c>
      <c r="F289" s="27" t="s">
        <v>12791</v>
      </c>
      <c r="G289" s="27" t="s">
        <v>215</v>
      </c>
      <c r="H289" s="27" t="s">
        <v>14431</v>
      </c>
      <c r="T289" s="27" t="s">
        <v>50</v>
      </c>
      <c r="V289" s="27" t="s">
        <v>4299</v>
      </c>
      <c r="W289" s="27" t="s">
        <v>13599</v>
      </c>
    </row>
    <row r="290" customFormat="false" ht="17.25" hidden="false" customHeight="true" outlineLevel="0" collapsed="false">
      <c r="A290" s="27" t="s">
        <v>14432</v>
      </c>
      <c r="B290" s="27" t="s">
        <v>4707</v>
      </c>
      <c r="C290" s="27" t="s">
        <v>14433</v>
      </c>
      <c r="E290" s="27" t="s">
        <v>55</v>
      </c>
      <c r="F290" s="27" t="s">
        <v>14434</v>
      </c>
      <c r="G290" s="27" t="s">
        <v>98</v>
      </c>
      <c r="H290" s="27" t="s">
        <v>14435</v>
      </c>
      <c r="I290" s="27" t="s">
        <v>14436</v>
      </c>
      <c r="L290" s="27" t="s">
        <v>13309</v>
      </c>
      <c r="M290" s="27" t="s">
        <v>14436</v>
      </c>
      <c r="O290" s="27" t="s">
        <v>14436</v>
      </c>
      <c r="R290" s="27" t="s">
        <v>13309</v>
      </c>
      <c r="T290" s="27" t="s">
        <v>50</v>
      </c>
      <c r="V290" s="27" t="s">
        <v>1697</v>
      </c>
      <c r="W290" s="27" t="s">
        <v>14437</v>
      </c>
    </row>
    <row r="291" customFormat="false" ht="17.25" hidden="false" customHeight="true" outlineLevel="0" collapsed="false">
      <c r="A291" s="27" t="s">
        <v>14438</v>
      </c>
      <c r="B291" s="27" t="s">
        <v>231</v>
      </c>
      <c r="C291" s="27" t="s">
        <v>14439</v>
      </c>
      <c r="E291" s="27" t="s">
        <v>55</v>
      </c>
      <c r="F291" s="27" t="s">
        <v>14440</v>
      </c>
      <c r="G291" s="27" t="s">
        <v>98</v>
      </c>
      <c r="H291" s="27" t="s">
        <v>14441</v>
      </c>
      <c r="T291" s="27" t="s">
        <v>50</v>
      </c>
      <c r="V291" s="27" t="s">
        <v>64</v>
      </c>
      <c r="W291" s="27" t="s">
        <v>14442</v>
      </c>
    </row>
    <row r="292" customFormat="false" ht="17.25" hidden="false" customHeight="true" outlineLevel="0" collapsed="false">
      <c r="A292" s="27" t="s">
        <v>1134</v>
      </c>
      <c r="B292" s="27" t="s">
        <v>399</v>
      </c>
      <c r="C292" s="27" t="s">
        <v>14443</v>
      </c>
      <c r="E292" s="27" t="s">
        <v>55</v>
      </c>
      <c r="F292" s="27" t="s">
        <v>14444</v>
      </c>
      <c r="G292" s="27" t="s">
        <v>98</v>
      </c>
      <c r="H292" s="27" t="s">
        <v>14445</v>
      </c>
      <c r="T292" s="27" t="s">
        <v>50</v>
      </c>
      <c r="V292" s="27" t="s">
        <v>14446</v>
      </c>
      <c r="W292" s="27" t="s">
        <v>14447</v>
      </c>
    </row>
    <row r="293" customFormat="false" ht="17.25" hidden="false" customHeight="true" outlineLevel="0" collapsed="false">
      <c r="A293" s="27" t="s">
        <v>14448</v>
      </c>
      <c r="B293" s="27" t="s">
        <v>14449</v>
      </c>
      <c r="C293" s="27" t="s">
        <v>14450</v>
      </c>
      <c r="E293" s="27" t="s">
        <v>55</v>
      </c>
      <c r="G293" s="27" t="s">
        <v>98</v>
      </c>
      <c r="H293" s="27" t="s">
        <v>14451</v>
      </c>
      <c r="I293" s="27" t="s">
        <v>14452</v>
      </c>
      <c r="J293" s="27" t="s">
        <v>13310</v>
      </c>
      <c r="K293" s="27" t="s">
        <v>14452</v>
      </c>
      <c r="L293" s="27" t="s">
        <v>13310</v>
      </c>
      <c r="M293" s="27" t="s">
        <v>14452</v>
      </c>
      <c r="N293" s="27" t="s">
        <v>13310</v>
      </c>
      <c r="O293" s="27" t="s">
        <v>14452</v>
      </c>
      <c r="P293" s="27" t="s">
        <v>13310</v>
      </c>
      <c r="Q293" s="27" t="s">
        <v>14452</v>
      </c>
      <c r="R293" s="27" t="s">
        <v>13310</v>
      </c>
      <c r="T293" s="27" t="s">
        <v>50</v>
      </c>
      <c r="V293" s="27" t="s">
        <v>9595</v>
      </c>
      <c r="W293" s="27" t="s">
        <v>14453</v>
      </c>
    </row>
    <row r="294" customFormat="false" ht="17.25" hidden="false" customHeight="true" outlineLevel="0" collapsed="false">
      <c r="A294" s="27" t="s">
        <v>14454</v>
      </c>
      <c r="B294" s="27" t="s">
        <v>848</v>
      </c>
      <c r="C294" s="27" t="s">
        <v>14455</v>
      </c>
      <c r="E294" s="27" t="s">
        <v>55</v>
      </c>
      <c r="F294" s="27" t="s">
        <v>14456</v>
      </c>
      <c r="G294" s="27" t="s">
        <v>98</v>
      </c>
      <c r="H294" s="27" t="s">
        <v>14457</v>
      </c>
      <c r="I294" s="27" t="s">
        <v>13307</v>
      </c>
      <c r="J294" s="27" t="s">
        <v>13310</v>
      </c>
      <c r="K294" s="27" t="s">
        <v>13307</v>
      </c>
      <c r="L294" s="27" t="s">
        <v>13310</v>
      </c>
      <c r="M294" s="27" t="s">
        <v>13307</v>
      </c>
      <c r="N294" s="27" t="s">
        <v>13310</v>
      </c>
      <c r="O294" s="27" t="s">
        <v>13307</v>
      </c>
      <c r="P294" s="27" t="s">
        <v>13310</v>
      </c>
      <c r="Q294" s="27" t="s">
        <v>13307</v>
      </c>
      <c r="R294" s="27" t="s">
        <v>13310</v>
      </c>
      <c r="T294" s="27" t="s">
        <v>50</v>
      </c>
      <c r="V294" s="27" t="s">
        <v>14458</v>
      </c>
      <c r="W294" s="27" t="s">
        <v>13592</v>
      </c>
    </row>
    <row r="295" customFormat="false" ht="15" hidden="false" customHeight="true" outlineLevel="0" collapsed="false">
      <c r="A295" s="27" t="s">
        <v>14459</v>
      </c>
      <c r="B295" s="27" t="s">
        <v>2249</v>
      </c>
      <c r="C295" s="27" t="s">
        <v>2615</v>
      </c>
      <c r="E295" s="27" t="s">
        <v>55</v>
      </c>
      <c r="G295" s="27" t="s">
        <v>98</v>
      </c>
      <c r="H295" s="27" t="s">
        <v>14460</v>
      </c>
      <c r="I295" s="27" t="s">
        <v>14100</v>
      </c>
      <c r="J295" s="27" t="s">
        <v>13907</v>
      </c>
      <c r="K295" s="27" t="s">
        <v>14100</v>
      </c>
      <c r="L295" s="27" t="s">
        <v>13907</v>
      </c>
      <c r="M295" s="27" t="s">
        <v>14461</v>
      </c>
      <c r="N295" s="27" t="s">
        <v>14462</v>
      </c>
      <c r="O295" s="27" t="s">
        <v>14100</v>
      </c>
      <c r="P295" s="27" t="s">
        <v>13907</v>
      </c>
      <c r="Q295" s="27" t="s">
        <v>14157</v>
      </c>
      <c r="R295" s="27" t="s">
        <v>13888</v>
      </c>
      <c r="T295" s="27" t="s">
        <v>50</v>
      </c>
      <c r="V295" s="27" t="s">
        <v>2616</v>
      </c>
      <c r="W295" s="27" t="s">
        <v>14463</v>
      </c>
    </row>
    <row r="296" customFormat="false" ht="17.25" hidden="false" customHeight="true" outlineLevel="0" collapsed="false">
      <c r="A296" s="27" t="s">
        <v>14464</v>
      </c>
      <c r="B296" s="27" t="s">
        <v>14465</v>
      </c>
      <c r="C296" s="27" t="s">
        <v>3321</v>
      </c>
      <c r="E296" s="27" t="s">
        <v>55</v>
      </c>
      <c r="G296" s="27" t="s">
        <v>215</v>
      </c>
      <c r="H296" s="27" t="s">
        <v>14466</v>
      </c>
      <c r="I296" s="27" t="s">
        <v>14467</v>
      </c>
      <c r="J296" s="27" t="s">
        <v>13445</v>
      </c>
      <c r="K296" s="27" t="s">
        <v>14467</v>
      </c>
      <c r="L296" s="27" t="s">
        <v>13445</v>
      </c>
      <c r="M296" s="27" t="s">
        <v>14467</v>
      </c>
      <c r="N296" s="27" t="s">
        <v>13445</v>
      </c>
      <c r="O296" s="27" t="s">
        <v>14467</v>
      </c>
      <c r="P296" s="27" t="s">
        <v>13445</v>
      </c>
      <c r="Q296" s="27" t="s">
        <v>14467</v>
      </c>
      <c r="R296" s="27" t="s">
        <v>13445</v>
      </c>
      <c r="T296" s="27" t="s">
        <v>50</v>
      </c>
      <c r="V296" s="27" t="s">
        <v>3322</v>
      </c>
      <c r="W296" s="27" t="s">
        <v>13502</v>
      </c>
    </row>
    <row r="297" customFormat="false" ht="17.25" hidden="false" customHeight="true" outlineLevel="0" collapsed="false">
      <c r="A297" s="27" t="s">
        <v>14468</v>
      </c>
      <c r="B297" s="27" t="s">
        <v>2048</v>
      </c>
      <c r="C297" s="27" t="s">
        <v>14469</v>
      </c>
      <c r="E297" s="27" t="s">
        <v>55</v>
      </c>
      <c r="F297" s="27" t="s">
        <v>14470</v>
      </c>
      <c r="G297" s="27" t="s">
        <v>98</v>
      </c>
      <c r="H297" s="27" t="s">
        <v>14471</v>
      </c>
      <c r="I297" s="27" t="s">
        <v>14472</v>
      </c>
      <c r="J297" s="27" t="s">
        <v>14198</v>
      </c>
      <c r="K297" s="27" t="s">
        <v>14472</v>
      </c>
      <c r="L297" s="27" t="s">
        <v>14198</v>
      </c>
      <c r="O297" s="27" t="s">
        <v>14472</v>
      </c>
      <c r="P297" s="27" t="s">
        <v>14198</v>
      </c>
      <c r="Q297" s="27" t="s">
        <v>14472</v>
      </c>
      <c r="R297" s="27" t="s">
        <v>13382</v>
      </c>
      <c r="T297" s="27" t="s">
        <v>50</v>
      </c>
      <c r="V297" s="27" t="s">
        <v>14446</v>
      </c>
      <c r="W297" s="27" t="s">
        <v>13358</v>
      </c>
    </row>
    <row r="298" customFormat="false" ht="15" hidden="false" customHeight="true" outlineLevel="0" collapsed="false">
      <c r="A298" s="27" t="s">
        <v>14473</v>
      </c>
      <c r="B298" s="27" t="s">
        <v>14474</v>
      </c>
      <c r="C298" s="27" t="s">
        <v>14475</v>
      </c>
      <c r="E298" s="27" t="s">
        <v>55</v>
      </c>
      <c r="F298" s="27" t="s">
        <v>14476</v>
      </c>
      <c r="G298" s="27" t="s">
        <v>98</v>
      </c>
      <c r="H298" s="27" t="s">
        <v>14477</v>
      </c>
      <c r="T298" s="27" t="s">
        <v>50</v>
      </c>
      <c r="V298" s="27" t="s">
        <v>14347</v>
      </c>
      <c r="W298" s="27" t="s">
        <v>13602</v>
      </c>
    </row>
    <row r="299" customFormat="false" ht="15" hidden="false" customHeight="true" outlineLevel="0" collapsed="false">
      <c r="A299" s="27" t="s">
        <v>14478</v>
      </c>
      <c r="B299" s="27" t="s">
        <v>6752</v>
      </c>
      <c r="C299" s="27" t="s">
        <v>14479</v>
      </c>
      <c r="E299" s="27" t="s">
        <v>55</v>
      </c>
      <c r="F299" s="27" t="s">
        <v>14480</v>
      </c>
      <c r="G299" s="27" t="s">
        <v>98</v>
      </c>
      <c r="H299" s="27" t="s">
        <v>14481</v>
      </c>
      <c r="K299" s="27" t="s">
        <v>13463</v>
      </c>
      <c r="L299" s="27" t="s">
        <v>13309</v>
      </c>
      <c r="M299" s="27" t="s">
        <v>13315</v>
      </c>
      <c r="N299" s="27" t="s">
        <v>13309</v>
      </c>
      <c r="T299" s="27" t="s">
        <v>50</v>
      </c>
      <c r="V299" s="27" t="s">
        <v>14364</v>
      </c>
      <c r="W299" s="27" t="s">
        <v>14482</v>
      </c>
    </row>
    <row r="300" customFormat="false" ht="15" hidden="false" customHeight="true" outlineLevel="0" collapsed="false">
      <c r="A300" s="27" t="s">
        <v>14483</v>
      </c>
      <c r="B300" s="27" t="s">
        <v>419</v>
      </c>
      <c r="C300" s="27" t="s">
        <v>14337</v>
      </c>
      <c r="E300" s="27" t="s">
        <v>55</v>
      </c>
      <c r="F300" s="27" t="s">
        <v>14338</v>
      </c>
      <c r="G300" s="27" t="s">
        <v>98</v>
      </c>
      <c r="H300" s="27" t="s">
        <v>14484</v>
      </c>
      <c r="I300" s="27" t="s">
        <v>13307</v>
      </c>
      <c r="J300" s="27" t="s">
        <v>13309</v>
      </c>
      <c r="K300" s="27" t="s">
        <v>13463</v>
      </c>
      <c r="L300" s="27" t="s">
        <v>13309</v>
      </c>
      <c r="N300" s="27" t="s">
        <v>13445</v>
      </c>
      <c r="O300" s="27" t="s">
        <v>13341</v>
      </c>
      <c r="P300" s="27" t="s">
        <v>13309</v>
      </c>
      <c r="Q300" s="27" t="s">
        <v>13307</v>
      </c>
      <c r="R300" s="27" t="s">
        <v>13308</v>
      </c>
      <c r="T300" s="27" t="s">
        <v>50</v>
      </c>
      <c r="V300" s="27" t="s">
        <v>11224</v>
      </c>
      <c r="W300" s="27" t="s">
        <v>14342</v>
      </c>
    </row>
    <row r="301" customFormat="false" ht="15" hidden="false" customHeight="true" outlineLevel="0" collapsed="false">
      <c r="A301" s="27" t="s">
        <v>14485</v>
      </c>
      <c r="B301" s="27" t="s">
        <v>14486</v>
      </c>
      <c r="C301" s="27" t="s">
        <v>14487</v>
      </c>
      <c r="E301" s="27" t="s">
        <v>55</v>
      </c>
      <c r="F301" s="27" t="s">
        <v>14488</v>
      </c>
      <c r="G301" s="27" t="s">
        <v>98</v>
      </c>
      <c r="H301" s="27" t="s">
        <v>14489</v>
      </c>
      <c r="T301" s="27" t="s">
        <v>50</v>
      </c>
      <c r="V301" s="27" t="s">
        <v>423</v>
      </c>
      <c r="W301" s="27" t="s">
        <v>13475</v>
      </c>
    </row>
    <row r="302" customFormat="false" ht="17.25" hidden="false" customHeight="true" outlineLevel="0" collapsed="false">
      <c r="A302" s="27" t="s">
        <v>14490</v>
      </c>
      <c r="B302" s="27" t="s">
        <v>195</v>
      </c>
      <c r="C302" s="27" t="s">
        <v>14491</v>
      </c>
      <c r="E302" s="27" t="s">
        <v>55</v>
      </c>
      <c r="F302" s="27" t="s">
        <v>14492</v>
      </c>
      <c r="G302" s="27" t="s">
        <v>345</v>
      </c>
      <c r="H302" s="27" t="s">
        <v>14493</v>
      </c>
      <c r="T302" s="27" t="s">
        <v>50</v>
      </c>
      <c r="V302" s="27" t="s">
        <v>2347</v>
      </c>
      <c r="W302" s="27" t="s">
        <v>13592</v>
      </c>
    </row>
    <row r="303" customFormat="false" ht="15" hidden="false" customHeight="true" outlineLevel="0" collapsed="false">
      <c r="A303" s="27" t="s">
        <v>14494</v>
      </c>
      <c r="B303" s="27" t="s">
        <v>14495</v>
      </c>
      <c r="C303" s="27" t="s">
        <v>14496</v>
      </c>
      <c r="E303" s="27" t="s">
        <v>55</v>
      </c>
      <c r="F303" s="27" t="s">
        <v>14497</v>
      </c>
      <c r="G303" s="27" t="s">
        <v>345</v>
      </c>
      <c r="H303" s="27" t="s">
        <v>14498</v>
      </c>
      <c r="T303" s="27" t="s">
        <v>50</v>
      </c>
      <c r="V303" s="27" t="s">
        <v>1752</v>
      </c>
      <c r="W303" s="27" t="s">
        <v>13331</v>
      </c>
    </row>
    <row r="304" customFormat="false" ht="15" hidden="false" customHeight="true" outlineLevel="0" collapsed="false">
      <c r="A304" s="27" t="s">
        <v>14499</v>
      </c>
      <c r="B304" s="27" t="s">
        <v>14500</v>
      </c>
      <c r="C304" s="27" t="s">
        <v>14501</v>
      </c>
      <c r="E304" s="27" t="s">
        <v>55</v>
      </c>
      <c r="F304" s="27" t="s">
        <v>14502</v>
      </c>
      <c r="G304" s="27" t="s">
        <v>98</v>
      </c>
      <c r="H304" s="27" t="s">
        <v>14503</v>
      </c>
      <c r="I304" s="27" t="s">
        <v>13341</v>
      </c>
      <c r="J304" s="27" t="s">
        <v>13367</v>
      </c>
      <c r="Q304" s="27" t="s">
        <v>13307</v>
      </c>
      <c r="R304" s="27" t="s">
        <v>13308</v>
      </c>
      <c r="T304" s="27" t="s">
        <v>50</v>
      </c>
      <c r="V304" s="27" t="s">
        <v>14504</v>
      </c>
      <c r="W304" s="27" t="s">
        <v>13611</v>
      </c>
    </row>
    <row r="305" customFormat="false" ht="15" hidden="false" customHeight="true" outlineLevel="0" collapsed="false">
      <c r="A305" s="27" t="s">
        <v>14505</v>
      </c>
      <c r="B305" s="27" t="s">
        <v>195</v>
      </c>
      <c r="C305" s="27" t="s">
        <v>14469</v>
      </c>
      <c r="E305" s="27" t="s">
        <v>55</v>
      </c>
      <c r="F305" s="27" t="s">
        <v>14506</v>
      </c>
      <c r="G305" s="27" t="s">
        <v>98</v>
      </c>
      <c r="H305" s="27" t="s">
        <v>14507</v>
      </c>
      <c r="I305" s="27" t="s">
        <v>13383</v>
      </c>
      <c r="J305" s="27" t="s">
        <v>13309</v>
      </c>
      <c r="K305" s="27" t="s">
        <v>13383</v>
      </c>
      <c r="L305" s="27" t="s">
        <v>13309</v>
      </c>
      <c r="N305" s="27" t="s">
        <v>13393</v>
      </c>
      <c r="O305" s="27" t="s">
        <v>13383</v>
      </c>
      <c r="P305" s="27" t="s">
        <v>13309</v>
      </c>
      <c r="Q305" s="27" t="s">
        <v>13383</v>
      </c>
      <c r="R305" s="27" t="s">
        <v>13309</v>
      </c>
      <c r="T305" s="27" t="s">
        <v>50</v>
      </c>
      <c r="V305" s="27" t="s">
        <v>14446</v>
      </c>
      <c r="W305" s="27" t="s">
        <v>13358</v>
      </c>
    </row>
    <row r="306" customFormat="false" ht="15" hidden="false" customHeight="true" outlineLevel="0" collapsed="false">
      <c r="A306" s="27" t="s">
        <v>14508</v>
      </c>
      <c r="B306" s="27" t="s">
        <v>182</v>
      </c>
      <c r="C306" s="27" t="s">
        <v>14509</v>
      </c>
      <c r="E306" s="27" t="s">
        <v>55</v>
      </c>
      <c r="F306" s="27" t="s">
        <v>14510</v>
      </c>
      <c r="G306" s="27" t="s">
        <v>98</v>
      </c>
      <c r="H306" s="27" t="s">
        <v>14511</v>
      </c>
      <c r="T306" s="27" t="s">
        <v>50</v>
      </c>
      <c r="V306" s="27" t="s">
        <v>6325</v>
      </c>
      <c r="W306" s="27" t="s">
        <v>13631</v>
      </c>
    </row>
    <row r="307" customFormat="false" ht="15" hidden="false" customHeight="true" outlineLevel="0" collapsed="false">
      <c r="A307" s="27" t="s">
        <v>14512</v>
      </c>
      <c r="B307" s="27" t="s">
        <v>7411</v>
      </c>
      <c r="C307" s="27" t="s">
        <v>14513</v>
      </c>
      <c r="E307" s="27" t="s">
        <v>55</v>
      </c>
      <c r="G307" s="27" t="s">
        <v>98</v>
      </c>
      <c r="H307" s="27" t="s">
        <v>14514</v>
      </c>
      <c r="T307" s="27" t="s">
        <v>50</v>
      </c>
      <c r="V307" s="27" t="s">
        <v>1125</v>
      </c>
      <c r="W307" s="27" t="s">
        <v>13764</v>
      </c>
    </row>
    <row r="308" customFormat="false" ht="15" hidden="false" customHeight="true" outlineLevel="0" collapsed="false">
      <c r="A308" s="27" t="s">
        <v>14515</v>
      </c>
      <c r="B308" s="27" t="s">
        <v>14516</v>
      </c>
      <c r="C308" s="27" t="s">
        <v>14517</v>
      </c>
      <c r="E308" s="27" t="s">
        <v>55</v>
      </c>
      <c r="F308" s="27" t="s">
        <v>14518</v>
      </c>
      <c r="G308" s="27" t="s">
        <v>215</v>
      </c>
      <c r="H308" s="27" t="s">
        <v>14519</v>
      </c>
      <c r="T308" s="27" t="s">
        <v>50</v>
      </c>
      <c r="V308" s="27" t="s">
        <v>6906</v>
      </c>
      <c r="W308" s="27" t="s">
        <v>13788</v>
      </c>
    </row>
    <row r="309" customFormat="false" ht="15" hidden="false" customHeight="true" outlineLevel="0" collapsed="false">
      <c r="A309" s="27" t="s">
        <v>14520</v>
      </c>
      <c r="B309" s="27" t="s">
        <v>3346</v>
      </c>
      <c r="C309" s="27" t="s">
        <v>6324</v>
      </c>
      <c r="E309" s="27" t="s">
        <v>55</v>
      </c>
      <c r="F309" s="27" t="s">
        <v>14521</v>
      </c>
      <c r="G309" s="27" t="s">
        <v>98</v>
      </c>
      <c r="H309" s="27" t="s">
        <v>14522</v>
      </c>
      <c r="T309" s="27" t="s">
        <v>50</v>
      </c>
      <c r="V309" s="27" t="s">
        <v>6325</v>
      </c>
      <c r="W309" s="27" t="s">
        <v>13635</v>
      </c>
    </row>
    <row r="310" customFormat="false" ht="15" hidden="false" customHeight="true" outlineLevel="0" collapsed="false">
      <c r="A310" s="27" t="s">
        <v>13332</v>
      </c>
      <c r="B310" s="27" t="s">
        <v>2880</v>
      </c>
      <c r="C310" s="27" t="s">
        <v>14523</v>
      </c>
      <c r="E310" s="27" t="s">
        <v>55</v>
      </c>
      <c r="F310" s="27" t="s">
        <v>14524</v>
      </c>
      <c r="G310" s="27" t="s">
        <v>98</v>
      </c>
      <c r="H310" s="27" t="s">
        <v>14525</v>
      </c>
      <c r="K310" s="27" t="s">
        <v>13906</v>
      </c>
      <c r="L310" s="27" t="s">
        <v>13851</v>
      </c>
      <c r="T310" s="27" t="s">
        <v>50</v>
      </c>
      <c r="V310" s="27" t="s">
        <v>14526</v>
      </c>
      <c r="W310" s="27" t="s">
        <v>13558</v>
      </c>
    </row>
    <row r="311" customFormat="false" ht="15" hidden="false" customHeight="true" outlineLevel="0" collapsed="false">
      <c r="A311" s="27" t="s">
        <v>13865</v>
      </c>
      <c r="B311" s="27" t="s">
        <v>14527</v>
      </c>
      <c r="C311" s="27" t="s">
        <v>14528</v>
      </c>
      <c r="E311" s="27" t="s">
        <v>55</v>
      </c>
      <c r="F311" s="27" t="s">
        <v>14529</v>
      </c>
      <c r="G311" s="27" t="s">
        <v>98</v>
      </c>
      <c r="H311" s="27" t="s">
        <v>14530</v>
      </c>
      <c r="I311" s="27" t="s">
        <v>13507</v>
      </c>
      <c r="J311" s="27" t="s">
        <v>13367</v>
      </c>
      <c r="K311" s="27" t="s">
        <v>13507</v>
      </c>
      <c r="L311" s="27" t="s">
        <v>13367</v>
      </c>
      <c r="M311" s="27" t="s">
        <v>13507</v>
      </c>
      <c r="N311" s="27" t="s">
        <v>13367</v>
      </c>
      <c r="O311" s="27" t="s">
        <v>13507</v>
      </c>
      <c r="P311" s="27" t="s">
        <v>13367</v>
      </c>
      <c r="Q311" s="27" t="s">
        <v>13507</v>
      </c>
      <c r="R311" s="27" t="s">
        <v>13367</v>
      </c>
      <c r="T311" s="27" t="s">
        <v>50</v>
      </c>
      <c r="V311" s="27" t="s">
        <v>14531</v>
      </c>
      <c r="W311" s="27" t="s">
        <v>13331</v>
      </c>
    </row>
    <row r="312" customFormat="false" ht="15.75" hidden="false" customHeight="true" outlineLevel="0" collapsed="false">
      <c r="A312" s="27" t="s">
        <v>14532</v>
      </c>
      <c r="B312" s="27" t="s">
        <v>958</v>
      </c>
      <c r="C312" s="27" t="s">
        <v>14533</v>
      </c>
      <c r="E312" s="27" t="s">
        <v>55</v>
      </c>
      <c r="F312" s="27" t="s">
        <v>14534</v>
      </c>
      <c r="G312" s="27" t="s">
        <v>61</v>
      </c>
      <c r="H312" s="27" t="s">
        <v>14535</v>
      </c>
      <c r="I312" s="27" t="s">
        <v>14536</v>
      </c>
      <c r="J312" s="27" t="s">
        <v>13309</v>
      </c>
      <c r="K312" s="27" t="s">
        <v>14536</v>
      </c>
      <c r="L312" s="27" t="s">
        <v>13309</v>
      </c>
      <c r="M312" s="27" t="s">
        <v>14537</v>
      </c>
      <c r="O312" s="27" t="s">
        <v>14536</v>
      </c>
      <c r="P312" s="27" t="s">
        <v>13309</v>
      </c>
      <c r="Q312" s="27" t="s">
        <v>14536</v>
      </c>
      <c r="R312" s="27" t="s">
        <v>13309</v>
      </c>
      <c r="T312" s="27" t="s">
        <v>50</v>
      </c>
      <c r="V312" s="27" t="s">
        <v>274</v>
      </c>
      <c r="W312" s="27" t="s">
        <v>13592</v>
      </c>
    </row>
    <row r="313" customFormat="false" ht="15" hidden="false" customHeight="true" outlineLevel="0" collapsed="false">
      <c r="A313" s="27" t="s">
        <v>14538</v>
      </c>
      <c r="B313" s="27" t="s">
        <v>320</v>
      </c>
      <c r="C313" s="27" t="s">
        <v>14539</v>
      </c>
      <c r="E313" s="27" t="s">
        <v>55</v>
      </c>
      <c r="F313" s="27" t="s">
        <v>14540</v>
      </c>
      <c r="G313" s="27" t="s">
        <v>215</v>
      </c>
      <c r="H313" s="27" t="s">
        <v>14541</v>
      </c>
      <c r="T313" s="27" t="s">
        <v>50</v>
      </c>
      <c r="U313" s="27" t="s">
        <v>776</v>
      </c>
      <c r="V313" s="27" t="s">
        <v>4151</v>
      </c>
      <c r="W313" s="27" t="s">
        <v>13602</v>
      </c>
    </row>
    <row r="314" customFormat="false" ht="17.25" hidden="false" customHeight="true" outlineLevel="0" collapsed="false">
      <c r="A314" s="27" t="s">
        <v>14542</v>
      </c>
      <c r="B314" s="27" t="s">
        <v>14543</v>
      </c>
      <c r="C314" s="27" t="s">
        <v>14544</v>
      </c>
      <c r="E314" s="27" t="s">
        <v>55</v>
      </c>
      <c r="F314" s="27" t="s">
        <v>14545</v>
      </c>
      <c r="G314" s="27" t="s">
        <v>98</v>
      </c>
      <c r="H314" s="27" t="s">
        <v>14546</v>
      </c>
      <c r="T314" s="27" t="s">
        <v>50</v>
      </c>
      <c r="V314" s="27" t="s">
        <v>14458</v>
      </c>
      <c r="W314" s="27" t="s">
        <v>13671</v>
      </c>
    </row>
    <row r="315" customFormat="false" ht="15" hidden="false" customHeight="true" outlineLevel="0" collapsed="false">
      <c r="A315" s="27" t="s">
        <v>14547</v>
      </c>
      <c r="B315" s="27" t="s">
        <v>1355</v>
      </c>
      <c r="C315" s="27" t="s">
        <v>14548</v>
      </c>
      <c r="E315" s="27" t="s">
        <v>55</v>
      </c>
      <c r="F315" s="27" t="s">
        <v>14549</v>
      </c>
      <c r="G315" s="27" t="s">
        <v>98</v>
      </c>
      <c r="H315" s="27" t="s">
        <v>14550</v>
      </c>
      <c r="T315" s="27" t="s">
        <v>50</v>
      </c>
      <c r="V315" s="27" t="s">
        <v>2982</v>
      </c>
      <c r="W315" s="27" t="s">
        <v>13977</v>
      </c>
    </row>
    <row r="316" customFormat="false" ht="15" hidden="false" customHeight="true" outlineLevel="0" collapsed="false">
      <c r="A316" s="27" t="s">
        <v>14551</v>
      </c>
      <c r="B316" s="27" t="s">
        <v>1121</v>
      </c>
      <c r="C316" s="27" t="s">
        <v>3321</v>
      </c>
      <c r="E316" s="27" t="s">
        <v>55</v>
      </c>
      <c r="F316" s="27" t="s">
        <v>14552</v>
      </c>
      <c r="G316" s="27" t="s">
        <v>98</v>
      </c>
      <c r="H316" s="27" t="s">
        <v>14553</v>
      </c>
      <c r="T316" s="27" t="s">
        <v>50</v>
      </c>
      <c r="V316" s="27" t="s">
        <v>3322</v>
      </c>
      <c r="W316" s="27" t="s">
        <v>13502</v>
      </c>
    </row>
    <row r="317" customFormat="false" ht="15" hidden="false" customHeight="true" outlineLevel="0" collapsed="false">
      <c r="A317" s="27" t="s">
        <v>4095</v>
      </c>
      <c r="B317" s="27" t="s">
        <v>727</v>
      </c>
      <c r="C317" s="27" t="s">
        <v>14554</v>
      </c>
      <c r="E317" s="27" t="s">
        <v>55</v>
      </c>
      <c r="G317" s="27" t="s">
        <v>98</v>
      </c>
      <c r="H317" s="27" t="s">
        <v>14555</v>
      </c>
      <c r="I317" s="27" t="s">
        <v>13352</v>
      </c>
      <c r="J317" s="27" t="s">
        <v>13309</v>
      </c>
      <c r="K317" s="27" t="s">
        <v>13352</v>
      </c>
      <c r="L317" s="27" t="s">
        <v>13309</v>
      </c>
      <c r="M317" s="27" t="s">
        <v>13352</v>
      </c>
      <c r="N317" s="27" t="s">
        <v>13309</v>
      </c>
      <c r="O317" s="27" t="s">
        <v>13352</v>
      </c>
      <c r="P317" s="27" t="s">
        <v>13309</v>
      </c>
      <c r="Q317" s="27" t="s">
        <v>13352</v>
      </c>
      <c r="R317" s="27" t="s">
        <v>13309</v>
      </c>
      <c r="T317" s="27" t="s">
        <v>50</v>
      </c>
      <c r="V317" s="27" t="s">
        <v>14364</v>
      </c>
      <c r="W317" s="27" t="s">
        <v>13617</v>
      </c>
    </row>
    <row r="318" customFormat="false" ht="15" hidden="false" customHeight="true" outlineLevel="0" collapsed="false">
      <c r="A318" s="27" t="s">
        <v>14556</v>
      </c>
      <c r="B318" s="27" t="s">
        <v>5545</v>
      </c>
      <c r="C318" s="27" t="s">
        <v>14557</v>
      </c>
      <c r="E318" s="27" t="s">
        <v>55</v>
      </c>
      <c r="G318" s="27" t="s">
        <v>215</v>
      </c>
      <c r="H318" s="27" t="s">
        <v>14558</v>
      </c>
      <c r="T318" s="27" t="s">
        <v>50</v>
      </c>
      <c r="V318" s="27" t="s">
        <v>14559</v>
      </c>
      <c r="W318" s="27" t="s">
        <v>13522</v>
      </c>
    </row>
    <row r="319" customFormat="false" ht="15" hidden="false" customHeight="true" outlineLevel="0" collapsed="false">
      <c r="A319" s="27" t="s">
        <v>8257</v>
      </c>
      <c r="B319" s="27" t="s">
        <v>958</v>
      </c>
      <c r="C319" s="27" t="s">
        <v>14560</v>
      </c>
      <c r="E319" s="27" t="s">
        <v>55</v>
      </c>
      <c r="F319" s="27" t="s">
        <v>14561</v>
      </c>
      <c r="G319" s="27" t="s">
        <v>98</v>
      </c>
      <c r="H319" s="27" t="s">
        <v>14562</v>
      </c>
      <c r="T319" s="27" t="s">
        <v>50</v>
      </c>
      <c r="V319" s="27" t="s">
        <v>14354</v>
      </c>
      <c r="W319" s="27" t="s">
        <v>14563</v>
      </c>
    </row>
    <row r="320" customFormat="false" ht="15" hidden="false" customHeight="true" outlineLevel="0" collapsed="false">
      <c r="A320" s="27" t="s">
        <v>14564</v>
      </c>
      <c r="B320" s="27" t="s">
        <v>7282</v>
      </c>
      <c r="C320" s="27" t="s">
        <v>14357</v>
      </c>
      <c r="E320" s="27" t="s">
        <v>55</v>
      </c>
      <c r="G320" s="27" t="s">
        <v>98</v>
      </c>
      <c r="H320" s="27" t="s">
        <v>14565</v>
      </c>
      <c r="T320" s="27" t="s">
        <v>50</v>
      </c>
      <c r="V320" s="27" t="s">
        <v>14359</v>
      </c>
      <c r="W320" s="27" t="s">
        <v>13611</v>
      </c>
    </row>
    <row r="321" customFormat="false" ht="15" hidden="false" customHeight="true" outlineLevel="0" collapsed="false">
      <c r="A321" s="27" t="s">
        <v>11086</v>
      </c>
      <c r="B321" s="27" t="s">
        <v>2838</v>
      </c>
      <c r="C321" s="27" t="s">
        <v>14566</v>
      </c>
      <c r="E321" s="27" t="s">
        <v>55</v>
      </c>
      <c r="F321" s="27" t="s">
        <v>14567</v>
      </c>
      <c r="G321" s="27" t="s">
        <v>98</v>
      </c>
      <c r="H321" s="27" t="s">
        <v>14568</v>
      </c>
      <c r="I321" s="27" t="s">
        <v>14569</v>
      </c>
      <c r="J321" s="27" t="s">
        <v>14570</v>
      </c>
      <c r="L321" s="27" t="s">
        <v>14571</v>
      </c>
      <c r="M321" s="27" t="s">
        <v>14569</v>
      </c>
      <c r="N321" s="27" t="s">
        <v>14570</v>
      </c>
      <c r="O321" s="27" t="s">
        <v>14572</v>
      </c>
      <c r="Q321" s="27" t="s">
        <v>14569</v>
      </c>
      <c r="R321" s="27" t="s">
        <v>14570</v>
      </c>
      <c r="T321" s="27" t="s">
        <v>50</v>
      </c>
      <c r="V321" s="27" t="s">
        <v>14573</v>
      </c>
      <c r="W321" s="27" t="s">
        <v>13362</v>
      </c>
    </row>
    <row r="322" customFormat="false" ht="15" hidden="false" customHeight="true" outlineLevel="0" collapsed="false">
      <c r="A322" s="27" t="s">
        <v>14574</v>
      </c>
      <c r="B322" s="27" t="s">
        <v>204</v>
      </c>
      <c r="C322" s="27" t="s">
        <v>10218</v>
      </c>
      <c r="E322" s="27" t="s">
        <v>55</v>
      </c>
      <c r="F322" s="27" t="s">
        <v>10219</v>
      </c>
      <c r="G322" s="27" t="s">
        <v>98</v>
      </c>
      <c r="H322" s="27" t="s">
        <v>14575</v>
      </c>
      <c r="T322" s="27" t="s">
        <v>50</v>
      </c>
      <c r="V322" s="27" t="s">
        <v>4299</v>
      </c>
      <c r="W322" s="27" t="s">
        <v>13492</v>
      </c>
    </row>
    <row r="323" customFormat="false" ht="17.25" hidden="false" customHeight="true" outlineLevel="0" collapsed="false">
      <c r="A323" s="27" t="s">
        <v>14576</v>
      </c>
      <c r="B323" s="27" t="s">
        <v>1143</v>
      </c>
      <c r="C323" s="27" t="s">
        <v>14577</v>
      </c>
      <c r="E323" s="27" t="s">
        <v>55</v>
      </c>
      <c r="F323" s="27" t="s">
        <v>14578</v>
      </c>
      <c r="G323" s="27" t="s">
        <v>98</v>
      </c>
      <c r="H323" s="27" t="s">
        <v>14579</v>
      </c>
      <c r="I323" s="27" t="s">
        <v>14580</v>
      </c>
      <c r="J323" s="27" t="s">
        <v>13944</v>
      </c>
      <c r="K323" s="27" t="s">
        <v>14580</v>
      </c>
      <c r="L323" s="27" t="s">
        <v>13944</v>
      </c>
      <c r="M323" s="27" t="s">
        <v>14580</v>
      </c>
      <c r="N323" s="27" t="s">
        <v>14581</v>
      </c>
      <c r="O323" s="27" t="s">
        <v>14580</v>
      </c>
      <c r="P323" s="27" t="s">
        <v>13944</v>
      </c>
      <c r="Q323" s="27" t="s">
        <v>14580</v>
      </c>
      <c r="R323" s="27" t="s">
        <v>13944</v>
      </c>
      <c r="T323" s="27" t="s">
        <v>50</v>
      </c>
      <c r="V323" s="27" t="s">
        <v>14582</v>
      </c>
      <c r="W323" s="27" t="s">
        <v>13496</v>
      </c>
    </row>
    <row r="324" customFormat="false" ht="15" hidden="false" customHeight="true" outlineLevel="0" collapsed="false">
      <c r="A324" s="27" t="s">
        <v>14583</v>
      </c>
      <c r="B324" s="27" t="s">
        <v>10963</v>
      </c>
      <c r="C324" s="27" t="s">
        <v>14584</v>
      </c>
      <c r="E324" s="27" t="s">
        <v>55</v>
      </c>
      <c r="F324" s="27" t="s">
        <v>14585</v>
      </c>
      <c r="G324" s="27" t="s">
        <v>98</v>
      </c>
      <c r="H324" s="27" t="s">
        <v>14586</v>
      </c>
      <c r="T324" s="27" t="s">
        <v>50</v>
      </c>
      <c r="V324" s="27" t="s">
        <v>14587</v>
      </c>
      <c r="W324" s="27" t="s">
        <v>13764</v>
      </c>
    </row>
    <row r="325" customFormat="false" ht="15" hidden="false" customHeight="true" outlineLevel="0" collapsed="false">
      <c r="A325" s="27" t="s">
        <v>14588</v>
      </c>
      <c r="B325" s="27" t="s">
        <v>2880</v>
      </c>
      <c r="C325" s="27" t="s">
        <v>14589</v>
      </c>
      <c r="E325" s="27" t="s">
        <v>55</v>
      </c>
      <c r="F325" s="27" t="s">
        <v>14590</v>
      </c>
      <c r="G325" s="27" t="s">
        <v>345</v>
      </c>
      <c r="H325" s="27" t="s">
        <v>14591</v>
      </c>
      <c r="T325" s="27" t="s">
        <v>50</v>
      </c>
      <c r="V325" s="27" t="s">
        <v>3044</v>
      </c>
      <c r="W325" s="27" t="s">
        <v>13394</v>
      </c>
    </row>
    <row r="326" customFormat="false" ht="15" hidden="false" customHeight="true" outlineLevel="0" collapsed="false">
      <c r="A326" s="27" t="s">
        <v>509</v>
      </c>
      <c r="B326" s="27" t="s">
        <v>958</v>
      </c>
      <c r="C326" s="27" t="s">
        <v>14592</v>
      </c>
      <c r="E326" s="27" t="s">
        <v>55</v>
      </c>
      <c r="G326" s="27" t="s">
        <v>215</v>
      </c>
      <c r="H326" s="27" t="s">
        <v>14593</v>
      </c>
      <c r="T326" s="27" t="s">
        <v>50</v>
      </c>
      <c r="V326" s="27" t="s">
        <v>826</v>
      </c>
      <c r="W326" s="27" t="s">
        <v>13335</v>
      </c>
    </row>
    <row r="327" customFormat="false" ht="17.25" hidden="false" customHeight="true" outlineLevel="0" collapsed="false">
      <c r="A327" s="27" t="s">
        <v>14594</v>
      </c>
      <c r="B327" s="27" t="s">
        <v>231</v>
      </c>
      <c r="C327" s="27" t="s">
        <v>6324</v>
      </c>
      <c r="E327" s="27" t="s">
        <v>55</v>
      </c>
      <c r="F327" s="27" t="s">
        <v>14383</v>
      </c>
      <c r="G327" s="27" t="s">
        <v>98</v>
      </c>
      <c r="H327" s="27" t="s">
        <v>14595</v>
      </c>
      <c r="T327" s="27" t="s">
        <v>50</v>
      </c>
      <c r="V327" s="27" t="s">
        <v>6325</v>
      </c>
      <c r="W327" s="27" t="s">
        <v>13635</v>
      </c>
    </row>
    <row r="328" customFormat="false" ht="15" hidden="false" customHeight="true" outlineLevel="0" collapsed="false">
      <c r="A328" s="27" t="s">
        <v>14596</v>
      </c>
      <c r="B328" s="27" t="s">
        <v>643</v>
      </c>
      <c r="C328" s="27" t="s">
        <v>14597</v>
      </c>
      <c r="E328" s="27" t="s">
        <v>55</v>
      </c>
      <c r="F328" s="27" t="s">
        <v>14598</v>
      </c>
      <c r="G328" s="27" t="s">
        <v>98</v>
      </c>
      <c r="H328" s="27" t="s">
        <v>14599</v>
      </c>
      <c r="T328" s="27" t="s">
        <v>50</v>
      </c>
      <c r="V328" s="27" t="s">
        <v>9595</v>
      </c>
      <c r="W328" s="27" t="s">
        <v>14600</v>
      </c>
    </row>
    <row r="329" customFormat="false" ht="15" hidden="false" customHeight="true" outlineLevel="0" collapsed="false">
      <c r="A329" s="27" t="s">
        <v>14601</v>
      </c>
      <c r="B329" s="27" t="s">
        <v>195</v>
      </c>
      <c r="C329" s="27" t="s">
        <v>14602</v>
      </c>
      <c r="E329" s="27" t="s">
        <v>55</v>
      </c>
      <c r="F329" s="27" t="s">
        <v>14603</v>
      </c>
      <c r="G329" s="27" t="s">
        <v>98</v>
      </c>
      <c r="H329" s="27" t="s">
        <v>14604</v>
      </c>
      <c r="T329" s="27" t="s">
        <v>50</v>
      </c>
      <c r="V329" s="27" t="s">
        <v>14605</v>
      </c>
      <c r="W329" s="27" t="s">
        <v>13635</v>
      </c>
    </row>
    <row r="330" customFormat="false" ht="15" hidden="false" customHeight="true" outlineLevel="0" collapsed="false">
      <c r="A330" s="27" t="s">
        <v>14606</v>
      </c>
      <c r="B330" s="27" t="s">
        <v>3346</v>
      </c>
      <c r="C330" s="27" t="s">
        <v>9063</v>
      </c>
      <c r="E330" s="27" t="s">
        <v>55</v>
      </c>
      <c r="G330" s="27" t="s">
        <v>98</v>
      </c>
      <c r="H330" s="27" t="s">
        <v>14607</v>
      </c>
      <c r="T330" s="27" t="s">
        <v>50</v>
      </c>
      <c r="V330" s="27" t="s">
        <v>9064</v>
      </c>
      <c r="W330" s="27" t="s">
        <v>13331</v>
      </c>
    </row>
    <row r="331" customFormat="false" ht="15" hidden="false" customHeight="true" outlineLevel="0" collapsed="false">
      <c r="A331" s="27" t="s">
        <v>14608</v>
      </c>
      <c r="B331" s="27" t="s">
        <v>1196</v>
      </c>
      <c r="C331" s="27" t="s">
        <v>2981</v>
      </c>
      <c r="E331" s="27" t="s">
        <v>55</v>
      </c>
      <c r="G331" s="27" t="s">
        <v>98</v>
      </c>
      <c r="H331" s="27" t="s">
        <v>14609</v>
      </c>
      <c r="T331" s="27" t="s">
        <v>50</v>
      </c>
      <c r="V331" s="27" t="s">
        <v>2982</v>
      </c>
      <c r="W331" s="27" t="s">
        <v>14037</v>
      </c>
    </row>
    <row r="332" customFormat="false" ht="15" hidden="false" customHeight="true" outlineLevel="0" collapsed="false">
      <c r="A332" s="27" t="s">
        <v>5389</v>
      </c>
      <c r="B332" s="27" t="s">
        <v>160</v>
      </c>
      <c r="C332" s="27" t="s">
        <v>14610</v>
      </c>
      <c r="E332" s="27" t="s">
        <v>55</v>
      </c>
      <c r="F332" s="27" t="s">
        <v>14611</v>
      </c>
      <c r="G332" s="27" t="s">
        <v>98</v>
      </c>
      <c r="H332" s="27" t="s">
        <v>14612</v>
      </c>
      <c r="I332" s="27" t="s">
        <v>13373</v>
      </c>
      <c r="J332" s="27" t="s">
        <v>13445</v>
      </c>
      <c r="K332" s="27" t="s">
        <v>13373</v>
      </c>
      <c r="L332" s="27" t="s">
        <v>13445</v>
      </c>
      <c r="M332" s="27" t="s">
        <v>13373</v>
      </c>
      <c r="N332" s="27" t="s">
        <v>13445</v>
      </c>
      <c r="O332" s="27" t="s">
        <v>13373</v>
      </c>
      <c r="P332" s="27" t="s">
        <v>13445</v>
      </c>
      <c r="Q332" s="27" t="s">
        <v>13373</v>
      </c>
      <c r="R332" s="27" t="s">
        <v>13445</v>
      </c>
      <c r="T332" s="27" t="s">
        <v>50</v>
      </c>
      <c r="V332" s="27" t="s">
        <v>14613</v>
      </c>
      <c r="W332" s="27" t="s">
        <v>13496</v>
      </c>
    </row>
    <row r="333" customFormat="false" ht="15" hidden="false" customHeight="true" outlineLevel="0" collapsed="false">
      <c r="A333" s="27" t="s">
        <v>14614</v>
      </c>
      <c r="B333" s="27" t="s">
        <v>332</v>
      </c>
      <c r="C333" s="27" t="s">
        <v>14615</v>
      </c>
      <c r="E333" s="27" t="s">
        <v>55</v>
      </c>
      <c r="F333" s="27" t="s">
        <v>14616</v>
      </c>
      <c r="G333" s="27" t="s">
        <v>215</v>
      </c>
      <c r="H333" s="27" t="s">
        <v>14617</v>
      </c>
      <c r="T333" s="27" t="s">
        <v>50</v>
      </c>
      <c r="V333" s="27" t="s">
        <v>605</v>
      </c>
      <c r="W333" s="27" t="s">
        <v>14463</v>
      </c>
    </row>
    <row r="334" customFormat="false" ht="17.25" hidden="false" customHeight="true" outlineLevel="0" collapsed="false">
      <c r="A334" s="27" t="s">
        <v>14618</v>
      </c>
      <c r="B334" s="27" t="s">
        <v>1539</v>
      </c>
      <c r="C334" s="27" t="s">
        <v>2829</v>
      </c>
      <c r="E334" s="27" t="s">
        <v>55</v>
      </c>
      <c r="F334" s="27" t="s">
        <v>2831</v>
      </c>
      <c r="G334" s="27" t="s">
        <v>215</v>
      </c>
      <c r="H334" s="27" t="s">
        <v>14619</v>
      </c>
      <c r="T334" s="27" t="s">
        <v>50</v>
      </c>
      <c r="V334" s="27" t="s">
        <v>2830</v>
      </c>
      <c r="W334" s="27" t="s">
        <v>13522</v>
      </c>
    </row>
    <row r="335" customFormat="false" ht="15" hidden="false" customHeight="true" outlineLevel="0" collapsed="false">
      <c r="A335" s="27" t="s">
        <v>14620</v>
      </c>
      <c r="B335" s="27" t="s">
        <v>14621</v>
      </c>
      <c r="C335" s="27" t="s">
        <v>14622</v>
      </c>
      <c r="E335" s="27" t="s">
        <v>55</v>
      </c>
      <c r="F335" s="27" t="s">
        <v>14623</v>
      </c>
      <c r="G335" s="27" t="s">
        <v>345</v>
      </c>
      <c r="H335" s="27" t="s">
        <v>14624</v>
      </c>
      <c r="T335" s="27" t="s">
        <v>50</v>
      </c>
      <c r="V335" s="27" t="s">
        <v>1489</v>
      </c>
      <c r="W335" s="27" t="s">
        <v>13348</v>
      </c>
    </row>
    <row r="336" customFormat="false" ht="15" hidden="false" customHeight="true" outlineLevel="0" collapsed="false">
      <c r="A336" s="27" t="s">
        <v>14625</v>
      </c>
      <c r="B336" s="27" t="s">
        <v>2750</v>
      </c>
      <c r="C336" s="27" t="s">
        <v>14626</v>
      </c>
      <c r="E336" s="27" t="s">
        <v>55</v>
      </c>
      <c r="F336" s="27" t="s">
        <v>14627</v>
      </c>
      <c r="G336" s="27" t="s">
        <v>98</v>
      </c>
      <c r="H336" s="27" t="s">
        <v>14628</v>
      </c>
      <c r="T336" s="27" t="s">
        <v>50</v>
      </c>
      <c r="V336" s="27" t="s">
        <v>605</v>
      </c>
      <c r="W336" s="27" t="s">
        <v>13362</v>
      </c>
    </row>
    <row r="337" customFormat="false" ht="15" hidden="false" customHeight="true" outlineLevel="0" collapsed="false">
      <c r="A337" s="27" t="s">
        <v>14629</v>
      </c>
      <c r="B337" s="27" t="s">
        <v>3582</v>
      </c>
      <c r="C337" s="27" t="s">
        <v>14630</v>
      </c>
      <c r="E337" s="27" t="s">
        <v>55</v>
      </c>
      <c r="F337" s="27" t="s">
        <v>14631</v>
      </c>
      <c r="G337" s="27" t="s">
        <v>98</v>
      </c>
      <c r="H337" s="27" t="s">
        <v>14632</v>
      </c>
      <c r="I337" s="27" t="s">
        <v>13307</v>
      </c>
      <c r="J337" s="27" t="s">
        <v>13309</v>
      </c>
      <c r="K337" s="27" t="s">
        <v>13307</v>
      </c>
      <c r="L337" s="27" t="s">
        <v>13309</v>
      </c>
      <c r="M337" s="27" t="s">
        <v>14633</v>
      </c>
      <c r="N337" s="27" t="s">
        <v>14634</v>
      </c>
      <c r="O337" s="27" t="s">
        <v>13307</v>
      </c>
      <c r="P337" s="27" t="s">
        <v>13309</v>
      </c>
      <c r="Q337" s="27" t="s">
        <v>13307</v>
      </c>
      <c r="R337" s="27" t="s">
        <v>13309</v>
      </c>
      <c r="T337" s="27" t="s">
        <v>50</v>
      </c>
      <c r="V337" s="27" t="s">
        <v>14635</v>
      </c>
      <c r="W337" s="27" t="s">
        <v>13925</v>
      </c>
    </row>
    <row r="338" customFormat="false" ht="17.25" hidden="false" customHeight="true" outlineLevel="0" collapsed="false">
      <c r="A338" s="27" t="s">
        <v>14636</v>
      </c>
      <c r="B338" s="27" t="s">
        <v>14637</v>
      </c>
      <c r="C338" s="27" t="s">
        <v>14638</v>
      </c>
      <c r="E338" s="27" t="s">
        <v>55</v>
      </c>
      <c r="F338" s="27" t="s">
        <v>14639</v>
      </c>
      <c r="G338" s="27" t="s">
        <v>98</v>
      </c>
      <c r="H338" s="27" t="s">
        <v>14640</v>
      </c>
      <c r="I338" s="27" t="s">
        <v>13463</v>
      </c>
      <c r="J338" s="27" t="s">
        <v>13309</v>
      </c>
      <c r="K338" s="27" t="s">
        <v>13463</v>
      </c>
      <c r="L338" s="27" t="s">
        <v>13309</v>
      </c>
      <c r="O338" s="27" t="s">
        <v>13463</v>
      </c>
      <c r="P338" s="27" t="s">
        <v>13309</v>
      </c>
      <c r="Q338" s="27" t="s">
        <v>13463</v>
      </c>
      <c r="R338" s="27" t="s">
        <v>13310</v>
      </c>
      <c r="T338" s="27" t="s">
        <v>50</v>
      </c>
      <c r="V338" s="27" t="s">
        <v>423</v>
      </c>
      <c r="W338" s="27" t="s">
        <v>13502</v>
      </c>
    </row>
    <row r="339" customFormat="false" ht="17.25" hidden="false" customHeight="true" outlineLevel="0" collapsed="false">
      <c r="A339" s="27" t="s">
        <v>14641</v>
      </c>
      <c r="B339" s="27" t="s">
        <v>643</v>
      </c>
      <c r="C339" s="27" t="s">
        <v>14642</v>
      </c>
      <c r="E339" s="27" t="s">
        <v>55</v>
      </c>
      <c r="F339" s="27" t="s">
        <v>14643</v>
      </c>
      <c r="G339" s="27" t="s">
        <v>98</v>
      </c>
      <c r="H339" s="27" t="s">
        <v>14644</v>
      </c>
      <c r="T339" s="27" t="s">
        <v>50</v>
      </c>
      <c r="V339" s="27" t="s">
        <v>4151</v>
      </c>
      <c r="W339" s="27" t="s">
        <v>13414</v>
      </c>
    </row>
    <row r="340" customFormat="false" ht="17.25" hidden="false" customHeight="true" outlineLevel="0" collapsed="false">
      <c r="A340" s="27" t="s">
        <v>14645</v>
      </c>
      <c r="B340" s="27" t="s">
        <v>958</v>
      </c>
      <c r="C340" s="27" t="s">
        <v>14402</v>
      </c>
      <c r="E340" s="27" t="s">
        <v>55</v>
      </c>
      <c r="F340" s="27" t="s">
        <v>14403</v>
      </c>
      <c r="G340" s="27" t="s">
        <v>98</v>
      </c>
      <c r="H340" s="27" t="s">
        <v>14646</v>
      </c>
      <c r="T340" s="27" t="s">
        <v>50</v>
      </c>
      <c r="V340" s="27" t="s">
        <v>14405</v>
      </c>
      <c r="W340" s="27" t="s">
        <v>13362</v>
      </c>
    </row>
    <row r="341" customFormat="false" ht="17.25" hidden="false" customHeight="true" outlineLevel="0" collapsed="false">
      <c r="A341" s="27" t="s">
        <v>14647</v>
      </c>
      <c r="B341" s="27" t="s">
        <v>9319</v>
      </c>
      <c r="C341" s="27" t="s">
        <v>6324</v>
      </c>
      <c r="E341" s="27" t="s">
        <v>55</v>
      </c>
      <c r="G341" s="27" t="s">
        <v>98</v>
      </c>
      <c r="H341" s="27" t="s">
        <v>14648</v>
      </c>
      <c r="T341" s="27" t="s">
        <v>50</v>
      </c>
      <c r="V341" s="27" t="s">
        <v>6325</v>
      </c>
      <c r="W341" s="27" t="s">
        <v>13635</v>
      </c>
    </row>
    <row r="342" customFormat="false" ht="17.25" hidden="false" customHeight="true" outlineLevel="0" collapsed="false">
      <c r="A342" s="27" t="s">
        <v>14649</v>
      </c>
      <c r="B342" s="27" t="s">
        <v>5648</v>
      </c>
      <c r="C342" s="27" t="s">
        <v>14357</v>
      </c>
      <c r="E342" s="27" t="s">
        <v>55</v>
      </c>
      <c r="G342" s="27" t="s">
        <v>98</v>
      </c>
      <c r="H342" s="27" t="s">
        <v>14650</v>
      </c>
      <c r="T342" s="27" t="s">
        <v>50</v>
      </c>
      <c r="V342" s="27" t="s">
        <v>14359</v>
      </c>
      <c r="W342" s="27" t="s">
        <v>13611</v>
      </c>
    </row>
    <row r="343" customFormat="false" ht="15" hidden="false" customHeight="true" outlineLevel="0" collapsed="false">
      <c r="A343" s="27" t="s">
        <v>14651</v>
      </c>
      <c r="B343" s="27" t="s">
        <v>578</v>
      </c>
      <c r="C343" s="27" t="s">
        <v>6324</v>
      </c>
      <c r="E343" s="27" t="s">
        <v>55</v>
      </c>
      <c r="F343" s="27" t="s">
        <v>14521</v>
      </c>
      <c r="G343" s="27" t="s">
        <v>61</v>
      </c>
      <c r="H343" s="27" t="s">
        <v>14652</v>
      </c>
      <c r="T343" s="27" t="s">
        <v>50</v>
      </c>
      <c r="V343" s="27" t="s">
        <v>6325</v>
      </c>
      <c r="W343" s="27" t="s">
        <v>13635</v>
      </c>
    </row>
    <row r="344" customFormat="false" ht="15" hidden="false" customHeight="true" outlineLevel="0" collapsed="false">
      <c r="A344" s="27" t="s">
        <v>14653</v>
      </c>
      <c r="B344" s="27" t="s">
        <v>9734</v>
      </c>
      <c r="C344" s="27" t="s">
        <v>14357</v>
      </c>
      <c r="E344" s="27" t="s">
        <v>55</v>
      </c>
      <c r="G344" s="27" t="s">
        <v>98</v>
      </c>
      <c r="H344" s="27" t="s">
        <v>14654</v>
      </c>
      <c r="T344" s="27" t="s">
        <v>50</v>
      </c>
      <c r="V344" s="27" t="s">
        <v>14359</v>
      </c>
      <c r="W344" s="27" t="s">
        <v>13611</v>
      </c>
    </row>
    <row r="345" customFormat="false" ht="17.25" hidden="false" customHeight="true" outlineLevel="0" collapsed="false">
      <c r="A345" s="27" t="s">
        <v>14655</v>
      </c>
      <c r="B345" s="27" t="s">
        <v>5952</v>
      </c>
      <c r="C345" s="27" t="s">
        <v>14656</v>
      </c>
      <c r="E345" s="27" t="s">
        <v>55</v>
      </c>
      <c r="G345" s="27" t="s">
        <v>215</v>
      </c>
      <c r="H345" s="27" t="s">
        <v>14657</v>
      </c>
      <c r="T345" s="27" t="s">
        <v>50</v>
      </c>
      <c r="V345" s="27" t="s">
        <v>3322</v>
      </c>
      <c r="W345" s="27" t="s">
        <v>13599</v>
      </c>
    </row>
    <row r="346" customFormat="false" ht="15" hidden="false" customHeight="true" outlineLevel="0" collapsed="false">
      <c r="A346" s="27" t="s">
        <v>14658</v>
      </c>
      <c r="B346" s="27" t="s">
        <v>455</v>
      </c>
      <c r="C346" s="27" t="s">
        <v>2803</v>
      </c>
      <c r="E346" s="27" t="s">
        <v>55</v>
      </c>
      <c r="F346" s="27" t="s">
        <v>2805</v>
      </c>
      <c r="G346" s="27" t="s">
        <v>98</v>
      </c>
      <c r="H346" s="27" t="s">
        <v>14659</v>
      </c>
      <c r="T346" s="27" t="s">
        <v>50</v>
      </c>
      <c r="V346" s="27" t="s">
        <v>2804</v>
      </c>
      <c r="W346" s="27" t="s">
        <v>14660</v>
      </c>
    </row>
    <row r="347" customFormat="false" ht="15" hidden="false" customHeight="true" outlineLevel="0" collapsed="false">
      <c r="A347" s="27" t="s">
        <v>14661</v>
      </c>
      <c r="B347" s="27" t="s">
        <v>2640</v>
      </c>
      <c r="C347" s="27" t="s">
        <v>14610</v>
      </c>
      <c r="E347" s="27" t="s">
        <v>55</v>
      </c>
      <c r="F347" s="27" t="s">
        <v>14662</v>
      </c>
      <c r="G347" s="27" t="s">
        <v>61</v>
      </c>
      <c r="H347" s="27" t="s">
        <v>14663</v>
      </c>
      <c r="I347" s="27" t="s">
        <v>14156</v>
      </c>
      <c r="J347" s="27" t="s">
        <v>14462</v>
      </c>
      <c r="K347" s="27" t="s">
        <v>14100</v>
      </c>
      <c r="L347" s="27" t="s">
        <v>14462</v>
      </c>
      <c r="M347" s="27" t="s">
        <v>14100</v>
      </c>
      <c r="N347" s="27" t="s">
        <v>14462</v>
      </c>
      <c r="O347" s="27" t="s">
        <v>14100</v>
      </c>
      <c r="P347" s="27" t="s">
        <v>14462</v>
      </c>
      <c r="Q347" s="27" t="s">
        <v>14100</v>
      </c>
      <c r="R347" s="27" t="s">
        <v>14462</v>
      </c>
      <c r="T347" s="27" t="s">
        <v>50</v>
      </c>
      <c r="V347" s="27" t="s">
        <v>14613</v>
      </c>
      <c r="W347" s="27" t="s">
        <v>13496</v>
      </c>
    </row>
    <row r="348" customFormat="false" ht="17.25" hidden="false" customHeight="true" outlineLevel="0" collapsed="false">
      <c r="A348" s="27" t="s">
        <v>14664</v>
      </c>
      <c r="B348" s="27" t="s">
        <v>3527</v>
      </c>
      <c r="C348" s="27" t="s">
        <v>14665</v>
      </c>
      <c r="E348" s="27" t="s">
        <v>55</v>
      </c>
      <c r="G348" s="27" t="s">
        <v>61</v>
      </c>
      <c r="H348" s="27" t="s">
        <v>14666</v>
      </c>
      <c r="T348" s="27" t="s">
        <v>50</v>
      </c>
      <c r="V348" s="27" t="s">
        <v>14667</v>
      </c>
      <c r="W348" s="27" t="s">
        <v>14311</v>
      </c>
    </row>
    <row r="349" customFormat="false" ht="15" hidden="false" customHeight="true" outlineLevel="0" collapsed="false">
      <c r="A349" s="27" t="s">
        <v>14668</v>
      </c>
      <c r="B349" s="27" t="s">
        <v>14669</v>
      </c>
      <c r="C349" s="27" t="s">
        <v>14670</v>
      </c>
      <c r="E349" s="27" t="s">
        <v>55</v>
      </c>
      <c r="F349" s="27" t="s">
        <v>14671</v>
      </c>
      <c r="G349" s="27" t="s">
        <v>98</v>
      </c>
      <c r="H349" s="27" t="s">
        <v>14672</v>
      </c>
      <c r="T349" s="27" t="s">
        <v>50</v>
      </c>
      <c r="V349" s="27" t="s">
        <v>14673</v>
      </c>
      <c r="W349" s="27" t="s">
        <v>13635</v>
      </c>
    </row>
    <row r="350" customFormat="false" ht="15" hidden="false" customHeight="true" outlineLevel="0" collapsed="false">
      <c r="A350" s="27" t="s">
        <v>14674</v>
      </c>
      <c r="B350" s="27" t="s">
        <v>14675</v>
      </c>
      <c r="C350" s="27" t="s">
        <v>14676</v>
      </c>
      <c r="E350" s="27" t="s">
        <v>55</v>
      </c>
      <c r="G350" s="27" t="s">
        <v>98</v>
      </c>
      <c r="H350" s="27" t="s">
        <v>14677</v>
      </c>
      <c r="I350" s="27" t="s">
        <v>14678</v>
      </c>
      <c r="J350" s="27" t="s">
        <v>14679</v>
      </c>
      <c r="K350" s="27" t="s">
        <v>14678</v>
      </c>
      <c r="L350" s="27" t="s">
        <v>14679</v>
      </c>
      <c r="M350" s="27" t="s">
        <v>14678</v>
      </c>
      <c r="N350" s="27" t="s">
        <v>14679</v>
      </c>
      <c r="O350" s="27" t="s">
        <v>14678</v>
      </c>
      <c r="P350" s="27" t="s">
        <v>14679</v>
      </c>
      <c r="Q350" s="27" t="s">
        <v>14678</v>
      </c>
      <c r="R350" s="27" t="s">
        <v>14679</v>
      </c>
      <c r="T350" s="27" t="s">
        <v>50</v>
      </c>
      <c r="V350" s="27" t="s">
        <v>14526</v>
      </c>
      <c r="W350" s="27" t="s">
        <v>14680</v>
      </c>
    </row>
    <row r="351" customFormat="false" ht="15" hidden="false" customHeight="true" outlineLevel="0" collapsed="false">
      <c r="A351" s="27" t="s">
        <v>5613</v>
      </c>
      <c r="B351" s="27" t="s">
        <v>4318</v>
      </c>
      <c r="C351" s="27" t="s">
        <v>14681</v>
      </c>
      <c r="E351" s="27" t="s">
        <v>55</v>
      </c>
      <c r="G351" s="27" t="s">
        <v>98</v>
      </c>
      <c r="H351" s="27" t="s">
        <v>14682</v>
      </c>
      <c r="T351" s="27" t="s">
        <v>50</v>
      </c>
      <c r="V351" s="27" t="s">
        <v>826</v>
      </c>
      <c r="W351" s="27" t="s">
        <v>13522</v>
      </c>
    </row>
    <row r="352" customFormat="false" ht="15" hidden="false" customHeight="true" outlineLevel="0" collapsed="false">
      <c r="A352" s="27" t="s">
        <v>6741</v>
      </c>
      <c r="B352" s="27" t="s">
        <v>1056</v>
      </c>
      <c r="C352" s="27" t="s">
        <v>14683</v>
      </c>
      <c r="E352" s="27" t="s">
        <v>55</v>
      </c>
      <c r="F352" s="27" t="s">
        <v>14684</v>
      </c>
      <c r="G352" s="27" t="s">
        <v>215</v>
      </c>
      <c r="H352" s="27" t="s">
        <v>14685</v>
      </c>
      <c r="T352" s="27" t="s">
        <v>50</v>
      </c>
      <c r="V352" s="27" t="s">
        <v>208</v>
      </c>
      <c r="W352" s="27" t="s">
        <v>13925</v>
      </c>
    </row>
    <row r="353" customFormat="false" ht="15" hidden="false" customHeight="true" outlineLevel="0" collapsed="false">
      <c r="A353" s="27" t="s">
        <v>14686</v>
      </c>
      <c r="B353" s="27" t="s">
        <v>5966</v>
      </c>
      <c r="C353" s="27" t="s">
        <v>6398</v>
      </c>
      <c r="E353" s="27" t="s">
        <v>55</v>
      </c>
      <c r="F353" s="27" t="s">
        <v>14687</v>
      </c>
      <c r="G353" s="27" t="s">
        <v>345</v>
      </c>
      <c r="H353" s="27" t="s">
        <v>14688</v>
      </c>
      <c r="T353" s="27" t="s">
        <v>50</v>
      </c>
      <c r="V353" s="27" t="s">
        <v>6399</v>
      </c>
      <c r="W353" s="27" t="s">
        <v>13454</v>
      </c>
    </row>
    <row r="354" customFormat="false" ht="15" hidden="false" customHeight="true" outlineLevel="0" collapsed="false">
      <c r="A354" s="27" t="s">
        <v>4666</v>
      </c>
      <c r="B354" s="27" t="s">
        <v>14689</v>
      </c>
      <c r="C354" s="27" t="s">
        <v>6453</v>
      </c>
      <c r="E354" s="27" t="s">
        <v>55</v>
      </c>
      <c r="F354" s="27" t="s">
        <v>14690</v>
      </c>
      <c r="G354" s="27" t="s">
        <v>345</v>
      </c>
      <c r="H354" s="27" t="s">
        <v>14691</v>
      </c>
      <c r="T354" s="27" t="s">
        <v>50</v>
      </c>
      <c r="V354" s="27" t="s">
        <v>2982</v>
      </c>
      <c r="W354" s="27" t="s">
        <v>14692</v>
      </c>
    </row>
    <row r="355" customFormat="false" ht="15" hidden="false" customHeight="true" outlineLevel="0" collapsed="false">
      <c r="A355" s="27" t="s">
        <v>14693</v>
      </c>
      <c r="B355" s="27" t="s">
        <v>1403</v>
      </c>
      <c r="C355" s="27" t="s">
        <v>6324</v>
      </c>
      <c r="E355" s="27" t="s">
        <v>55</v>
      </c>
      <c r="F355" s="27" t="s">
        <v>14694</v>
      </c>
      <c r="G355" s="27" t="s">
        <v>98</v>
      </c>
      <c r="H355" s="27" t="s">
        <v>14695</v>
      </c>
      <c r="T355" s="27" t="s">
        <v>50</v>
      </c>
      <c r="V355" s="27" t="s">
        <v>6325</v>
      </c>
      <c r="W355" s="27" t="s">
        <v>13635</v>
      </c>
    </row>
    <row r="356" customFormat="false" ht="15" hidden="false" customHeight="true" outlineLevel="0" collapsed="false">
      <c r="A356" s="27" t="s">
        <v>14696</v>
      </c>
      <c r="B356" s="27" t="s">
        <v>14697</v>
      </c>
      <c r="C356" s="27" t="s">
        <v>14681</v>
      </c>
      <c r="E356" s="27" t="s">
        <v>55</v>
      </c>
      <c r="F356" s="27" t="s">
        <v>14698</v>
      </c>
      <c r="G356" s="27" t="s">
        <v>98</v>
      </c>
      <c r="H356" s="27" t="s">
        <v>14699</v>
      </c>
      <c r="I356" s="27" t="s">
        <v>13307</v>
      </c>
      <c r="J356" s="27" t="s">
        <v>13309</v>
      </c>
      <c r="K356" s="27" t="s">
        <v>13307</v>
      </c>
      <c r="L356" s="27" t="s">
        <v>13309</v>
      </c>
      <c r="M356" s="27" t="s">
        <v>13307</v>
      </c>
      <c r="N356" s="27" t="s">
        <v>13309</v>
      </c>
      <c r="O356" s="27" t="s">
        <v>13307</v>
      </c>
      <c r="P356" s="27" t="s">
        <v>13309</v>
      </c>
      <c r="Q356" s="27" t="s">
        <v>13307</v>
      </c>
      <c r="R356" s="27" t="s">
        <v>13309</v>
      </c>
      <c r="T356" s="27" t="s">
        <v>50</v>
      </c>
      <c r="V356" s="27" t="s">
        <v>826</v>
      </c>
      <c r="W356" s="27" t="s">
        <v>13522</v>
      </c>
    </row>
    <row r="357" customFormat="false" ht="15" hidden="false" customHeight="true" outlineLevel="0" collapsed="false">
      <c r="A357" s="27" t="s">
        <v>14700</v>
      </c>
      <c r="B357" s="27" t="s">
        <v>14701</v>
      </c>
      <c r="C357" s="27" t="s">
        <v>14702</v>
      </c>
      <c r="E357" s="27" t="s">
        <v>55</v>
      </c>
      <c r="F357" s="27" t="s">
        <v>14703</v>
      </c>
      <c r="G357" s="27" t="s">
        <v>345</v>
      </c>
      <c r="H357" s="27" t="s">
        <v>14704</v>
      </c>
      <c r="T357" s="27" t="s">
        <v>50</v>
      </c>
      <c r="V357" s="27" t="s">
        <v>2830</v>
      </c>
      <c r="W357" s="27" t="s">
        <v>13414</v>
      </c>
    </row>
    <row r="358" customFormat="false" ht="17.25" hidden="false" customHeight="true" outlineLevel="0" collapsed="false">
      <c r="A358" s="27" t="s">
        <v>550</v>
      </c>
      <c r="B358" s="27" t="s">
        <v>353</v>
      </c>
      <c r="C358" s="27" t="s">
        <v>14705</v>
      </c>
      <c r="E358" s="27" t="s">
        <v>55</v>
      </c>
      <c r="F358" s="27" t="s">
        <v>14706</v>
      </c>
      <c r="G358" s="27" t="s">
        <v>98</v>
      </c>
      <c r="H358" s="27" t="s">
        <v>14707</v>
      </c>
      <c r="T358" s="27" t="s">
        <v>50</v>
      </c>
      <c r="V358" s="27" t="s">
        <v>14708</v>
      </c>
      <c r="W358" s="27" t="s">
        <v>13379</v>
      </c>
    </row>
    <row r="359" customFormat="false" ht="15" hidden="false" customHeight="true" outlineLevel="0" collapsed="false">
      <c r="A359" s="27" t="s">
        <v>14709</v>
      </c>
      <c r="B359" s="27" t="s">
        <v>710</v>
      </c>
      <c r="C359" s="27" t="s">
        <v>14626</v>
      </c>
      <c r="E359" s="27" t="s">
        <v>55</v>
      </c>
      <c r="F359" s="27" t="s">
        <v>5807</v>
      </c>
      <c r="G359" s="27" t="s">
        <v>345</v>
      </c>
      <c r="H359" s="27" t="s">
        <v>14710</v>
      </c>
      <c r="T359" s="27" t="s">
        <v>50</v>
      </c>
      <c r="V359" s="27" t="s">
        <v>605</v>
      </c>
      <c r="W359" s="27" t="s">
        <v>13362</v>
      </c>
    </row>
    <row r="360" customFormat="false" ht="17.25" hidden="false" customHeight="true" outlineLevel="0" collapsed="false">
      <c r="A360" s="27" t="s">
        <v>14711</v>
      </c>
      <c r="B360" s="27" t="s">
        <v>14712</v>
      </c>
      <c r="C360" s="27" t="s">
        <v>3094</v>
      </c>
      <c r="E360" s="27" t="s">
        <v>55</v>
      </c>
      <c r="F360" s="27" t="s">
        <v>3096</v>
      </c>
      <c r="G360" s="27" t="s">
        <v>98</v>
      </c>
      <c r="H360" s="27" t="s">
        <v>14713</v>
      </c>
      <c r="T360" s="27" t="s">
        <v>50</v>
      </c>
      <c r="V360" s="27" t="s">
        <v>3095</v>
      </c>
      <c r="W360" s="27" t="s">
        <v>13592</v>
      </c>
    </row>
    <row r="361" customFormat="false" ht="17.25" hidden="false" customHeight="true" outlineLevel="0" collapsed="false">
      <c r="A361" s="27" t="s">
        <v>14714</v>
      </c>
      <c r="B361" s="27" t="s">
        <v>543</v>
      </c>
      <c r="C361" s="27" t="s">
        <v>14715</v>
      </c>
      <c r="E361" s="27" t="s">
        <v>55</v>
      </c>
      <c r="F361" s="27" t="s">
        <v>14716</v>
      </c>
      <c r="G361" s="27" t="s">
        <v>98</v>
      </c>
      <c r="H361" s="27" t="s">
        <v>14717</v>
      </c>
      <c r="I361" s="27" t="s">
        <v>13341</v>
      </c>
      <c r="J361" s="27" t="s">
        <v>13309</v>
      </c>
      <c r="K361" s="27" t="s">
        <v>13307</v>
      </c>
      <c r="L361" s="27" t="s">
        <v>13309</v>
      </c>
      <c r="M361" s="27" t="s">
        <v>13307</v>
      </c>
      <c r="N361" s="27" t="s">
        <v>13309</v>
      </c>
      <c r="O361" s="27" t="s">
        <v>13307</v>
      </c>
      <c r="P361" s="27" t="s">
        <v>13309</v>
      </c>
      <c r="Q361" s="27" t="s">
        <v>13307</v>
      </c>
      <c r="R361" s="27" t="s">
        <v>13309</v>
      </c>
      <c r="T361" s="27" t="s">
        <v>50</v>
      </c>
      <c r="V361" s="27" t="s">
        <v>14718</v>
      </c>
      <c r="W361" s="27" t="s">
        <v>13496</v>
      </c>
    </row>
    <row r="362" customFormat="false" ht="17.25" hidden="false" customHeight="true" outlineLevel="0" collapsed="false">
      <c r="A362" s="27" t="s">
        <v>14719</v>
      </c>
      <c r="B362" s="27" t="s">
        <v>2750</v>
      </c>
      <c r="C362" s="27" t="s">
        <v>14720</v>
      </c>
      <c r="E362" s="27" t="s">
        <v>55</v>
      </c>
      <c r="F362" s="27" t="s">
        <v>14721</v>
      </c>
      <c r="G362" s="27" t="s">
        <v>98</v>
      </c>
      <c r="H362" s="27" t="s">
        <v>14722</v>
      </c>
      <c r="T362" s="27" t="s">
        <v>50</v>
      </c>
      <c r="V362" s="27" t="s">
        <v>11224</v>
      </c>
      <c r="W362" s="27" t="s">
        <v>14080</v>
      </c>
    </row>
    <row r="363" customFormat="false" ht="15" hidden="false" customHeight="true" outlineLevel="0" collapsed="false">
      <c r="A363" s="27" t="s">
        <v>14723</v>
      </c>
      <c r="B363" s="27" t="s">
        <v>117</v>
      </c>
      <c r="C363" s="27" t="s">
        <v>14724</v>
      </c>
      <c r="E363" s="27" t="s">
        <v>55</v>
      </c>
      <c r="F363" s="27" t="s">
        <v>14725</v>
      </c>
      <c r="G363" s="27" t="s">
        <v>215</v>
      </c>
      <c r="H363" s="27" t="s">
        <v>14726</v>
      </c>
      <c r="T363" s="27" t="s">
        <v>50</v>
      </c>
      <c r="V363" s="27" t="s">
        <v>3044</v>
      </c>
      <c r="W363" s="27" t="s">
        <v>13389</v>
      </c>
    </row>
    <row r="364" customFormat="false" ht="15" hidden="false" customHeight="true" outlineLevel="0" collapsed="false">
      <c r="A364" s="27" t="s">
        <v>14727</v>
      </c>
      <c r="B364" s="27" t="s">
        <v>486</v>
      </c>
      <c r="C364" s="27" t="s">
        <v>14728</v>
      </c>
      <c r="E364" s="27" t="s">
        <v>55</v>
      </c>
      <c r="G364" s="27" t="s">
        <v>345</v>
      </c>
      <c r="H364" s="27" t="s">
        <v>14729</v>
      </c>
      <c r="I364" s="27" t="s">
        <v>13315</v>
      </c>
      <c r="J364" s="27" t="s">
        <v>13310</v>
      </c>
      <c r="K364" s="27" t="s">
        <v>13315</v>
      </c>
      <c r="L364" s="27" t="s">
        <v>13310</v>
      </c>
      <c r="M364" s="27" t="s">
        <v>13315</v>
      </c>
      <c r="N364" s="27" t="s">
        <v>13310</v>
      </c>
      <c r="O364" s="27" t="s">
        <v>13315</v>
      </c>
      <c r="P364" s="27" t="s">
        <v>13310</v>
      </c>
      <c r="Q364" s="27" t="s">
        <v>13315</v>
      </c>
      <c r="R364" s="27" t="s">
        <v>13310</v>
      </c>
      <c r="T364" s="27" t="s">
        <v>50</v>
      </c>
      <c r="V364" s="27" t="s">
        <v>14730</v>
      </c>
      <c r="W364" s="27" t="s">
        <v>14181</v>
      </c>
    </row>
    <row r="365" customFormat="false" ht="15" hidden="false" customHeight="true" outlineLevel="0" collapsed="false">
      <c r="A365" s="27" t="s">
        <v>14731</v>
      </c>
      <c r="B365" s="27" t="s">
        <v>1777</v>
      </c>
      <c r="C365" s="27" t="s">
        <v>7267</v>
      </c>
      <c r="E365" s="27" t="s">
        <v>55</v>
      </c>
      <c r="F365" s="27" t="s">
        <v>14732</v>
      </c>
      <c r="G365" s="27" t="s">
        <v>98</v>
      </c>
      <c r="H365" s="27" t="s">
        <v>14733</v>
      </c>
      <c r="T365" s="27" t="s">
        <v>50</v>
      </c>
      <c r="V365" s="27" t="s">
        <v>6325</v>
      </c>
      <c r="W365" s="27" t="s">
        <v>13458</v>
      </c>
    </row>
    <row r="366" customFormat="false" ht="15" hidden="false" customHeight="true" outlineLevel="0" collapsed="false">
      <c r="A366" s="27" t="s">
        <v>14734</v>
      </c>
      <c r="B366" s="27" t="s">
        <v>14735</v>
      </c>
      <c r="C366" s="27" t="s">
        <v>14736</v>
      </c>
      <c r="E366" s="27" t="s">
        <v>55</v>
      </c>
      <c r="F366" s="27" t="s">
        <v>14737</v>
      </c>
      <c r="G366" s="27" t="s">
        <v>98</v>
      </c>
      <c r="H366" s="27" t="s">
        <v>14738</v>
      </c>
      <c r="T366" s="27" t="s">
        <v>50</v>
      </c>
      <c r="V366" s="27" t="s">
        <v>5980</v>
      </c>
      <c r="W366" s="27" t="s">
        <v>14739</v>
      </c>
    </row>
    <row r="367" customFormat="false" ht="15" hidden="false" customHeight="true" outlineLevel="0" collapsed="false">
      <c r="A367" s="27" t="s">
        <v>14740</v>
      </c>
      <c r="B367" s="27" t="s">
        <v>5648</v>
      </c>
      <c r="C367" s="27" t="s">
        <v>6324</v>
      </c>
      <c r="E367" s="27" t="s">
        <v>55</v>
      </c>
      <c r="F367" s="27" t="s">
        <v>14383</v>
      </c>
      <c r="G367" s="27" t="s">
        <v>98</v>
      </c>
      <c r="H367" s="27" t="s">
        <v>14741</v>
      </c>
      <c r="T367" s="27" t="s">
        <v>50</v>
      </c>
      <c r="V367" s="27" t="s">
        <v>6325</v>
      </c>
      <c r="W367" s="27" t="s">
        <v>13635</v>
      </c>
    </row>
    <row r="368" customFormat="false" ht="17.25" hidden="false" customHeight="true" outlineLevel="0" collapsed="false">
      <c r="A368" s="27" t="s">
        <v>14742</v>
      </c>
      <c r="B368" s="27" t="s">
        <v>8608</v>
      </c>
      <c r="C368" s="27" t="s">
        <v>14357</v>
      </c>
      <c r="E368" s="27" t="s">
        <v>55</v>
      </c>
      <c r="G368" s="27" t="s">
        <v>98</v>
      </c>
      <c r="H368" s="27" t="s">
        <v>14743</v>
      </c>
      <c r="T368" s="27" t="s">
        <v>50</v>
      </c>
      <c r="V368" s="27" t="s">
        <v>14359</v>
      </c>
      <c r="W368" s="27" t="s">
        <v>13611</v>
      </c>
    </row>
    <row r="369" customFormat="false" ht="15" hidden="false" customHeight="true" outlineLevel="0" collapsed="false">
      <c r="A369" s="27" t="s">
        <v>8008</v>
      </c>
      <c r="B369" s="27" t="s">
        <v>1790</v>
      </c>
      <c r="C369" s="27" t="s">
        <v>2989</v>
      </c>
      <c r="E369" s="27" t="s">
        <v>55</v>
      </c>
      <c r="G369" s="27" t="s">
        <v>215</v>
      </c>
      <c r="H369" s="27" t="s">
        <v>14744</v>
      </c>
      <c r="T369" s="27" t="s">
        <v>50</v>
      </c>
      <c r="V369" s="27" t="s">
        <v>646</v>
      </c>
      <c r="W369" s="27" t="s">
        <v>14745</v>
      </c>
    </row>
    <row r="370" customFormat="false" ht="15" hidden="false" customHeight="true" outlineLevel="0" collapsed="false">
      <c r="A370" s="27" t="s">
        <v>14746</v>
      </c>
      <c r="B370" s="27" t="s">
        <v>14747</v>
      </c>
      <c r="C370" s="27" t="s">
        <v>3284</v>
      </c>
      <c r="E370" s="27" t="s">
        <v>55</v>
      </c>
      <c r="F370" s="27" t="s">
        <v>14748</v>
      </c>
      <c r="G370" s="27" t="s">
        <v>98</v>
      </c>
      <c r="H370" s="27" t="s">
        <v>14749</v>
      </c>
      <c r="I370" s="27" t="s">
        <v>13307</v>
      </c>
      <c r="J370" s="27" t="s">
        <v>13308</v>
      </c>
      <c r="M370" s="27" t="s">
        <v>13307</v>
      </c>
      <c r="N370" s="27" t="s">
        <v>13308</v>
      </c>
      <c r="Q370" s="27" t="s">
        <v>13307</v>
      </c>
      <c r="R370" s="27" t="s">
        <v>13308</v>
      </c>
      <c r="T370" s="27" t="s">
        <v>50</v>
      </c>
      <c r="V370" s="27" t="s">
        <v>1125</v>
      </c>
      <c r="W370" s="27" t="s">
        <v>13541</v>
      </c>
    </row>
    <row r="371" customFormat="false" ht="15" hidden="false" customHeight="true" outlineLevel="0" collapsed="false">
      <c r="A371" s="27" t="s">
        <v>14750</v>
      </c>
      <c r="B371" s="27" t="s">
        <v>2217</v>
      </c>
      <c r="C371" s="27" t="s">
        <v>6905</v>
      </c>
      <c r="E371" s="27" t="s">
        <v>55</v>
      </c>
      <c r="F371" s="27" t="s">
        <v>14751</v>
      </c>
      <c r="G371" s="27" t="s">
        <v>98</v>
      </c>
      <c r="H371" s="27" t="s">
        <v>14752</v>
      </c>
      <c r="T371" s="27" t="s">
        <v>50</v>
      </c>
      <c r="V371" s="27" t="s">
        <v>6906</v>
      </c>
      <c r="W371" s="27" t="s">
        <v>13394</v>
      </c>
    </row>
    <row r="372" customFormat="false" ht="15" hidden="false" customHeight="true" outlineLevel="0" collapsed="false">
      <c r="A372" s="27" t="s">
        <v>1150</v>
      </c>
      <c r="B372" s="27" t="s">
        <v>195</v>
      </c>
      <c r="C372" s="27" t="s">
        <v>14753</v>
      </c>
      <c r="E372" s="27" t="s">
        <v>55</v>
      </c>
      <c r="F372" s="27" t="s">
        <v>14754</v>
      </c>
      <c r="G372" s="27" t="s">
        <v>215</v>
      </c>
      <c r="H372" s="27" t="s">
        <v>14755</v>
      </c>
      <c r="T372" s="27" t="s">
        <v>50</v>
      </c>
      <c r="U372" s="27" t="s">
        <v>2802</v>
      </c>
      <c r="V372" s="27" t="s">
        <v>14756</v>
      </c>
      <c r="W372" s="27" t="s">
        <v>13348</v>
      </c>
    </row>
    <row r="373" customFormat="false" ht="17.25" hidden="false" customHeight="true" outlineLevel="0" collapsed="false">
      <c r="A373" s="27" t="s">
        <v>14757</v>
      </c>
      <c r="B373" s="27" t="s">
        <v>9426</v>
      </c>
      <c r="C373" s="27" t="s">
        <v>6324</v>
      </c>
      <c r="E373" s="27" t="s">
        <v>55</v>
      </c>
      <c r="F373" s="27" t="s">
        <v>14758</v>
      </c>
      <c r="G373" s="27" t="s">
        <v>98</v>
      </c>
      <c r="H373" s="27" t="s">
        <v>14759</v>
      </c>
      <c r="T373" s="27" t="s">
        <v>50</v>
      </c>
      <c r="V373" s="27" t="s">
        <v>6325</v>
      </c>
      <c r="W373" s="27" t="s">
        <v>13635</v>
      </c>
    </row>
    <row r="374" customFormat="false" ht="15" hidden="false" customHeight="true" outlineLevel="0" collapsed="false">
      <c r="A374" s="27" t="s">
        <v>14760</v>
      </c>
      <c r="B374" s="27" t="s">
        <v>495</v>
      </c>
      <c r="C374" s="27" t="s">
        <v>14761</v>
      </c>
      <c r="E374" s="27" t="s">
        <v>55</v>
      </c>
      <c r="G374" s="27" t="s">
        <v>98</v>
      </c>
      <c r="H374" s="27" t="s">
        <v>14762</v>
      </c>
      <c r="I374" s="27" t="s">
        <v>13307</v>
      </c>
      <c r="J374" s="27" t="s">
        <v>14763</v>
      </c>
      <c r="K374" s="27" t="s">
        <v>13307</v>
      </c>
      <c r="L374" s="27" t="s">
        <v>13309</v>
      </c>
      <c r="M374" s="27" t="s">
        <v>13307</v>
      </c>
      <c r="N374" s="27" t="s">
        <v>14763</v>
      </c>
      <c r="O374" s="27" t="s">
        <v>14467</v>
      </c>
      <c r="P374" s="27" t="s">
        <v>14763</v>
      </c>
      <c r="Q374" s="27" t="s">
        <v>13307</v>
      </c>
      <c r="R374" s="27" t="s">
        <v>14763</v>
      </c>
      <c r="T374" s="27" t="s">
        <v>50</v>
      </c>
      <c r="V374" s="27" t="s">
        <v>14764</v>
      </c>
      <c r="W374" s="27" t="s">
        <v>13414</v>
      </c>
    </row>
    <row r="375" customFormat="false" ht="15" hidden="false" customHeight="true" outlineLevel="0" collapsed="false">
      <c r="A375" s="27" t="s">
        <v>14765</v>
      </c>
      <c r="B375" s="27" t="s">
        <v>96</v>
      </c>
      <c r="C375" s="27" t="s">
        <v>14597</v>
      </c>
      <c r="E375" s="27" t="s">
        <v>55</v>
      </c>
      <c r="F375" s="27" t="s">
        <v>14766</v>
      </c>
      <c r="G375" s="27" t="s">
        <v>98</v>
      </c>
      <c r="H375" s="27" t="s">
        <v>14767</v>
      </c>
      <c r="T375" s="27" t="s">
        <v>50</v>
      </c>
      <c r="V375" s="27" t="s">
        <v>9595</v>
      </c>
      <c r="W375" s="27" t="s">
        <v>14600</v>
      </c>
    </row>
    <row r="376" customFormat="false" ht="15" hidden="false" customHeight="true" outlineLevel="0" collapsed="false">
      <c r="A376" s="27" t="s">
        <v>4647</v>
      </c>
      <c r="B376" s="27" t="s">
        <v>2496</v>
      </c>
      <c r="C376" s="27" t="s">
        <v>581</v>
      </c>
      <c r="E376" s="27" t="s">
        <v>11393</v>
      </c>
      <c r="F376" s="27" t="s">
        <v>14768</v>
      </c>
      <c r="G376" s="27" t="s">
        <v>98</v>
      </c>
      <c r="H376" s="27" t="s">
        <v>14769</v>
      </c>
      <c r="T376" s="27" t="s">
        <v>50</v>
      </c>
      <c r="U376" s="27" t="s">
        <v>2802</v>
      </c>
      <c r="V376" s="27" t="s">
        <v>80</v>
      </c>
      <c r="W376" s="27" t="s">
        <v>14370</v>
      </c>
    </row>
    <row r="377" customFormat="false" ht="15" hidden="false" customHeight="true" outlineLevel="0" collapsed="false">
      <c r="A377" s="27" t="s">
        <v>14770</v>
      </c>
      <c r="B377" s="27" t="s">
        <v>14771</v>
      </c>
      <c r="C377" s="27" t="s">
        <v>14772</v>
      </c>
      <c r="E377" s="27" t="s">
        <v>11393</v>
      </c>
      <c r="G377" s="27" t="s">
        <v>98</v>
      </c>
      <c r="H377" s="27" t="s">
        <v>14773</v>
      </c>
      <c r="T377" s="27" t="s">
        <v>50</v>
      </c>
      <c r="V377" s="27" t="s">
        <v>14774</v>
      </c>
      <c r="W377" s="27" t="s">
        <v>13458</v>
      </c>
    </row>
    <row r="378" customFormat="false" ht="17.25" hidden="false" customHeight="true" outlineLevel="0" collapsed="false">
      <c r="A378" s="27" t="s">
        <v>14775</v>
      </c>
      <c r="B378" s="27" t="s">
        <v>3527</v>
      </c>
      <c r="C378" s="27" t="s">
        <v>581</v>
      </c>
      <c r="E378" s="27" t="s">
        <v>11393</v>
      </c>
      <c r="G378" s="27" t="s">
        <v>215</v>
      </c>
      <c r="H378" s="27" t="s">
        <v>14776</v>
      </c>
      <c r="T378" s="27" t="s">
        <v>50</v>
      </c>
      <c r="U378" s="27" t="s">
        <v>13334</v>
      </c>
      <c r="V378" s="27" t="s">
        <v>80</v>
      </c>
      <c r="W378" s="27" t="s">
        <v>14370</v>
      </c>
    </row>
    <row r="379" customFormat="false" ht="15" hidden="false" customHeight="true" outlineLevel="0" collapsed="false">
      <c r="A379" s="27" t="s">
        <v>6931</v>
      </c>
      <c r="B379" s="27" t="s">
        <v>1438</v>
      </c>
      <c r="C379" s="27" t="s">
        <v>14777</v>
      </c>
      <c r="E379" s="27" t="s">
        <v>11393</v>
      </c>
      <c r="F379" s="27" t="s">
        <v>12915</v>
      </c>
      <c r="G379" s="27" t="s">
        <v>98</v>
      </c>
      <c r="H379" s="27" t="s">
        <v>14778</v>
      </c>
      <c r="T379" s="27" t="s">
        <v>50</v>
      </c>
      <c r="V379" s="27" t="s">
        <v>5055</v>
      </c>
      <c r="W379" s="27" t="s">
        <v>14600</v>
      </c>
    </row>
    <row r="380" customFormat="false" ht="15" hidden="false" customHeight="true" outlineLevel="0" collapsed="false">
      <c r="A380" s="27" t="s">
        <v>7069</v>
      </c>
      <c r="B380" s="27" t="s">
        <v>14779</v>
      </c>
      <c r="C380" s="27" t="s">
        <v>581</v>
      </c>
      <c r="E380" s="27" t="s">
        <v>11393</v>
      </c>
      <c r="G380" s="27" t="s">
        <v>345</v>
      </c>
      <c r="H380" s="27" t="s">
        <v>14780</v>
      </c>
      <c r="T380" s="27" t="s">
        <v>50</v>
      </c>
      <c r="V380" s="27" t="s">
        <v>80</v>
      </c>
      <c r="W380" s="27" t="s">
        <v>14370</v>
      </c>
    </row>
    <row r="381" customFormat="false" ht="17.25" hidden="false" customHeight="true" outlineLevel="0" collapsed="false">
      <c r="A381" s="27" t="s">
        <v>14781</v>
      </c>
      <c r="B381" s="27" t="s">
        <v>117</v>
      </c>
      <c r="C381" s="27" t="s">
        <v>247</v>
      </c>
      <c r="E381" s="27" t="s">
        <v>11393</v>
      </c>
      <c r="F381" s="27" t="s">
        <v>14782</v>
      </c>
      <c r="G381" s="27" t="s">
        <v>98</v>
      </c>
      <c r="H381" s="27" t="s">
        <v>14783</v>
      </c>
      <c r="T381" s="27" t="s">
        <v>50</v>
      </c>
      <c r="V381" s="27" t="s">
        <v>248</v>
      </c>
      <c r="W381" s="27" t="s">
        <v>13426</v>
      </c>
    </row>
    <row r="382" customFormat="false" ht="15" hidden="false" customHeight="true" outlineLevel="0" collapsed="false">
      <c r="A382" s="27" t="s">
        <v>14784</v>
      </c>
      <c r="B382" s="27" t="s">
        <v>353</v>
      </c>
      <c r="C382" s="27" t="s">
        <v>14785</v>
      </c>
      <c r="E382" s="27" t="s">
        <v>11393</v>
      </c>
      <c r="F382" s="27" t="s">
        <v>14786</v>
      </c>
      <c r="G382" s="27" t="s">
        <v>98</v>
      </c>
      <c r="H382" s="27" t="s">
        <v>14787</v>
      </c>
      <c r="T382" s="27" t="s">
        <v>50</v>
      </c>
      <c r="U382" s="27" t="s">
        <v>386</v>
      </c>
      <c r="V382" s="27" t="s">
        <v>1530</v>
      </c>
      <c r="W382" s="27" t="s">
        <v>13800</v>
      </c>
    </row>
    <row r="383" customFormat="false" ht="15" hidden="false" customHeight="true" outlineLevel="0" collapsed="false">
      <c r="A383" s="27" t="s">
        <v>14788</v>
      </c>
      <c r="B383" s="27" t="s">
        <v>951</v>
      </c>
      <c r="C383" s="27" t="s">
        <v>247</v>
      </c>
      <c r="E383" s="27" t="s">
        <v>11393</v>
      </c>
      <c r="F383" s="27" t="s">
        <v>14789</v>
      </c>
      <c r="G383" s="27" t="s">
        <v>98</v>
      </c>
      <c r="H383" s="27" t="s">
        <v>14790</v>
      </c>
      <c r="T383" s="27" t="s">
        <v>50</v>
      </c>
      <c r="V383" s="27" t="s">
        <v>248</v>
      </c>
      <c r="W383" s="27" t="s">
        <v>13426</v>
      </c>
    </row>
    <row r="384" customFormat="false" ht="15" hidden="false" customHeight="true" outlineLevel="0" collapsed="false">
      <c r="A384" s="27" t="s">
        <v>142</v>
      </c>
      <c r="B384" s="27" t="s">
        <v>1247</v>
      </c>
      <c r="C384" s="27" t="s">
        <v>14791</v>
      </c>
      <c r="E384" s="27" t="s">
        <v>11393</v>
      </c>
      <c r="F384" s="27" t="s">
        <v>14792</v>
      </c>
      <c r="G384" s="27" t="s">
        <v>345</v>
      </c>
      <c r="H384" s="27" t="s">
        <v>14793</v>
      </c>
      <c r="T384" s="27" t="s">
        <v>50</v>
      </c>
      <c r="U384" s="27" t="s">
        <v>386</v>
      </c>
      <c r="V384" s="27" t="s">
        <v>14794</v>
      </c>
      <c r="W384" s="27" t="s">
        <v>13470</v>
      </c>
    </row>
    <row r="385" customFormat="false" ht="15" hidden="false" customHeight="true" outlineLevel="0" collapsed="false">
      <c r="A385" s="27" t="s">
        <v>14795</v>
      </c>
      <c r="B385" s="27" t="s">
        <v>14796</v>
      </c>
      <c r="C385" s="27" t="s">
        <v>14797</v>
      </c>
      <c r="E385" s="27" t="s">
        <v>11393</v>
      </c>
      <c r="G385" s="27" t="s">
        <v>98</v>
      </c>
      <c r="H385" s="27" t="s">
        <v>14798</v>
      </c>
      <c r="T385" s="27" t="s">
        <v>50</v>
      </c>
      <c r="V385" s="27" t="s">
        <v>498</v>
      </c>
      <c r="W385" s="27" t="s">
        <v>14002</v>
      </c>
    </row>
    <row r="386" customFormat="false" ht="15" hidden="false" customHeight="true" outlineLevel="0" collapsed="false">
      <c r="A386" s="27" t="s">
        <v>1897</v>
      </c>
      <c r="B386" s="27" t="s">
        <v>2344</v>
      </c>
      <c r="C386" s="27" t="s">
        <v>247</v>
      </c>
      <c r="E386" s="27" t="s">
        <v>11393</v>
      </c>
      <c r="G386" s="27" t="s">
        <v>98</v>
      </c>
      <c r="H386" s="27" t="s">
        <v>14799</v>
      </c>
      <c r="T386" s="27" t="s">
        <v>50</v>
      </c>
      <c r="V386" s="27" t="s">
        <v>248</v>
      </c>
      <c r="W386" s="27" t="s">
        <v>13426</v>
      </c>
    </row>
    <row r="387" customFormat="false" ht="15" hidden="false" customHeight="true" outlineLevel="0" collapsed="false">
      <c r="A387" s="27" t="s">
        <v>14800</v>
      </c>
      <c r="B387" s="27" t="s">
        <v>883</v>
      </c>
      <c r="C387" s="27" t="s">
        <v>14801</v>
      </c>
      <c r="E387" s="27" t="s">
        <v>11393</v>
      </c>
      <c r="F387" s="27" t="s">
        <v>14802</v>
      </c>
      <c r="G387" s="27" t="s">
        <v>215</v>
      </c>
      <c r="H387" s="27" t="s">
        <v>14803</v>
      </c>
      <c r="T387" s="27" t="s">
        <v>50</v>
      </c>
      <c r="V387" s="27" t="s">
        <v>5171</v>
      </c>
      <c r="W387" s="27" t="s">
        <v>14600</v>
      </c>
    </row>
    <row r="388" customFormat="false" ht="17.25" hidden="false" customHeight="true" outlineLevel="0" collapsed="false">
      <c r="A388" s="27" t="s">
        <v>14804</v>
      </c>
      <c r="B388" s="27" t="s">
        <v>612</v>
      </c>
      <c r="C388" s="27" t="s">
        <v>1296</v>
      </c>
      <c r="E388" s="27" t="s">
        <v>11393</v>
      </c>
      <c r="F388" s="27" t="s">
        <v>14805</v>
      </c>
      <c r="G388" s="27" t="s">
        <v>345</v>
      </c>
      <c r="H388" s="27" t="s">
        <v>14806</v>
      </c>
      <c r="T388" s="27" t="s">
        <v>50</v>
      </c>
      <c r="V388" s="27" t="s">
        <v>1297</v>
      </c>
      <c r="W388" s="27" t="s">
        <v>14807</v>
      </c>
    </row>
    <row r="389" customFormat="false" ht="15.75" hidden="false" customHeight="true" outlineLevel="0" collapsed="false">
      <c r="A389" s="27" t="s">
        <v>14808</v>
      </c>
      <c r="B389" s="27" t="s">
        <v>231</v>
      </c>
      <c r="C389" s="27" t="s">
        <v>14809</v>
      </c>
      <c r="E389" s="27" t="s">
        <v>11393</v>
      </c>
      <c r="G389" s="27" t="s">
        <v>61</v>
      </c>
      <c r="H389" s="27" t="s">
        <v>14810</v>
      </c>
      <c r="T389" s="27" t="s">
        <v>50</v>
      </c>
      <c r="V389" s="27" t="s">
        <v>80</v>
      </c>
      <c r="W389" s="27" t="s">
        <v>13508</v>
      </c>
    </row>
    <row r="390" customFormat="false" ht="15" hidden="false" customHeight="true" outlineLevel="0" collapsed="false">
      <c r="A390" s="27" t="s">
        <v>14811</v>
      </c>
      <c r="B390" s="27" t="s">
        <v>4285</v>
      </c>
      <c r="C390" s="27" t="s">
        <v>247</v>
      </c>
      <c r="E390" s="27" t="s">
        <v>11393</v>
      </c>
      <c r="G390" s="27" t="s">
        <v>98</v>
      </c>
      <c r="H390" s="27" t="s">
        <v>14812</v>
      </c>
      <c r="T390" s="27" t="s">
        <v>50</v>
      </c>
      <c r="V390" s="27" t="s">
        <v>248</v>
      </c>
      <c r="W390" s="27" t="s">
        <v>13426</v>
      </c>
    </row>
    <row r="391" customFormat="false" ht="15" hidden="false" customHeight="true" outlineLevel="0" collapsed="false">
      <c r="A391" s="27" t="s">
        <v>14813</v>
      </c>
      <c r="B391" s="27" t="s">
        <v>1196</v>
      </c>
      <c r="C391" s="27" t="s">
        <v>5349</v>
      </c>
      <c r="E391" s="27" t="s">
        <v>11393</v>
      </c>
      <c r="G391" s="27" t="s">
        <v>215</v>
      </c>
      <c r="H391" s="27" t="s">
        <v>14814</v>
      </c>
      <c r="T391" s="27" t="s">
        <v>50</v>
      </c>
      <c r="V391" s="27" t="s">
        <v>5350</v>
      </c>
      <c r="W391" s="27" t="s">
        <v>13345</v>
      </c>
    </row>
    <row r="392" customFormat="false" ht="15" hidden="false" customHeight="true" outlineLevel="0" collapsed="false">
      <c r="A392" s="27" t="s">
        <v>14815</v>
      </c>
      <c r="B392" s="27" t="s">
        <v>73</v>
      </c>
      <c r="C392" s="27" t="s">
        <v>581</v>
      </c>
      <c r="E392" s="27" t="s">
        <v>11393</v>
      </c>
      <c r="F392" s="27" t="s">
        <v>14816</v>
      </c>
      <c r="G392" s="27" t="s">
        <v>215</v>
      </c>
      <c r="H392" s="27" t="s">
        <v>14817</v>
      </c>
      <c r="T392" s="27" t="s">
        <v>50</v>
      </c>
      <c r="U392" s="27" t="s">
        <v>2802</v>
      </c>
      <c r="V392" s="27" t="s">
        <v>80</v>
      </c>
      <c r="W392" s="27" t="s">
        <v>14370</v>
      </c>
    </row>
    <row r="393" customFormat="false" ht="15" hidden="false" customHeight="true" outlineLevel="0" collapsed="false">
      <c r="A393" s="27" t="s">
        <v>14818</v>
      </c>
      <c r="B393" s="27" t="s">
        <v>14819</v>
      </c>
      <c r="C393" s="27" t="s">
        <v>3943</v>
      </c>
      <c r="E393" s="27" t="s">
        <v>11393</v>
      </c>
      <c r="G393" s="27" t="s">
        <v>61</v>
      </c>
      <c r="H393" s="27" t="s">
        <v>14820</v>
      </c>
      <c r="T393" s="27" t="s">
        <v>50</v>
      </c>
      <c r="V393" s="27" t="s">
        <v>80</v>
      </c>
      <c r="W393" s="27" t="s">
        <v>14037</v>
      </c>
    </row>
    <row r="394" customFormat="false" ht="15" hidden="false" customHeight="true" outlineLevel="0" collapsed="false">
      <c r="A394" s="27" t="s">
        <v>14821</v>
      </c>
      <c r="B394" s="27" t="s">
        <v>1355</v>
      </c>
      <c r="C394" s="27" t="s">
        <v>581</v>
      </c>
      <c r="E394" s="27" t="s">
        <v>11393</v>
      </c>
      <c r="G394" s="27" t="s">
        <v>215</v>
      </c>
      <c r="H394" s="27" t="s">
        <v>14822</v>
      </c>
      <c r="T394" s="27" t="s">
        <v>50</v>
      </c>
      <c r="U394" s="27" t="s">
        <v>2802</v>
      </c>
      <c r="V394" s="27" t="s">
        <v>80</v>
      </c>
      <c r="W394" s="27" t="s">
        <v>14370</v>
      </c>
    </row>
    <row r="395" customFormat="false" ht="15" hidden="false" customHeight="true" outlineLevel="0" collapsed="false">
      <c r="A395" s="27" t="s">
        <v>14823</v>
      </c>
      <c r="B395" s="27" t="s">
        <v>182</v>
      </c>
      <c r="C395" s="27" t="s">
        <v>581</v>
      </c>
      <c r="E395" s="27" t="s">
        <v>11393</v>
      </c>
      <c r="G395" s="27" t="s">
        <v>98</v>
      </c>
      <c r="H395" s="27" t="s">
        <v>14824</v>
      </c>
      <c r="T395" s="27" t="s">
        <v>50</v>
      </c>
      <c r="V395" s="27" t="s">
        <v>80</v>
      </c>
      <c r="W395" s="27" t="s">
        <v>14370</v>
      </c>
    </row>
    <row r="396" customFormat="false" ht="17.25" hidden="false" customHeight="true" outlineLevel="0" collapsed="false">
      <c r="A396" s="27" t="s">
        <v>14825</v>
      </c>
      <c r="B396" s="27" t="s">
        <v>14826</v>
      </c>
      <c r="C396" s="27" t="s">
        <v>14827</v>
      </c>
      <c r="E396" s="27" t="s">
        <v>11393</v>
      </c>
      <c r="F396" s="27" t="s">
        <v>14828</v>
      </c>
      <c r="G396" s="27" t="s">
        <v>98</v>
      </c>
      <c r="H396" s="27" t="s">
        <v>14829</v>
      </c>
      <c r="I396" s="27" t="s">
        <v>13307</v>
      </c>
      <c r="J396" s="27" t="s">
        <v>13308</v>
      </c>
      <c r="K396" s="27" t="s">
        <v>13307</v>
      </c>
      <c r="L396" s="27" t="s">
        <v>13308</v>
      </c>
      <c r="M396" s="27" t="s">
        <v>13307</v>
      </c>
      <c r="N396" s="27" t="s">
        <v>13308</v>
      </c>
      <c r="O396" s="27" t="s">
        <v>13307</v>
      </c>
      <c r="P396" s="27" t="s">
        <v>13308</v>
      </c>
      <c r="Q396" s="27" t="s">
        <v>13307</v>
      </c>
      <c r="R396" s="27" t="s">
        <v>13308</v>
      </c>
      <c r="T396" s="27" t="s">
        <v>50</v>
      </c>
      <c r="V396" s="27" t="s">
        <v>806</v>
      </c>
      <c r="W396" s="27" t="s">
        <v>14830</v>
      </c>
    </row>
    <row r="397" customFormat="false" ht="15" hidden="false" customHeight="true" outlineLevel="0" collapsed="false">
      <c r="A397" s="27" t="s">
        <v>14831</v>
      </c>
      <c r="B397" s="27" t="s">
        <v>1403</v>
      </c>
      <c r="C397" s="27" t="s">
        <v>14832</v>
      </c>
      <c r="E397" s="27" t="s">
        <v>11393</v>
      </c>
      <c r="F397" s="27" t="s">
        <v>14833</v>
      </c>
      <c r="G397" s="27" t="s">
        <v>215</v>
      </c>
      <c r="H397" s="27" t="s">
        <v>14834</v>
      </c>
      <c r="T397" s="27" t="s">
        <v>50</v>
      </c>
      <c r="U397" s="27" t="s">
        <v>13577</v>
      </c>
      <c r="V397" s="27" t="s">
        <v>14835</v>
      </c>
      <c r="W397" s="27" t="s">
        <v>13902</v>
      </c>
    </row>
    <row r="398" customFormat="false" ht="15" hidden="false" customHeight="true" outlineLevel="0" collapsed="false">
      <c r="A398" s="27" t="s">
        <v>14836</v>
      </c>
      <c r="B398" s="27" t="s">
        <v>5648</v>
      </c>
      <c r="C398" s="27" t="s">
        <v>14837</v>
      </c>
      <c r="E398" s="27" t="s">
        <v>11393</v>
      </c>
      <c r="F398" s="27" t="s">
        <v>14838</v>
      </c>
      <c r="G398" s="27" t="s">
        <v>215</v>
      </c>
      <c r="H398" s="27" t="s">
        <v>14839</v>
      </c>
      <c r="T398" s="27" t="s">
        <v>50</v>
      </c>
      <c r="V398" s="27" t="s">
        <v>14840</v>
      </c>
      <c r="W398" s="27" t="s">
        <v>14382</v>
      </c>
    </row>
    <row r="399" customFormat="false" ht="15" hidden="false" customHeight="true" outlineLevel="0" collapsed="false">
      <c r="A399" s="27" t="s">
        <v>14841</v>
      </c>
      <c r="B399" s="27" t="s">
        <v>1777</v>
      </c>
      <c r="C399" s="27" t="s">
        <v>79</v>
      </c>
      <c r="E399" s="27" t="s">
        <v>11393</v>
      </c>
      <c r="G399" s="27" t="s">
        <v>61</v>
      </c>
      <c r="H399" s="27" t="s">
        <v>14842</v>
      </c>
      <c r="T399" s="27" t="s">
        <v>50</v>
      </c>
      <c r="U399" s="27" t="s">
        <v>386</v>
      </c>
      <c r="V399" s="27" t="s">
        <v>80</v>
      </c>
      <c r="W399" s="27" t="s">
        <v>13925</v>
      </c>
    </row>
    <row r="400" customFormat="false" ht="15" hidden="false" customHeight="true" outlineLevel="0" collapsed="false">
      <c r="A400" s="27" t="s">
        <v>14843</v>
      </c>
      <c r="B400" s="27" t="s">
        <v>1568</v>
      </c>
      <c r="C400" s="27" t="s">
        <v>581</v>
      </c>
      <c r="E400" s="27" t="s">
        <v>11393</v>
      </c>
      <c r="F400" s="27" t="s">
        <v>14844</v>
      </c>
      <c r="G400" s="27" t="s">
        <v>215</v>
      </c>
      <c r="H400" s="27" t="s">
        <v>14845</v>
      </c>
      <c r="T400" s="27" t="s">
        <v>50</v>
      </c>
      <c r="V400" s="27" t="s">
        <v>80</v>
      </c>
      <c r="W400" s="27" t="s">
        <v>14370</v>
      </c>
    </row>
    <row r="401" customFormat="false" ht="15" hidden="false" customHeight="true" outlineLevel="0" collapsed="false">
      <c r="A401" s="27" t="s">
        <v>14846</v>
      </c>
      <c r="B401" s="27" t="s">
        <v>5657</v>
      </c>
      <c r="C401" s="27" t="s">
        <v>5659</v>
      </c>
      <c r="E401" s="27" t="s">
        <v>11393</v>
      </c>
      <c r="F401" s="27" t="s">
        <v>5660</v>
      </c>
      <c r="G401" s="27" t="s">
        <v>98</v>
      </c>
      <c r="H401" s="27" t="s">
        <v>14847</v>
      </c>
      <c r="I401" s="27" t="s">
        <v>13352</v>
      </c>
      <c r="J401" s="27" t="s">
        <v>13445</v>
      </c>
      <c r="K401" s="27" t="s">
        <v>13307</v>
      </c>
      <c r="L401" s="27" t="s">
        <v>13366</v>
      </c>
      <c r="M401" s="27" t="s">
        <v>14848</v>
      </c>
      <c r="N401" s="27" t="s">
        <v>14849</v>
      </c>
      <c r="O401" s="27" t="s">
        <v>13307</v>
      </c>
      <c r="P401" s="27" t="s">
        <v>13366</v>
      </c>
      <c r="Q401" s="27" t="s">
        <v>13307</v>
      </c>
      <c r="R401" s="27" t="s">
        <v>13366</v>
      </c>
      <c r="T401" s="27" t="s">
        <v>50</v>
      </c>
      <c r="V401" s="27" t="s">
        <v>379</v>
      </c>
      <c r="W401" s="27" t="s">
        <v>14850</v>
      </c>
    </row>
    <row r="402" customFormat="false" ht="15" hidden="false" customHeight="true" outlineLevel="0" collapsed="false">
      <c r="A402" s="27" t="s">
        <v>14851</v>
      </c>
      <c r="B402" s="27" t="s">
        <v>151</v>
      </c>
      <c r="C402" s="27" t="s">
        <v>14852</v>
      </c>
      <c r="E402" s="27" t="s">
        <v>11393</v>
      </c>
      <c r="F402" s="27" t="s">
        <v>14853</v>
      </c>
      <c r="G402" s="27" t="s">
        <v>345</v>
      </c>
      <c r="H402" s="27" t="s">
        <v>14854</v>
      </c>
      <c r="I402" s="27" t="s">
        <v>14855</v>
      </c>
      <c r="J402" s="27" t="s">
        <v>14462</v>
      </c>
      <c r="K402" s="27" t="s">
        <v>14856</v>
      </c>
      <c r="M402" s="27" t="s">
        <v>14857</v>
      </c>
      <c r="N402" s="27" t="s">
        <v>14462</v>
      </c>
      <c r="O402" s="27" t="s">
        <v>14858</v>
      </c>
      <c r="Q402" s="27" t="s">
        <v>14857</v>
      </c>
      <c r="R402" s="27" t="s">
        <v>14462</v>
      </c>
      <c r="T402" s="27" t="s">
        <v>50</v>
      </c>
      <c r="V402" s="27" t="s">
        <v>498</v>
      </c>
      <c r="W402" s="27" t="s">
        <v>13617</v>
      </c>
    </row>
    <row r="403" customFormat="false" ht="15" hidden="false" customHeight="true" outlineLevel="0" collapsed="false">
      <c r="A403" s="27" t="s">
        <v>14859</v>
      </c>
      <c r="B403" s="27" t="s">
        <v>14516</v>
      </c>
      <c r="C403" s="27" t="s">
        <v>1861</v>
      </c>
      <c r="E403" s="27" t="s">
        <v>11393</v>
      </c>
      <c r="G403" s="27" t="s">
        <v>98</v>
      </c>
      <c r="H403" s="27" t="s">
        <v>14860</v>
      </c>
      <c r="I403" s="27" t="s">
        <v>13307</v>
      </c>
      <c r="J403" s="27" t="s">
        <v>13309</v>
      </c>
      <c r="K403" s="27" t="s">
        <v>13307</v>
      </c>
      <c r="L403" s="27" t="s">
        <v>13309</v>
      </c>
      <c r="M403" s="27" t="s">
        <v>13307</v>
      </c>
      <c r="N403" s="27" t="s">
        <v>13309</v>
      </c>
      <c r="O403" s="27" t="s">
        <v>13307</v>
      </c>
      <c r="P403" s="27" t="s">
        <v>13309</v>
      </c>
      <c r="Q403" s="27" t="s">
        <v>13307</v>
      </c>
      <c r="R403" s="27" t="s">
        <v>13309</v>
      </c>
      <c r="T403" s="27" t="s">
        <v>50</v>
      </c>
      <c r="V403" s="27" t="s">
        <v>1297</v>
      </c>
      <c r="W403" s="27" t="s">
        <v>14219</v>
      </c>
    </row>
    <row r="404" customFormat="false" ht="15" hidden="false" customHeight="true" outlineLevel="0" collapsed="false">
      <c r="A404" s="27" t="s">
        <v>14861</v>
      </c>
      <c r="B404" s="27" t="s">
        <v>4463</v>
      </c>
      <c r="C404" s="27" t="s">
        <v>247</v>
      </c>
      <c r="E404" s="27" t="s">
        <v>11393</v>
      </c>
      <c r="F404" s="27" t="s">
        <v>14782</v>
      </c>
      <c r="G404" s="27" t="s">
        <v>98</v>
      </c>
      <c r="H404" s="27" t="s">
        <v>14862</v>
      </c>
      <c r="T404" s="27" t="s">
        <v>50</v>
      </c>
      <c r="V404" s="27" t="s">
        <v>248</v>
      </c>
      <c r="W404" s="27" t="s">
        <v>13426</v>
      </c>
    </row>
    <row r="405" customFormat="false" ht="15" hidden="false" customHeight="true" outlineLevel="0" collapsed="false">
      <c r="A405" s="27" t="s">
        <v>14863</v>
      </c>
      <c r="B405" s="27" t="s">
        <v>195</v>
      </c>
      <c r="C405" s="27" t="s">
        <v>14864</v>
      </c>
      <c r="E405" s="27" t="s">
        <v>11393</v>
      </c>
      <c r="F405" s="27" t="s">
        <v>5203</v>
      </c>
      <c r="G405" s="27" t="s">
        <v>61</v>
      </c>
      <c r="H405" s="27" t="s">
        <v>14865</v>
      </c>
      <c r="I405" s="27" t="s">
        <v>14866</v>
      </c>
      <c r="J405" s="27" t="s">
        <v>14867</v>
      </c>
      <c r="K405" s="27" t="s">
        <v>14866</v>
      </c>
      <c r="L405" s="27" t="s">
        <v>14867</v>
      </c>
      <c r="M405" s="27" t="s">
        <v>14866</v>
      </c>
      <c r="N405" s="27" t="s">
        <v>14867</v>
      </c>
      <c r="O405" s="27" t="s">
        <v>14866</v>
      </c>
      <c r="P405" s="27" t="s">
        <v>14867</v>
      </c>
      <c r="Q405" s="27" t="s">
        <v>14866</v>
      </c>
      <c r="R405" s="27" t="s">
        <v>14867</v>
      </c>
      <c r="T405" s="27" t="s">
        <v>50</v>
      </c>
      <c r="V405" s="27" t="s">
        <v>786</v>
      </c>
      <c r="W405" s="27" t="s">
        <v>13611</v>
      </c>
    </row>
    <row r="406" customFormat="false" ht="15" hidden="false" customHeight="true" outlineLevel="0" collapsed="false">
      <c r="A406" s="27" t="s">
        <v>14868</v>
      </c>
      <c r="B406" s="27" t="s">
        <v>1385</v>
      </c>
      <c r="C406" s="27" t="s">
        <v>581</v>
      </c>
      <c r="E406" s="27" t="s">
        <v>11393</v>
      </c>
      <c r="F406" s="27" t="s">
        <v>14844</v>
      </c>
      <c r="G406" s="27" t="s">
        <v>98</v>
      </c>
      <c r="H406" s="27" t="s">
        <v>14869</v>
      </c>
      <c r="T406" s="27" t="s">
        <v>50</v>
      </c>
      <c r="V406" s="27" t="s">
        <v>80</v>
      </c>
      <c r="W406" s="27" t="s">
        <v>14370</v>
      </c>
    </row>
    <row r="407" customFormat="false" ht="15" hidden="false" customHeight="true" outlineLevel="0" collapsed="false">
      <c r="A407" s="27" t="s">
        <v>14870</v>
      </c>
      <c r="B407" s="27" t="s">
        <v>14871</v>
      </c>
      <c r="C407" s="27" t="s">
        <v>581</v>
      </c>
      <c r="E407" s="27" t="s">
        <v>11393</v>
      </c>
      <c r="F407" s="27" t="s">
        <v>14872</v>
      </c>
      <c r="G407" s="27" t="s">
        <v>345</v>
      </c>
      <c r="H407" s="27" t="s">
        <v>14873</v>
      </c>
      <c r="T407" s="27" t="s">
        <v>50</v>
      </c>
      <c r="V407" s="27" t="s">
        <v>80</v>
      </c>
      <c r="W407" s="27" t="s">
        <v>14370</v>
      </c>
    </row>
    <row r="408" customFormat="false" ht="15" hidden="false" customHeight="true" outlineLevel="0" collapsed="false">
      <c r="A408" s="27" t="s">
        <v>14874</v>
      </c>
      <c r="B408" s="27" t="s">
        <v>1396</v>
      </c>
      <c r="C408" s="27" t="s">
        <v>581</v>
      </c>
      <c r="E408" s="27" t="s">
        <v>11393</v>
      </c>
      <c r="G408" s="27" t="s">
        <v>215</v>
      </c>
      <c r="H408" s="27" t="s">
        <v>14875</v>
      </c>
      <c r="T408" s="27" t="s">
        <v>50</v>
      </c>
      <c r="V408" s="27" t="s">
        <v>80</v>
      </c>
      <c r="W408" s="27" t="s">
        <v>14370</v>
      </c>
    </row>
    <row r="409" customFormat="false" ht="15" hidden="false" customHeight="true" outlineLevel="0" collapsed="false">
      <c r="A409" s="27" t="s">
        <v>14876</v>
      </c>
      <c r="B409" s="27" t="s">
        <v>117</v>
      </c>
      <c r="C409" s="27" t="s">
        <v>14877</v>
      </c>
      <c r="E409" s="27" t="s">
        <v>11393</v>
      </c>
      <c r="G409" s="27" t="s">
        <v>98</v>
      </c>
      <c r="H409" s="27" t="s">
        <v>14878</v>
      </c>
      <c r="T409" s="27" t="s">
        <v>50</v>
      </c>
      <c r="V409" s="27" t="s">
        <v>14879</v>
      </c>
      <c r="W409" s="27" t="s">
        <v>14437</v>
      </c>
    </row>
    <row r="410" customFormat="false" ht="15" hidden="false" customHeight="true" outlineLevel="0" collapsed="false">
      <c r="A410" s="27" t="s">
        <v>14880</v>
      </c>
      <c r="B410" s="27" t="s">
        <v>1403</v>
      </c>
      <c r="C410" s="27" t="s">
        <v>14881</v>
      </c>
      <c r="E410" s="27" t="s">
        <v>11393</v>
      </c>
      <c r="F410" s="27" t="s">
        <v>14882</v>
      </c>
      <c r="G410" s="27" t="s">
        <v>98</v>
      </c>
      <c r="H410" s="27" t="s">
        <v>14883</v>
      </c>
      <c r="P410" s="27" t="s">
        <v>13445</v>
      </c>
      <c r="Q410" s="27" t="s">
        <v>14884</v>
      </c>
      <c r="T410" s="27" t="s">
        <v>50</v>
      </c>
      <c r="V410" s="27" t="s">
        <v>5523</v>
      </c>
      <c r="W410" s="27" t="s">
        <v>13551</v>
      </c>
    </row>
    <row r="411" customFormat="false" ht="15" hidden="false" customHeight="true" outlineLevel="0" collapsed="false">
      <c r="A411" s="27" t="s">
        <v>14885</v>
      </c>
      <c r="B411" s="27" t="s">
        <v>231</v>
      </c>
      <c r="C411" s="27" t="s">
        <v>79</v>
      </c>
      <c r="E411" s="27" t="s">
        <v>11393</v>
      </c>
      <c r="F411" s="27" t="s">
        <v>14886</v>
      </c>
      <c r="G411" s="27" t="s">
        <v>345</v>
      </c>
      <c r="H411" s="27" t="s">
        <v>14887</v>
      </c>
      <c r="T411" s="27" t="s">
        <v>50</v>
      </c>
      <c r="V411" s="27" t="s">
        <v>80</v>
      </c>
      <c r="W411" s="27" t="s">
        <v>13925</v>
      </c>
    </row>
    <row r="412" customFormat="false" ht="17.25" hidden="false" customHeight="true" outlineLevel="0" collapsed="false">
      <c r="A412" s="27" t="s">
        <v>14888</v>
      </c>
      <c r="B412" s="27" t="s">
        <v>495</v>
      </c>
      <c r="C412" s="27" t="s">
        <v>14889</v>
      </c>
      <c r="E412" s="27" t="s">
        <v>11393</v>
      </c>
      <c r="F412" s="27" t="s">
        <v>14890</v>
      </c>
      <c r="G412" s="27" t="s">
        <v>98</v>
      </c>
      <c r="H412" s="27" t="s">
        <v>14891</v>
      </c>
      <c r="T412" s="27" t="s">
        <v>50</v>
      </c>
      <c r="V412" s="27" t="s">
        <v>14892</v>
      </c>
      <c r="W412" s="27" t="s">
        <v>13522</v>
      </c>
    </row>
    <row r="413" customFormat="false" ht="17.25" hidden="false" customHeight="true" outlineLevel="0" collapsed="false">
      <c r="A413" s="27" t="s">
        <v>14893</v>
      </c>
      <c r="B413" s="27" t="s">
        <v>2081</v>
      </c>
      <c r="C413" s="27" t="s">
        <v>3646</v>
      </c>
      <c r="E413" s="27" t="s">
        <v>55</v>
      </c>
      <c r="F413" s="27" t="s">
        <v>14894</v>
      </c>
      <c r="G413" s="27" t="s">
        <v>345</v>
      </c>
      <c r="H413" s="27" t="s">
        <v>14895</v>
      </c>
      <c r="T413" s="27" t="s">
        <v>50</v>
      </c>
      <c r="V413" s="27" t="s">
        <v>3647</v>
      </c>
      <c r="W413" s="27" t="s">
        <v>13464</v>
      </c>
    </row>
    <row r="414" customFormat="false" ht="17.25" hidden="false" customHeight="true" outlineLevel="0" collapsed="false">
      <c r="A414" s="27" t="s">
        <v>14896</v>
      </c>
      <c r="B414" s="27" t="s">
        <v>839</v>
      </c>
      <c r="C414" s="27" t="s">
        <v>9990</v>
      </c>
      <c r="E414" s="27" t="s">
        <v>55</v>
      </c>
      <c r="F414" s="27" t="s">
        <v>9991</v>
      </c>
      <c r="G414" s="27" t="s">
        <v>345</v>
      </c>
      <c r="H414" s="27" t="s">
        <v>14897</v>
      </c>
      <c r="T414" s="27" t="s">
        <v>50</v>
      </c>
      <c r="V414" s="27" t="s">
        <v>4514</v>
      </c>
      <c r="W414" s="27" t="s">
        <v>13464</v>
      </c>
    </row>
    <row r="415" customFormat="false" ht="15" hidden="false" customHeight="true" outlineLevel="0" collapsed="false">
      <c r="A415" s="27" t="s">
        <v>14898</v>
      </c>
      <c r="B415" s="27" t="s">
        <v>195</v>
      </c>
      <c r="C415" s="27" t="s">
        <v>14899</v>
      </c>
      <c r="E415" s="27" t="s">
        <v>55</v>
      </c>
      <c r="G415" s="27" t="s">
        <v>215</v>
      </c>
      <c r="H415" s="27" t="s">
        <v>14900</v>
      </c>
      <c r="T415" s="27" t="s">
        <v>50</v>
      </c>
      <c r="V415" s="27" t="s">
        <v>3884</v>
      </c>
      <c r="W415" s="27" t="s">
        <v>13420</v>
      </c>
    </row>
    <row r="416" customFormat="false" ht="17.25" hidden="false" customHeight="true" outlineLevel="0" collapsed="false">
      <c r="A416" s="27" t="s">
        <v>14843</v>
      </c>
      <c r="B416" s="27" t="s">
        <v>7282</v>
      </c>
      <c r="C416" s="27" t="s">
        <v>14901</v>
      </c>
      <c r="E416" s="27" t="s">
        <v>55</v>
      </c>
      <c r="G416" s="27" t="s">
        <v>345</v>
      </c>
      <c r="H416" s="27" t="s">
        <v>14902</v>
      </c>
      <c r="T416" s="27" t="s">
        <v>50</v>
      </c>
      <c r="V416" s="27" t="s">
        <v>14903</v>
      </c>
      <c r="W416" s="27" t="s">
        <v>13331</v>
      </c>
    </row>
    <row r="417" customFormat="false" ht="15" hidden="false" customHeight="true" outlineLevel="0" collapsed="false">
      <c r="A417" s="27" t="s">
        <v>14904</v>
      </c>
      <c r="B417" s="27" t="s">
        <v>3304</v>
      </c>
      <c r="C417" s="27" t="s">
        <v>14905</v>
      </c>
      <c r="E417" s="27" t="s">
        <v>55</v>
      </c>
      <c r="G417" s="27" t="s">
        <v>345</v>
      </c>
      <c r="H417" s="27" t="s">
        <v>14906</v>
      </c>
      <c r="T417" s="27" t="s">
        <v>50</v>
      </c>
      <c r="V417" s="27" t="s">
        <v>9261</v>
      </c>
      <c r="W417" s="27" t="s">
        <v>13788</v>
      </c>
    </row>
    <row r="418" customFormat="false" ht="15" hidden="false" customHeight="true" outlineLevel="0" collapsed="false">
      <c r="A418" s="27" t="s">
        <v>7265</v>
      </c>
      <c r="B418" s="27" t="s">
        <v>4112</v>
      </c>
      <c r="C418" s="27" t="s">
        <v>2896</v>
      </c>
      <c r="E418" s="27" t="s">
        <v>55</v>
      </c>
      <c r="G418" s="27" t="s">
        <v>98</v>
      </c>
      <c r="H418" s="27" t="s">
        <v>14907</v>
      </c>
      <c r="T418" s="27" t="s">
        <v>50</v>
      </c>
      <c r="V418" s="27" t="s">
        <v>798</v>
      </c>
      <c r="W418" s="27" t="s">
        <v>13617</v>
      </c>
    </row>
    <row r="419" customFormat="false" ht="15" hidden="false" customHeight="true" outlineLevel="0" collapsed="false">
      <c r="A419" s="27" t="s">
        <v>14908</v>
      </c>
      <c r="B419" s="27" t="s">
        <v>182</v>
      </c>
      <c r="C419" s="27" t="s">
        <v>8407</v>
      </c>
      <c r="E419" s="27" t="s">
        <v>55</v>
      </c>
      <c r="G419" s="27" t="s">
        <v>98</v>
      </c>
      <c r="H419" s="27" t="s">
        <v>14909</v>
      </c>
      <c r="T419" s="27" t="s">
        <v>50</v>
      </c>
      <c r="V419" s="27" t="s">
        <v>2957</v>
      </c>
      <c r="W419" s="27" t="s">
        <v>13606</v>
      </c>
    </row>
    <row r="420" customFormat="false" ht="15" hidden="false" customHeight="true" outlineLevel="0" collapsed="false">
      <c r="A420" s="27" t="s">
        <v>14910</v>
      </c>
      <c r="B420" s="27" t="s">
        <v>14911</v>
      </c>
      <c r="C420" s="27" t="s">
        <v>14912</v>
      </c>
      <c r="E420" s="27" t="s">
        <v>55</v>
      </c>
      <c r="G420" s="27" t="s">
        <v>61</v>
      </c>
      <c r="H420" s="27" t="s">
        <v>14913</v>
      </c>
      <c r="T420" s="27" t="s">
        <v>50</v>
      </c>
      <c r="U420" s="27" t="s">
        <v>2802</v>
      </c>
      <c r="V420" s="27" t="s">
        <v>1661</v>
      </c>
      <c r="W420" s="27" t="s">
        <v>13358</v>
      </c>
    </row>
    <row r="421" customFormat="false" ht="15" hidden="false" customHeight="true" outlineLevel="0" collapsed="false">
      <c r="A421" s="27" t="s">
        <v>14159</v>
      </c>
      <c r="B421" s="27" t="s">
        <v>142</v>
      </c>
      <c r="C421" s="27" t="s">
        <v>198</v>
      </c>
      <c r="E421" s="27" t="s">
        <v>55</v>
      </c>
      <c r="F421" s="27" t="s">
        <v>14914</v>
      </c>
      <c r="G421" s="27" t="s">
        <v>215</v>
      </c>
      <c r="H421" s="27" t="s">
        <v>14915</v>
      </c>
      <c r="T421" s="27" t="s">
        <v>50</v>
      </c>
      <c r="V421" s="27" t="s">
        <v>199</v>
      </c>
      <c r="W421" s="27" t="s">
        <v>13414</v>
      </c>
    </row>
    <row r="422" customFormat="false" ht="15" hidden="false" customHeight="true" outlineLevel="0" collapsed="false">
      <c r="A422" s="27" t="s">
        <v>14916</v>
      </c>
      <c r="B422" s="27" t="s">
        <v>151</v>
      </c>
      <c r="C422" s="27" t="s">
        <v>14917</v>
      </c>
      <c r="E422" s="27" t="s">
        <v>55</v>
      </c>
      <c r="F422" s="27" t="s">
        <v>14918</v>
      </c>
      <c r="G422" s="27" t="s">
        <v>215</v>
      </c>
      <c r="H422" s="27" t="s">
        <v>14919</v>
      </c>
      <c r="T422" s="27" t="s">
        <v>50</v>
      </c>
      <c r="V422" s="27" t="s">
        <v>347</v>
      </c>
      <c r="W422" s="27" t="s">
        <v>13596</v>
      </c>
    </row>
    <row r="423" customFormat="false" ht="15" hidden="false" customHeight="true" outlineLevel="0" collapsed="false">
      <c r="A423" s="27" t="s">
        <v>14920</v>
      </c>
      <c r="B423" s="27" t="s">
        <v>643</v>
      </c>
      <c r="C423" s="27" t="s">
        <v>14921</v>
      </c>
      <c r="E423" s="27" t="s">
        <v>55</v>
      </c>
      <c r="F423" s="27" t="s">
        <v>14922</v>
      </c>
      <c r="G423" s="27" t="s">
        <v>215</v>
      </c>
      <c r="H423" s="27" t="s">
        <v>14923</v>
      </c>
      <c r="I423" s="27" t="s">
        <v>14924</v>
      </c>
      <c r="J423" s="27" t="s">
        <v>14925</v>
      </c>
      <c r="K423" s="27" t="s">
        <v>14924</v>
      </c>
      <c r="L423" s="27" t="s">
        <v>14926</v>
      </c>
      <c r="M423" s="27" t="s">
        <v>14924</v>
      </c>
      <c r="N423" s="27" t="s">
        <v>14927</v>
      </c>
      <c r="O423" s="27" t="s">
        <v>14924</v>
      </c>
      <c r="P423" s="27" t="s">
        <v>14926</v>
      </c>
      <c r="Q423" s="27" t="s">
        <v>14924</v>
      </c>
      <c r="R423" s="27" t="s">
        <v>14926</v>
      </c>
      <c r="T423" s="27" t="s">
        <v>50</v>
      </c>
      <c r="U423" s="27" t="s">
        <v>421</v>
      </c>
      <c r="V423" s="27" t="s">
        <v>14928</v>
      </c>
      <c r="W423" s="27" t="s">
        <v>13602</v>
      </c>
    </row>
    <row r="424" customFormat="false" ht="15" hidden="false" customHeight="true" outlineLevel="0" collapsed="false">
      <c r="A424" s="27" t="s">
        <v>4102</v>
      </c>
      <c r="B424" s="27" t="s">
        <v>495</v>
      </c>
      <c r="C424" s="27" t="s">
        <v>14929</v>
      </c>
      <c r="E424" s="27" t="s">
        <v>55</v>
      </c>
      <c r="F424" s="27" t="s">
        <v>14930</v>
      </c>
      <c r="G424" s="27" t="s">
        <v>345</v>
      </c>
      <c r="H424" s="27" t="s">
        <v>14931</v>
      </c>
      <c r="T424" s="27" t="s">
        <v>50</v>
      </c>
      <c r="V424" s="27" t="s">
        <v>1661</v>
      </c>
      <c r="W424" s="27" t="s">
        <v>14932</v>
      </c>
    </row>
    <row r="425" customFormat="false" ht="15" hidden="false" customHeight="true" outlineLevel="0" collapsed="false">
      <c r="A425" s="27" t="s">
        <v>14933</v>
      </c>
      <c r="B425" s="27" t="s">
        <v>183</v>
      </c>
      <c r="C425" s="27" t="s">
        <v>14901</v>
      </c>
      <c r="E425" s="27" t="s">
        <v>55</v>
      </c>
      <c r="F425" s="27" t="s">
        <v>14934</v>
      </c>
      <c r="G425" s="27" t="s">
        <v>98</v>
      </c>
      <c r="H425" s="27" t="s">
        <v>14935</v>
      </c>
      <c r="T425" s="27" t="s">
        <v>50</v>
      </c>
      <c r="V425" s="27" t="s">
        <v>14903</v>
      </c>
      <c r="W425" s="27" t="s">
        <v>13331</v>
      </c>
    </row>
    <row r="426" customFormat="false" ht="15" hidden="false" customHeight="true" outlineLevel="0" collapsed="false">
      <c r="A426" s="27" t="s">
        <v>14936</v>
      </c>
      <c r="B426" s="27" t="s">
        <v>14937</v>
      </c>
      <c r="C426" s="27" t="s">
        <v>9986</v>
      </c>
      <c r="E426" s="27" t="s">
        <v>55</v>
      </c>
      <c r="F426" s="27" t="s">
        <v>14938</v>
      </c>
      <c r="G426" s="27" t="s">
        <v>215</v>
      </c>
      <c r="H426" s="27" t="s">
        <v>14939</v>
      </c>
      <c r="T426" s="27" t="s">
        <v>50</v>
      </c>
      <c r="V426" s="27" t="s">
        <v>5340</v>
      </c>
      <c r="W426" s="27" t="s">
        <v>13957</v>
      </c>
    </row>
    <row r="427" customFormat="false" ht="15" hidden="false" customHeight="true" outlineLevel="0" collapsed="false">
      <c r="A427" s="27" t="s">
        <v>14940</v>
      </c>
      <c r="B427" s="27" t="s">
        <v>183</v>
      </c>
      <c r="C427" s="27" t="s">
        <v>8152</v>
      </c>
      <c r="E427" s="27" t="s">
        <v>55</v>
      </c>
      <c r="F427" s="27" t="s">
        <v>14941</v>
      </c>
      <c r="G427" s="27" t="s">
        <v>215</v>
      </c>
      <c r="H427" s="27" t="s">
        <v>14942</v>
      </c>
      <c r="T427" s="27" t="s">
        <v>50</v>
      </c>
      <c r="V427" s="27" t="s">
        <v>8153</v>
      </c>
      <c r="W427" s="27" t="s">
        <v>13331</v>
      </c>
    </row>
    <row r="428" customFormat="false" ht="15" hidden="false" customHeight="true" outlineLevel="0" collapsed="false">
      <c r="A428" s="27" t="s">
        <v>2775</v>
      </c>
      <c r="B428" s="27" t="s">
        <v>182</v>
      </c>
      <c r="C428" s="27" t="s">
        <v>14943</v>
      </c>
      <c r="E428" s="27" t="s">
        <v>55</v>
      </c>
      <c r="F428" s="27" t="s">
        <v>14944</v>
      </c>
      <c r="G428" s="27" t="s">
        <v>98</v>
      </c>
      <c r="H428" s="27" t="s">
        <v>14945</v>
      </c>
      <c r="T428" s="27" t="s">
        <v>50</v>
      </c>
      <c r="V428" s="27" t="s">
        <v>4514</v>
      </c>
      <c r="W428" s="27" t="s">
        <v>13374</v>
      </c>
    </row>
    <row r="429" customFormat="false" ht="15" hidden="false" customHeight="true" outlineLevel="0" collapsed="false">
      <c r="A429" s="27" t="s">
        <v>14946</v>
      </c>
      <c r="B429" s="27" t="s">
        <v>14947</v>
      </c>
      <c r="C429" s="27" t="s">
        <v>14948</v>
      </c>
      <c r="E429" s="27" t="s">
        <v>55</v>
      </c>
      <c r="F429" s="27" t="s">
        <v>14949</v>
      </c>
      <c r="G429" s="27" t="s">
        <v>98</v>
      </c>
      <c r="H429" s="27" t="s">
        <v>14950</v>
      </c>
      <c r="I429" s="27" t="s">
        <v>13307</v>
      </c>
      <c r="J429" s="27" t="s">
        <v>13310</v>
      </c>
      <c r="K429" s="27" t="s">
        <v>13307</v>
      </c>
      <c r="L429" s="27" t="s">
        <v>13310</v>
      </c>
      <c r="M429" s="27" t="s">
        <v>13751</v>
      </c>
      <c r="O429" s="27" t="s">
        <v>13307</v>
      </c>
      <c r="P429" s="27" t="s">
        <v>13310</v>
      </c>
      <c r="Q429" s="27" t="s">
        <v>13307</v>
      </c>
      <c r="R429" s="27" t="s">
        <v>13445</v>
      </c>
      <c r="T429" s="27" t="s">
        <v>50</v>
      </c>
      <c r="V429" s="27" t="s">
        <v>14951</v>
      </c>
      <c r="W429" s="27" t="s">
        <v>13389</v>
      </c>
    </row>
    <row r="430" customFormat="false" ht="15" hidden="false" customHeight="true" outlineLevel="0" collapsed="false">
      <c r="A430" s="27" t="s">
        <v>14952</v>
      </c>
      <c r="B430" s="27" t="s">
        <v>195</v>
      </c>
      <c r="C430" s="27" t="s">
        <v>6119</v>
      </c>
      <c r="E430" s="27" t="s">
        <v>55</v>
      </c>
      <c r="F430" s="27" t="s">
        <v>14953</v>
      </c>
      <c r="G430" s="27" t="s">
        <v>345</v>
      </c>
      <c r="H430" s="27" t="s">
        <v>14954</v>
      </c>
      <c r="T430" s="27" t="s">
        <v>50</v>
      </c>
      <c r="V430" s="27" t="s">
        <v>3647</v>
      </c>
      <c r="W430" s="27" t="s">
        <v>14311</v>
      </c>
    </row>
    <row r="431" customFormat="false" ht="15.75" hidden="false" customHeight="true" outlineLevel="0" collapsed="false">
      <c r="A431" s="27" t="s">
        <v>14955</v>
      </c>
      <c r="B431" s="27" t="s">
        <v>5389</v>
      </c>
      <c r="C431" s="27" t="s">
        <v>5391</v>
      </c>
      <c r="E431" s="27" t="s">
        <v>55</v>
      </c>
      <c r="F431" s="27" t="s">
        <v>14956</v>
      </c>
      <c r="G431" s="27" t="s">
        <v>345</v>
      </c>
      <c r="H431" s="27" t="s">
        <v>14957</v>
      </c>
      <c r="T431" s="27" t="s">
        <v>50</v>
      </c>
      <c r="V431" s="27" t="s">
        <v>414</v>
      </c>
      <c r="W431" s="27" t="s">
        <v>14958</v>
      </c>
    </row>
    <row r="432" customFormat="false" ht="15" hidden="false" customHeight="true" outlineLevel="0" collapsed="false">
      <c r="A432" s="27" t="s">
        <v>14959</v>
      </c>
      <c r="B432" s="27" t="s">
        <v>6711</v>
      </c>
      <c r="C432" s="27" t="s">
        <v>9623</v>
      </c>
      <c r="E432" s="27" t="s">
        <v>55</v>
      </c>
      <c r="G432" s="27" t="s">
        <v>98</v>
      </c>
      <c r="H432" s="27" t="s">
        <v>14960</v>
      </c>
      <c r="T432" s="27" t="s">
        <v>50</v>
      </c>
      <c r="V432" s="27" t="s">
        <v>646</v>
      </c>
      <c r="W432" s="27" t="s">
        <v>13389</v>
      </c>
    </row>
    <row r="433" customFormat="false" ht="15" hidden="false" customHeight="true" outlineLevel="0" collapsed="false">
      <c r="A433" s="27" t="s">
        <v>14961</v>
      </c>
      <c r="B433" s="27" t="s">
        <v>3527</v>
      </c>
      <c r="C433" s="27" t="s">
        <v>14962</v>
      </c>
      <c r="E433" s="27" t="s">
        <v>55</v>
      </c>
      <c r="G433" s="27" t="s">
        <v>98</v>
      </c>
      <c r="H433" s="27" t="s">
        <v>14963</v>
      </c>
      <c r="I433" s="27" t="s">
        <v>13373</v>
      </c>
      <c r="J433" s="27" t="s">
        <v>13309</v>
      </c>
      <c r="K433" s="27" t="s">
        <v>13373</v>
      </c>
      <c r="L433" s="27" t="s">
        <v>13309</v>
      </c>
      <c r="M433" s="27" t="s">
        <v>13373</v>
      </c>
      <c r="N433" s="27" t="s">
        <v>13309</v>
      </c>
      <c r="O433" s="27" t="s">
        <v>13373</v>
      </c>
      <c r="P433" s="27" t="s">
        <v>13309</v>
      </c>
      <c r="Q433" s="27" t="s">
        <v>13373</v>
      </c>
      <c r="R433" s="27" t="s">
        <v>13309</v>
      </c>
      <c r="T433" s="27" t="s">
        <v>50</v>
      </c>
      <c r="V433" s="27" t="s">
        <v>3334</v>
      </c>
      <c r="W433" s="27" t="s">
        <v>13358</v>
      </c>
    </row>
    <row r="434" customFormat="false" ht="15" hidden="false" customHeight="true" outlineLevel="0" collapsed="false">
      <c r="A434" s="27" t="s">
        <v>14964</v>
      </c>
      <c r="B434" s="27" t="s">
        <v>3825</v>
      </c>
      <c r="C434" s="27" t="s">
        <v>4905</v>
      </c>
      <c r="E434" s="27" t="s">
        <v>55</v>
      </c>
      <c r="G434" s="27" t="s">
        <v>215</v>
      </c>
      <c r="H434" s="27" t="s">
        <v>14965</v>
      </c>
      <c r="I434" s="27" t="s">
        <v>13751</v>
      </c>
      <c r="J434" s="27" t="s">
        <v>13367</v>
      </c>
      <c r="K434" s="27" t="s">
        <v>13751</v>
      </c>
      <c r="L434" s="27" t="s">
        <v>13367</v>
      </c>
      <c r="M434" s="27" t="s">
        <v>13751</v>
      </c>
      <c r="N434" s="27" t="s">
        <v>13367</v>
      </c>
      <c r="O434" s="27" t="s">
        <v>13751</v>
      </c>
      <c r="P434" s="27" t="s">
        <v>13367</v>
      </c>
      <c r="Q434" s="27" t="s">
        <v>13751</v>
      </c>
      <c r="R434" s="27" t="s">
        <v>13367</v>
      </c>
      <c r="T434" s="27" t="s">
        <v>50</v>
      </c>
      <c r="V434" s="27" t="s">
        <v>4906</v>
      </c>
      <c r="W434" s="27" t="s">
        <v>14692</v>
      </c>
    </row>
    <row r="435" customFormat="false" ht="17.25" hidden="false" customHeight="true" outlineLevel="0" collapsed="false">
      <c r="A435" s="27" t="s">
        <v>7292</v>
      </c>
      <c r="B435" s="27" t="s">
        <v>3825</v>
      </c>
      <c r="C435" s="27" t="s">
        <v>14966</v>
      </c>
      <c r="E435" s="27" t="s">
        <v>55</v>
      </c>
      <c r="G435" s="27" t="s">
        <v>98</v>
      </c>
      <c r="H435" s="27" t="s">
        <v>14967</v>
      </c>
      <c r="T435" s="27" t="s">
        <v>50</v>
      </c>
      <c r="V435" s="27" t="s">
        <v>8794</v>
      </c>
      <c r="W435" s="27" t="s">
        <v>13611</v>
      </c>
    </row>
    <row r="436" customFormat="false" ht="15" hidden="false" customHeight="true" outlineLevel="0" collapsed="false">
      <c r="A436" s="27" t="s">
        <v>3338</v>
      </c>
      <c r="B436" s="27" t="s">
        <v>14968</v>
      </c>
      <c r="C436" s="27" t="s">
        <v>4083</v>
      </c>
      <c r="E436" s="27" t="s">
        <v>55</v>
      </c>
      <c r="F436" s="27" t="s">
        <v>4085</v>
      </c>
      <c r="G436" s="27" t="s">
        <v>215</v>
      </c>
      <c r="H436" s="27" t="s">
        <v>14969</v>
      </c>
      <c r="T436" s="27" t="s">
        <v>50</v>
      </c>
      <c r="U436" s="27" t="s">
        <v>386</v>
      </c>
      <c r="V436" s="27" t="s">
        <v>4084</v>
      </c>
      <c r="W436" s="27" t="s">
        <v>13389</v>
      </c>
    </row>
    <row r="437" customFormat="false" ht="15" hidden="false" customHeight="true" outlineLevel="0" collapsed="false">
      <c r="A437" s="27" t="s">
        <v>14970</v>
      </c>
      <c r="B437" s="27" t="s">
        <v>182</v>
      </c>
      <c r="C437" s="27" t="s">
        <v>14971</v>
      </c>
      <c r="E437" s="27" t="s">
        <v>55</v>
      </c>
      <c r="F437" s="27" t="s">
        <v>14972</v>
      </c>
      <c r="G437" s="27" t="s">
        <v>98</v>
      </c>
      <c r="H437" s="27" t="s">
        <v>14973</v>
      </c>
      <c r="J437" s="27" t="s">
        <v>14291</v>
      </c>
      <c r="L437" s="27" t="s">
        <v>14291</v>
      </c>
      <c r="O437" s="27" t="s">
        <v>14974</v>
      </c>
      <c r="P437" s="27" t="s">
        <v>14462</v>
      </c>
      <c r="Q437" s="27" t="s">
        <v>14975</v>
      </c>
      <c r="R437" s="27" t="s">
        <v>14581</v>
      </c>
      <c r="T437" s="27" t="s">
        <v>50</v>
      </c>
      <c r="V437" s="27" t="s">
        <v>14951</v>
      </c>
      <c r="W437" s="27" t="s">
        <v>14311</v>
      </c>
    </row>
    <row r="438" customFormat="false" ht="15" hidden="false" customHeight="true" outlineLevel="0" collapsed="false">
      <c r="A438" s="27" t="s">
        <v>14976</v>
      </c>
      <c r="B438" s="27" t="s">
        <v>14977</v>
      </c>
      <c r="C438" s="27" t="s">
        <v>14978</v>
      </c>
      <c r="E438" s="27" t="s">
        <v>55</v>
      </c>
      <c r="G438" s="27" t="s">
        <v>215</v>
      </c>
      <c r="H438" s="27" t="s">
        <v>14979</v>
      </c>
      <c r="T438" s="27" t="s">
        <v>50</v>
      </c>
      <c r="V438" s="27" t="s">
        <v>14980</v>
      </c>
      <c r="W438" s="27" t="s">
        <v>14981</v>
      </c>
    </row>
    <row r="439" customFormat="false" ht="15" hidden="false" customHeight="true" outlineLevel="0" collapsed="false">
      <c r="A439" s="27" t="s">
        <v>14982</v>
      </c>
      <c r="B439" s="27" t="s">
        <v>1777</v>
      </c>
      <c r="C439" s="27" t="s">
        <v>6380</v>
      </c>
      <c r="E439" s="27" t="s">
        <v>55</v>
      </c>
      <c r="G439" s="27" t="s">
        <v>98</v>
      </c>
      <c r="H439" s="27" t="s">
        <v>14983</v>
      </c>
      <c r="T439" s="27" t="s">
        <v>50</v>
      </c>
      <c r="V439" s="27" t="s">
        <v>574</v>
      </c>
      <c r="W439" s="27" t="s">
        <v>13592</v>
      </c>
    </row>
    <row r="440" customFormat="false" ht="15" hidden="false" customHeight="true" outlineLevel="0" collapsed="false">
      <c r="A440" s="27" t="s">
        <v>6710</v>
      </c>
      <c r="B440" s="27" t="s">
        <v>399</v>
      </c>
      <c r="C440" s="27" t="s">
        <v>6119</v>
      </c>
      <c r="E440" s="27" t="s">
        <v>55</v>
      </c>
      <c r="F440" s="27" t="s">
        <v>14984</v>
      </c>
      <c r="G440" s="27" t="s">
        <v>345</v>
      </c>
      <c r="H440" s="27" t="s">
        <v>14985</v>
      </c>
      <c r="T440" s="27" t="s">
        <v>50</v>
      </c>
      <c r="V440" s="27" t="s">
        <v>3647</v>
      </c>
      <c r="W440" s="27" t="s">
        <v>14311</v>
      </c>
    </row>
    <row r="441" customFormat="false" ht="15.75" hidden="false" customHeight="true" outlineLevel="0" collapsed="false">
      <c r="A441" s="27" t="s">
        <v>14986</v>
      </c>
      <c r="B441" s="27" t="s">
        <v>1502</v>
      </c>
      <c r="C441" s="27" t="s">
        <v>14987</v>
      </c>
      <c r="E441" s="27" t="s">
        <v>55</v>
      </c>
      <c r="G441" s="27" t="s">
        <v>345</v>
      </c>
      <c r="H441" s="27" t="s">
        <v>14988</v>
      </c>
      <c r="T441" s="27" t="s">
        <v>50</v>
      </c>
      <c r="V441" s="27" t="s">
        <v>14989</v>
      </c>
      <c r="W441" s="27" t="s">
        <v>13592</v>
      </c>
    </row>
    <row r="442" customFormat="false" ht="15" hidden="false" customHeight="true" outlineLevel="0" collapsed="false">
      <c r="A442" s="27" t="s">
        <v>14990</v>
      </c>
      <c r="B442" s="27" t="s">
        <v>10445</v>
      </c>
      <c r="C442" s="27" t="s">
        <v>14991</v>
      </c>
      <c r="E442" s="27" t="s">
        <v>55</v>
      </c>
      <c r="F442" s="27" t="s">
        <v>14992</v>
      </c>
      <c r="G442" s="27" t="s">
        <v>98</v>
      </c>
      <c r="H442" s="27" t="s">
        <v>14993</v>
      </c>
      <c r="T442" s="27" t="s">
        <v>50</v>
      </c>
      <c r="V442" s="27" t="s">
        <v>14994</v>
      </c>
      <c r="W442" s="27" t="s">
        <v>13464</v>
      </c>
    </row>
    <row r="443" customFormat="false" ht="15" hidden="false" customHeight="true" outlineLevel="0" collapsed="false">
      <c r="A443" s="27" t="s">
        <v>14995</v>
      </c>
      <c r="B443" s="27" t="s">
        <v>1867</v>
      </c>
      <c r="C443" s="27" t="s">
        <v>14996</v>
      </c>
      <c r="E443" s="27" t="s">
        <v>55</v>
      </c>
      <c r="F443" s="27" t="s">
        <v>14997</v>
      </c>
      <c r="G443" s="27" t="s">
        <v>215</v>
      </c>
      <c r="H443" s="27" t="s">
        <v>14998</v>
      </c>
      <c r="T443" s="27" t="s">
        <v>50</v>
      </c>
      <c r="U443" s="27" t="s">
        <v>421</v>
      </c>
      <c r="V443" s="27" t="s">
        <v>5576</v>
      </c>
      <c r="W443" s="27" t="s">
        <v>14692</v>
      </c>
    </row>
    <row r="444" customFormat="false" ht="17.25" hidden="false" customHeight="true" outlineLevel="0" collapsed="false">
      <c r="A444" s="27" t="s">
        <v>14999</v>
      </c>
      <c r="B444" s="27" t="s">
        <v>1275</v>
      </c>
      <c r="C444" s="27" t="s">
        <v>15000</v>
      </c>
      <c r="E444" s="27" t="s">
        <v>55</v>
      </c>
      <c r="F444" s="27" t="s">
        <v>15001</v>
      </c>
      <c r="G444" s="27" t="s">
        <v>98</v>
      </c>
      <c r="H444" s="27" t="s">
        <v>15002</v>
      </c>
      <c r="I444" s="27" t="s">
        <v>14866</v>
      </c>
      <c r="J444" s="27" t="s">
        <v>13309</v>
      </c>
      <c r="K444" s="27" t="s">
        <v>14866</v>
      </c>
      <c r="L444" s="27" t="s">
        <v>13309</v>
      </c>
      <c r="M444" s="27" t="s">
        <v>14866</v>
      </c>
      <c r="N444" s="27" t="s">
        <v>13309</v>
      </c>
      <c r="O444" s="27" t="s">
        <v>14866</v>
      </c>
      <c r="P444" s="27" t="s">
        <v>13309</v>
      </c>
      <c r="Q444" s="27" t="s">
        <v>14866</v>
      </c>
      <c r="R444" s="27" t="s">
        <v>13309</v>
      </c>
      <c r="T444" s="27" t="s">
        <v>50</v>
      </c>
      <c r="V444" s="27" t="s">
        <v>15003</v>
      </c>
      <c r="W444" s="27" t="s">
        <v>13859</v>
      </c>
    </row>
    <row r="445" customFormat="false" ht="15" hidden="false" customHeight="true" outlineLevel="0" collapsed="false">
      <c r="A445" s="27" t="s">
        <v>15004</v>
      </c>
      <c r="B445" s="27" t="s">
        <v>15005</v>
      </c>
      <c r="C445" s="27" t="s">
        <v>3798</v>
      </c>
      <c r="E445" s="27" t="s">
        <v>55</v>
      </c>
      <c r="F445" s="27" t="s">
        <v>3799</v>
      </c>
      <c r="G445" s="27" t="s">
        <v>345</v>
      </c>
      <c r="H445" s="27" t="s">
        <v>15006</v>
      </c>
      <c r="T445" s="27" t="s">
        <v>50</v>
      </c>
      <c r="V445" s="27" t="s">
        <v>1888</v>
      </c>
      <c r="W445" s="27" t="s">
        <v>13592</v>
      </c>
    </row>
    <row r="446" customFormat="false" ht="15" hidden="false" customHeight="true" outlineLevel="0" collapsed="false">
      <c r="A446" s="27" t="s">
        <v>15007</v>
      </c>
      <c r="B446" s="27" t="s">
        <v>4292</v>
      </c>
      <c r="C446" s="27" t="s">
        <v>15008</v>
      </c>
      <c r="E446" s="27" t="s">
        <v>55</v>
      </c>
      <c r="F446" s="27" t="s">
        <v>15009</v>
      </c>
      <c r="G446" s="27" t="s">
        <v>215</v>
      </c>
      <c r="H446" s="27" t="s">
        <v>15010</v>
      </c>
      <c r="T446" s="27" t="s">
        <v>50</v>
      </c>
      <c r="U446" s="27" t="s">
        <v>2802</v>
      </c>
      <c r="V446" s="27" t="s">
        <v>15011</v>
      </c>
      <c r="W446" s="27" t="s">
        <v>13492</v>
      </c>
    </row>
    <row r="447" customFormat="false" ht="15" hidden="false" customHeight="true" outlineLevel="0" collapsed="false">
      <c r="A447" s="27" t="s">
        <v>3984</v>
      </c>
      <c r="B447" s="27" t="s">
        <v>15012</v>
      </c>
      <c r="C447" s="27" t="s">
        <v>15013</v>
      </c>
      <c r="E447" s="27" t="s">
        <v>55</v>
      </c>
      <c r="F447" s="27" t="s">
        <v>15014</v>
      </c>
      <c r="G447" s="27" t="s">
        <v>61</v>
      </c>
      <c r="H447" s="27" t="s">
        <v>15015</v>
      </c>
      <c r="I447" s="27" t="s">
        <v>13315</v>
      </c>
      <c r="J447" s="27" t="s">
        <v>15016</v>
      </c>
      <c r="K447" s="27" t="s">
        <v>13315</v>
      </c>
      <c r="L447" s="27" t="s">
        <v>15016</v>
      </c>
      <c r="M447" s="27" t="s">
        <v>13315</v>
      </c>
      <c r="N447" s="27" t="s">
        <v>15016</v>
      </c>
      <c r="O447" s="27" t="s">
        <v>13315</v>
      </c>
      <c r="P447" s="27" t="s">
        <v>15016</v>
      </c>
      <c r="Q447" s="27" t="s">
        <v>13315</v>
      </c>
      <c r="R447" s="27" t="s">
        <v>15016</v>
      </c>
      <c r="T447" s="27" t="s">
        <v>50</v>
      </c>
      <c r="V447" s="27" t="s">
        <v>15017</v>
      </c>
      <c r="W447" s="27" t="s">
        <v>14037</v>
      </c>
    </row>
    <row r="448" customFormat="false" ht="15" hidden="false" customHeight="true" outlineLevel="0" collapsed="false">
      <c r="A448" s="27" t="s">
        <v>15018</v>
      </c>
      <c r="B448" s="27" t="s">
        <v>1837</v>
      </c>
      <c r="C448" s="27" t="s">
        <v>8407</v>
      </c>
      <c r="E448" s="27" t="s">
        <v>55</v>
      </c>
      <c r="F448" s="27" t="s">
        <v>15019</v>
      </c>
      <c r="G448" s="27" t="s">
        <v>98</v>
      </c>
      <c r="H448" s="27" t="s">
        <v>15020</v>
      </c>
      <c r="T448" s="27" t="s">
        <v>50</v>
      </c>
      <c r="V448" s="27" t="s">
        <v>2957</v>
      </c>
      <c r="W448" s="27" t="s">
        <v>13606</v>
      </c>
    </row>
    <row r="449" customFormat="false" ht="15" hidden="false" customHeight="true" outlineLevel="0" collapsed="false">
      <c r="A449" s="27" t="s">
        <v>15021</v>
      </c>
      <c r="B449" s="27" t="s">
        <v>1534</v>
      </c>
      <c r="C449" s="27" t="s">
        <v>15022</v>
      </c>
      <c r="E449" s="27" t="s">
        <v>55</v>
      </c>
      <c r="F449" s="27" t="s">
        <v>15023</v>
      </c>
      <c r="G449" s="27" t="s">
        <v>98</v>
      </c>
      <c r="H449" s="27" t="s">
        <v>15024</v>
      </c>
      <c r="I449" s="27" t="s">
        <v>13751</v>
      </c>
      <c r="J449" s="27" t="s">
        <v>15025</v>
      </c>
      <c r="K449" s="27" t="s">
        <v>13751</v>
      </c>
      <c r="L449" s="27" t="s">
        <v>15025</v>
      </c>
      <c r="M449" s="27" t="s">
        <v>13751</v>
      </c>
      <c r="N449" s="27" t="s">
        <v>15025</v>
      </c>
      <c r="O449" s="27" t="s">
        <v>13751</v>
      </c>
      <c r="Q449" s="27" t="s">
        <v>13751</v>
      </c>
      <c r="R449" s="27" t="s">
        <v>15025</v>
      </c>
      <c r="T449" s="27" t="s">
        <v>50</v>
      </c>
      <c r="V449" s="27" t="s">
        <v>15026</v>
      </c>
      <c r="W449" s="27" t="s">
        <v>13426</v>
      </c>
    </row>
    <row r="450" customFormat="false" ht="15" hidden="false" customHeight="true" outlineLevel="0" collapsed="false">
      <c r="A450" s="27" t="s">
        <v>8058</v>
      </c>
      <c r="B450" s="27" t="s">
        <v>304</v>
      </c>
      <c r="C450" s="27" t="s">
        <v>15027</v>
      </c>
      <c r="E450" s="27" t="s">
        <v>55</v>
      </c>
      <c r="F450" s="27" t="s">
        <v>15028</v>
      </c>
      <c r="G450" s="27" t="s">
        <v>345</v>
      </c>
      <c r="H450" s="27" t="s">
        <v>15029</v>
      </c>
      <c r="T450" s="27" t="s">
        <v>50</v>
      </c>
      <c r="V450" s="27" t="s">
        <v>414</v>
      </c>
      <c r="W450" s="27" t="s">
        <v>15030</v>
      </c>
    </row>
    <row r="451" customFormat="false" ht="15.75" hidden="false" customHeight="true" outlineLevel="0" collapsed="false">
      <c r="A451" s="27" t="s">
        <v>15031</v>
      </c>
      <c r="B451" s="27" t="s">
        <v>1377</v>
      </c>
      <c r="C451" s="27" t="s">
        <v>10796</v>
      </c>
      <c r="E451" s="27" t="s">
        <v>55</v>
      </c>
      <c r="F451" s="27" t="s">
        <v>10798</v>
      </c>
      <c r="G451" s="27" t="s">
        <v>215</v>
      </c>
      <c r="H451" s="27" t="s">
        <v>15032</v>
      </c>
      <c r="I451" s="27" t="s">
        <v>13463</v>
      </c>
      <c r="J451" s="27" t="s">
        <v>14341</v>
      </c>
      <c r="K451" s="27" t="s">
        <v>13463</v>
      </c>
      <c r="L451" s="27" t="s">
        <v>14341</v>
      </c>
      <c r="O451" s="27" t="s">
        <v>13463</v>
      </c>
      <c r="P451" s="27" t="s">
        <v>14341</v>
      </c>
      <c r="Q451" s="27" t="s">
        <v>13463</v>
      </c>
      <c r="R451" s="27" t="s">
        <v>14341</v>
      </c>
      <c r="T451" s="27" t="s">
        <v>50</v>
      </c>
      <c r="U451" s="27" t="s">
        <v>13577</v>
      </c>
      <c r="V451" s="27" t="s">
        <v>10797</v>
      </c>
      <c r="W451" s="27" t="s">
        <v>13599</v>
      </c>
    </row>
    <row r="452" customFormat="false" ht="15" hidden="false" customHeight="true" outlineLevel="0" collapsed="false">
      <c r="A452" s="27" t="s">
        <v>15033</v>
      </c>
      <c r="B452" s="27" t="s">
        <v>182</v>
      </c>
      <c r="C452" s="27" t="s">
        <v>15034</v>
      </c>
      <c r="E452" s="27" t="s">
        <v>55</v>
      </c>
      <c r="F452" s="27" t="s">
        <v>15035</v>
      </c>
      <c r="G452" s="27" t="s">
        <v>345</v>
      </c>
      <c r="H452" s="27" t="s">
        <v>15036</v>
      </c>
      <c r="T452" s="27" t="s">
        <v>50</v>
      </c>
      <c r="V452" s="27" t="s">
        <v>414</v>
      </c>
      <c r="W452" s="27" t="s">
        <v>13646</v>
      </c>
    </row>
    <row r="453" customFormat="false" ht="15" hidden="false" customHeight="true" outlineLevel="0" collapsed="false">
      <c r="A453" s="27" t="s">
        <v>15037</v>
      </c>
      <c r="B453" s="27" t="s">
        <v>773</v>
      </c>
      <c r="C453" s="27" t="s">
        <v>15038</v>
      </c>
      <c r="E453" s="27" t="s">
        <v>55</v>
      </c>
      <c r="G453" s="27" t="s">
        <v>215</v>
      </c>
      <c r="H453" s="27" t="s">
        <v>15039</v>
      </c>
      <c r="I453" s="27" t="s">
        <v>13373</v>
      </c>
      <c r="J453" s="27" t="s">
        <v>13309</v>
      </c>
      <c r="K453" s="27" t="s">
        <v>13373</v>
      </c>
      <c r="L453" s="27" t="s">
        <v>13309</v>
      </c>
      <c r="M453" s="27" t="s">
        <v>13373</v>
      </c>
      <c r="N453" s="27" t="s">
        <v>13309</v>
      </c>
      <c r="O453" s="27" t="s">
        <v>13373</v>
      </c>
      <c r="P453" s="27" t="s">
        <v>13309</v>
      </c>
      <c r="Q453" s="27" t="s">
        <v>13373</v>
      </c>
      <c r="R453" s="27" t="s">
        <v>13309</v>
      </c>
      <c r="T453" s="27" t="s">
        <v>50</v>
      </c>
      <c r="U453" s="27" t="s">
        <v>13577</v>
      </c>
      <c r="V453" s="27" t="s">
        <v>1661</v>
      </c>
      <c r="W453" s="27" t="s">
        <v>15040</v>
      </c>
    </row>
    <row r="454" customFormat="false" ht="15" hidden="false" customHeight="true" outlineLevel="0" collapsed="false">
      <c r="A454" s="27" t="s">
        <v>15041</v>
      </c>
      <c r="B454" s="27" t="s">
        <v>183</v>
      </c>
      <c r="C454" s="27" t="s">
        <v>15042</v>
      </c>
      <c r="E454" s="27" t="s">
        <v>55</v>
      </c>
      <c r="F454" s="27" t="s">
        <v>15043</v>
      </c>
      <c r="G454" s="27" t="s">
        <v>61</v>
      </c>
      <c r="H454" s="27" t="s">
        <v>15044</v>
      </c>
      <c r="T454" s="27" t="s">
        <v>50</v>
      </c>
      <c r="V454" s="27" t="s">
        <v>15017</v>
      </c>
      <c r="W454" s="27" t="s">
        <v>13362</v>
      </c>
    </row>
    <row r="455" customFormat="false" ht="17.25" hidden="false" customHeight="true" outlineLevel="0" collapsed="false">
      <c r="A455" s="27" t="s">
        <v>2775</v>
      </c>
      <c r="B455" s="27" t="s">
        <v>9009</v>
      </c>
      <c r="C455" s="27" t="s">
        <v>11031</v>
      </c>
      <c r="E455" s="27" t="s">
        <v>55</v>
      </c>
      <c r="G455" s="27" t="s">
        <v>215</v>
      </c>
      <c r="H455" s="27" t="s">
        <v>15045</v>
      </c>
      <c r="J455" s="27" t="s">
        <v>15046</v>
      </c>
      <c r="K455" s="27" t="s">
        <v>13501</v>
      </c>
      <c r="L455" s="27" t="s">
        <v>15046</v>
      </c>
      <c r="M455" s="27" t="s">
        <v>15047</v>
      </c>
      <c r="N455" s="27" t="s">
        <v>13851</v>
      </c>
      <c r="P455" s="27" t="s">
        <v>15046</v>
      </c>
      <c r="R455" s="27" t="s">
        <v>15046</v>
      </c>
      <c r="T455" s="27" t="s">
        <v>50</v>
      </c>
      <c r="V455" s="27" t="s">
        <v>3334</v>
      </c>
      <c r="W455" s="27" t="s">
        <v>15048</v>
      </c>
    </row>
    <row r="456" customFormat="false" ht="15" hidden="false" customHeight="true" outlineLevel="0" collapsed="false">
      <c r="A456" s="27" t="s">
        <v>15049</v>
      </c>
      <c r="B456" s="27" t="s">
        <v>4112</v>
      </c>
      <c r="C456" s="27" t="s">
        <v>15027</v>
      </c>
      <c r="E456" s="27" t="s">
        <v>55</v>
      </c>
      <c r="F456" s="27" t="s">
        <v>15050</v>
      </c>
      <c r="G456" s="27" t="s">
        <v>345</v>
      </c>
      <c r="H456" s="27" t="s">
        <v>15051</v>
      </c>
      <c r="T456" s="27" t="s">
        <v>50</v>
      </c>
      <c r="V456" s="27" t="s">
        <v>414</v>
      </c>
      <c r="W456" s="27" t="s">
        <v>15030</v>
      </c>
    </row>
    <row r="457" customFormat="false" ht="15" hidden="false" customHeight="true" outlineLevel="0" collapsed="false">
      <c r="A457" s="27" t="s">
        <v>15052</v>
      </c>
      <c r="B457" s="27" t="s">
        <v>3527</v>
      </c>
      <c r="C457" s="27" t="s">
        <v>15053</v>
      </c>
      <c r="E457" s="27" t="s">
        <v>55</v>
      </c>
      <c r="F457" s="27" t="s">
        <v>15054</v>
      </c>
      <c r="G457" s="27" t="s">
        <v>98</v>
      </c>
      <c r="H457" s="27" t="s">
        <v>15055</v>
      </c>
      <c r="T457" s="27" t="s">
        <v>50</v>
      </c>
      <c r="U457" s="27" t="s">
        <v>2802</v>
      </c>
      <c r="V457" s="27" t="s">
        <v>15056</v>
      </c>
      <c r="W457" s="27" t="s">
        <v>14680</v>
      </c>
    </row>
    <row r="458" customFormat="false" ht="15" hidden="false" customHeight="true" outlineLevel="0" collapsed="false">
      <c r="A458" s="27" t="s">
        <v>15057</v>
      </c>
      <c r="B458" s="27" t="s">
        <v>958</v>
      </c>
      <c r="C458" s="27" t="s">
        <v>15058</v>
      </c>
      <c r="E458" s="27" t="s">
        <v>55</v>
      </c>
      <c r="G458" s="27" t="s">
        <v>345</v>
      </c>
      <c r="H458" s="27" t="s">
        <v>15059</v>
      </c>
      <c r="T458" s="27" t="s">
        <v>50</v>
      </c>
      <c r="V458" s="27" t="s">
        <v>414</v>
      </c>
      <c r="W458" s="27" t="s">
        <v>15060</v>
      </c>
    </row>
    <row r="459" customFormat="false" ht="15" hidden="false" customHeight="true" outlineLevel="0" collapsed="false">
      <c r="A459" s="27" t="s">
        <v>15061</v>
      </c>
      <c r="B459" s="27" t="s">
        <v>15062</v>
      </c>
      <c r="C459" s="27" t="s">
        <v>15063</v>
      </c>
      <c r="E459" s="27" t="s">
        <v>55</v>
      </c>
      <c r="F459" s="27" t="s">
        <v>15064</v>
      </c>
      <c r="G459" s="27" t="s">
        <v>345</v>
      </c>
      <c r="H459" s="27" t="s">
        <v>15065</v>
      </c>
      <c r="T459" s="27" t="s">
        <v>50</v>
      </c>
      <c r="V459" s="27" t="s">
        <v>3334</v>
      </c>
      <c r="W459" s="27" t="s">
        <v>15066</v>
      </c>
    </row>
    <row r="460" customFormat="false" ht="15" hidden="false" customHeight="true" outlineLevel="0" collapsed="false">
      <c r="A460" s="27" t="s">
        <v>15067</v>
      </c>
      <c r="B460" s="27" t="s">
        <v>8263</v>
      </c>
      <c r="C460" s="27" t="s">
        <v>15068</v>
      </c>
      <c r="E460" s="27" t="s">
        <v>55</v>
      </c>
      <c r="G460" s="27" t="s">
        <v>215</v>
      </c>
      <c r="H460" s="27" t="s">
        <v>15069</v>
      </c>
      <c r="T460" s="27" t="s">
        <v>50</v>
      </c>
      <c r="V460" s="27" t="s">
        <v>15070</v>
      </c>
      <c r="W460" s="27" t="s">
        <v>14807</v>
      </c>
    </row>
    <row r="461" customFormat="false" ht="15" hidden="false" customHeight="true" outlineLevel="0" collapsed="false">
      <c r="A461" s="27" t="s">
        <v>15071</v>
      </c>
      <c r="B461" s="27" t="s">
        <v>643</v>
      </c>
      <c r="C461" s="27" t="s">
        <v>15072</v>
      </c>
      <c r="E461" s="27" t="s">
        <v>55</v>
      </c>
      <c r="F461" s="27" t="s">
        <v>7488</v>
      </c>
      <c r="G461" s="27" t="s">
        <v>98</v>
      </c>
      <c r="H461" s="27" t="s">
        <v>15073</v>
      </c>
      <c r="T461" s="27" t="s">
        <v>50</v>
      </c>
      <c r="V461" s="27" t="s">
        <v>7487</v>
      </c>
      <c r="W461" s="27" t="s">
        <v>14181</v>
      </c>
    </row>
    <row r="462" customFormat="false" ht="15" hidden="false" customHeight="true" outlineLevel="0" collapsed="false">
      <c r="A462" s="27" t="s">
        <v>15074</v>
      </c>
      <c r="B462" s="27" t="s">
        <v>1684</v>
      </c>
      <c r="C462" s="27" t="s">
        <v>15075</v>
      </c>
      <c r="E462" s="27" t="s">
        <v>55</v>
      </c>
      <c r="G462" s="27" t="s">
        <v>345</v>
      </c>
      <c r="H462" s="27" t="s">
        <v>15076</v>
      </c>
      <c r="T462" s="27" t="s">
        <v>50</v>
      </c>
      <c r="V462" s="27" t="s">
        <v>15077</v>
      </c>
      <c r="W462" s="27" t="s">
        <v>13592</v>
      </c>
    </row>
    <row r="463" customFormat="false" ht="17.25" hidden="false" customHeight="true" outlineLevel="0" collapsed="false">
      <c r="A463" s="27" t="s">
        <v>15078</v>
      </c>
      <c r="B463" s="27" t="s">
        <v>10963</v>
      </c>
      <c r="C463" s="27" t="s">
        <v>15079</v>
      </c>
      <c r="E463" s="27" t="s">
        <v>55</v>
      </c>
      <c r="F463" s="27" t="s">
        <v>15080</v>
      </c>
      <c r="G463" s="27" t="s">
        <v>98</v>
      </c>
      <c r="H463" s="27" t="s">
        <v>15081</v>
      </c>
      <c r="I463" s="27" t="s">
        <v>14292</v>
      </c>
      <c r="K463" s="27" t="s">
        <v>14135</v>
      </c>
      <c r="L463" s="27" t="s">
        <v>13309</v>
      </c>
      <c r="O463" s="27" t="s">
        <v>14292</v>
      </c>
      <c r="Q463" s="27" t="s">
        <v>14135</v>
      </c>
      <c r="R463" s="27" t="s">
        <v>13309</v>
      </c>
      <c r="T463" s="27" t="s">
        <v>50</v>
      </c>
      <c r="U463" s="27" t="s">
        <v>1228</v>
      </c>
      <c r="V463" s="27" t="s">
        <v>15082</v>
      </c>
      <c r="W463" s="27" t="s">
        <v>13389</v>
      </c>
    </row>
    <row r="464" customFormat="false" ht="15" hidden="false" customHeight="true" outlineLevel="0" collapsed="false">
      <c r="A464" s="27" t="s">
        <v>15083</v>
      </c>
      <c r="B464" s="27" t="s">
        <v>1423</v>
      </c>
      <c r="C464" s="27" t="s">
        <v>15084</v>
      </c>
      <c r="E464" s="27" t="s">
        <v>55</v>
      </c>
      <c r="G464" s="27" t="s">
        <v>98</v>
      </c>
      <c r="H464" s="27" t="s">
        <v>15085</v>
      </c>
      <c r="T464" s="27" t="s">
        <v>50</v>
      </c>
      <c r="V464" s="27" t="s">
        <v>2957</v>
      </c>
      <c r="W464" s="27" t="s">
        <v>13374</v>
      </c>
    </row>
    <row r="465" customFormat="false" ht="15" hidden="false" customHeight="true" outlineLevel="0" collapsed="false">
      <c r="A465" s="27" t="s">
        <v>15086</v>
      </c>
      <c r="B465" s="27" t="s">
        <v>15087</v>
      </c>
      <c r="C465" s="27" t="s">
        <v>15088</v>
      </c>
      <c r="E465" s="27" t="s">
        <v>55</v>
      </c>
      <c r="G465" s="27" t="s">
        <v>345</v>
      </c>
      <c r="H465" s="27" t="s">
        <v>15089</v>
      </c>
      <c r="T465" s="27" t="s">
        <v>50</v>
      </c>
      <c r="V465" s="27" t="s">
        <v>15090</v>
      </c>
      <c r="W465" s="27" t="s">
        <v>13389</v>
      </c>
    </row>
    <row r="466" customFormat="false" ht="15.75" hidden="false" customHeight="true" outlineLevel="0" collapsed="false">
      <c r="A466" s="27" t="s">
        <v>15091</v>
      </c>
      <c r="B466" s="27" t="s">
        <v>8263</v>
      </c>
      <c r="C466" s="27" t="s">
        <v>15092</v>
      </c>
      <c r="E466" s="27" t="s">
        <v>55</v>
      </c>
      <c r="G466" s="27" t="s">
        <v>345</v>
      </c>
      <c r="H466" s="27" t="s">
        <v>15093</v>
      </c>
      <c r="T466" s="27" t="s">
        <v>50</v>
      </c>
      <c r="V466" s="27" t="s">
        <v>646</v>
      </c>
      <c r="W466" s="27" t="s">
        <v>13902</v>
      </c>
    </row>
    <row r="467" customFormat="false" ht="17.25" hidden="false" customHeight="true" outlineLevel="0" collapsed="false">
      <c r="A467" s="27" t="s">
        <v>15094</v>
      </c>
      <c r="B467" s="27" t="s">
        <v>15095</v>
      </c>
      <c r="C467" s="27" t="s">
        <v>8484</v>
      </c>
      <c r="E467" s="27" t="s">
        <v>55</v>
      </c>
      <c r="F467" s="27" t="s">
        <v>15096</v>
      </c>
      <c r="G467" s="27" t="s">
        <v>98</v>
      </c>
      <c r="H467" s="27" t="s">
        <v>15097</v>
      </c>
      <c r="T467" s="27" t="s">
        <v>50</v>
      </c>
      <c r="V467" s="27" t="s">
        <v>4514</v>
      </c>
      <c r="W467" s="27" t="s">
        <v>13570</v>
      </c>
    </row>
    <row r="468" customFormat="false" ht="15" hidden="false" customHeight="true" outlineLevel="0" collapsed="false">
      <c r="A468" s="27" t="s">
        <v>3984</v>
      </c>
      <c r="B468" s="27" t="s">
        <v>15098</v>
      </c>
      <c r="C468" s="27" t="s">
        <v>15099</v>
      </c>
      <c r="E468" s="27" t="s">
        <v>55</v>
      </c>
      <c r="F468" s="27" t="s">
        <v>15100</v>
      </c>
      <c r="G468" s="27" t="s">
        <v>98</v>
      </c>
      <c r="H468" s="27" t="s">
        <v>15101</v>
      </c>
      <c r="T468" s="27" t="s">
        <v>50</v>
      </c>
      <c r="V468" s="27" t="s">
        <v>2957</v>
      </c>
      <c r="W468" s="27" t="s">
        <v>13353</v>
      </c>
    </row>
    <row r="469" customFormat="false" ht="15" hidden="false" customHeight="true" outlineLevel="0" collapsed="false">
      <c r="A469" s="27" t="s">
        <v>15102</v>
      </c>
      <c r="B469" s="27" t="s">
        <v>15103</v>
      </c>
      <c r="C469" s="27" t="s">
        <v>8484</v>
      </c>
      <c r="E469" s="27" t="s">
        <v>55</v>
      </c>
      <c r="F469" s="27" t="s">
        <v>15104</v>
      </c>
      <c r="G469" s="27" t="s">
        <v>345</v>
      </c>
      <c r="H469" s="27" t="s">
        <v>15105</v>
      </c>
      <c r="T469" s="27" t="s">
        <v>50</v>
      </c>
      <c r="V469" s="27" t="s">
        <v>4514</v>
      </c>
      <c r="W469" s="27" t="s">
        <v>13570</v>
      </c>
    </row>
    <row r="470" customFormat="false" ht="15" hidden="false" customHeight="true" outlineLevel="0" collapsed="false">
      <c r="A470" s="27" t="s">
        <v>15106</v>
      </c>
      <c r="B470" s="27" t="s">
        <v>3615</v>
      </c>
      <c r="C470" s="27" t="s">
        <v>14962</v>
      </c>
      <c r="E470" s="27" t="s">
        <v>55</v>
      </c>
      <c r="G470" s="27" t="s">
        <v>98</v>
      </c>
      <c r="H470" s="27" t="s">
        <v>15107</v>
      </c>
      <c r="T470" s="27" t="s">
        <v>50</v>
      </c>
      <c r="V470" s="27" t="s">
        <v>3334</v>
      </c>
      <c r="W470" s="27" t="s">
        <v>13358</v>
      </c>
    </row>
    <row r="471" customFormat="false" ht="15" hidden="false" customHeight="true" outlineLevel="0" collapsed="false">
      <c r="A471" s="27" t="s">
        <v>15108</v>
      </c>
      <c r="B471" s="27" t="s">
        <v>1777</v>
      </c>
      <c r="C471" s="27" t="s">
        <v>15109</v>
      </c>
      <c r="E471" s="27" t="s">
        <v>55</v>
      </c>
      <c r="F471" s="27" t="s">
        <v>6841</v>
      </c>
      <c r="G471" s="27" t="s">
        <v>98</v>
      </c>
      <c r="H471" s="27" t="s">
        <v>15110</v>
      </c>
      <c r="T471" s="27" t="s">
        <v>50</v>
      </c>
      <c r="V471" s="27" t="s">
        <v>1138</v>
      </c>
      <c r="W471" s="27" t="s">
        <v>14739</v>
      </c>
    </row>
    <row r="472" customFormat="false" ht="15" hidden="false" customHeight="true" outlineLevel="0" collapsed="false">
      <c r="A472" s="27" t="s">
        <v>8211</v>
      </c>
      <c r="B472" s="27" t="s">
        <v>15111</v>
      </c>
      <c r="C472" s="27" t="s">
        <v>15112</v>
      </c>
      <c r="E472" s="27" t="s">
        <v>55</v>
      </c>
      <c r="F472" s="27" t="s">
        <v>15113</v>
      </c>
      <c r="G472" s="27" t="s">
        <v>98</v>
      </c>
      <c r="H472" s="27" t="s">
        <v>15114</v>
      </c>
      <c r="T472" s="27" t="s">
        <v>50</v>
      </c>
      <c r="V472" s="27" t="s">
        <v>15026</v>
      </c>
      <c r="W472" s="27" t="s">
        <v>13335</v>
      </c>
    </row>
    <row r="473" customFormat="false" ht="15" hidden="false" customHeight="true" outlineLevel="0" collapsed="false">
      <c r="A473" s="27" t="s">
        <v>13488</v>
      </c>
      <c r="B473" s="27" t="s">
        <v>6589</v>
      </c>
      <c r="C473" s="27" t="s">
        <v>15115</v>
      </c>
      <c r="E473" s="27" t="s">
        <v>55</v>
      </c>
      <c r="F473" s="27" t="s">
        <v>15116</v>
      </c>
      <c r="G473" s="27" t="s">
        <v>98</v>
      </c>
      <c r="H473" s="27" t="s">
        <v>15117</v>
      </c>
      <c r="I473" s="27" t="s">
        <v>13307</v>
      </c>
      <c r="J473" s="27" t="s">
        <v>15118</v>
      </c>
      <c r="Q473" s="27" t="s">
        <v>13463</v>
      </c>
      <c r="R473" s="27" t="s">
        <v>15118</v>
      </c>
      <c r="T473" s="27" t="s">
        <v>50</v>
      </c>
      <c r="V473" s="27" t="s">
        <v>3334</v>
      </c>
      <c r="W473" s="27" t="s">
        <v>14002</v>
      </c>
    </row>
    <row r="474" customFormat="false" ht="15" hidden="false" customHeight="true" outlineLevel="0" collapsed="false">
      <c r="A474" s="27" t="s">
        <v>15119</v>
      </c>
      <c r="B474" s="27" t="s">
        <v>1174</v>
      </c>
      <c r="C474" s="27" t="s">
        <v>15120</v>
      </c>
      <c r="E474" s="27" t="s">
        <v>55</v>
      </c>
      <c r="F474" s="27" t="s">
        <v>15121</v>
      </c>
      <c r="G474" s="27" t="s">
        <v>215</v>
      </c>
      <c r="H474" s="27" t="s">
        <v>15122</v>
      </c>
      <c r="T474" s="27" t="s">
        <v>50</v>
      </c>
      <c r="V474" s="27" t="s">
        <v>9150</v>
      </c>
      <c r="W474" s="27" t="s">
        <v>13957</v>
      </c>
    </row>
    <row r="475" customFormat="false" ht="15" hidden="false" customHeight="true" outlineLevel="0" collapsed="false">
      <c r="A475" s="27" t="s">
        <v>15123</v>
      </c>
      <c r="B475" s="27" t="s">
        <v>883</v>
      </c>
      <c r="C475" s="27" t="s">
        <v>15124</v>
      </c>
      <c r="E475" s="27" t="s">
        <v>55</v>
      </c>
      <c r="F475" s="27" t="s">
        <v>15125</v>
      </c>
      <c r="G475" s="27" t="s">
        <v>215</v>
      </c>
      <c r="H475" s="27" t="s">
        <v>15126</v>
      </c>
      <c r="I475" s="27" t="s">
        <v>14135</v>
      </c>
      <c r="J475" s="27" t="s">
        <v>13367</v>
      </c>
      <c r="M475" s="27" t="s">
        <v>14135</v>
      </c>
      <c r="N475" s="27" t="s">
        <v>13367</v>
      </c>
      <c r="Q475" s="27" t="s">
        <v>14135</v>
      </c>
      <c r="R475" s="27" t="s">
        <v>13367</v>
      </c>
      <c r="T475" s="27" t="s">
        <v>50</v>
      </c>
      <c r="U475" s="27" t="s">
        <v>421</v>
      </c>
      <c r="V475" s="27" t="s">
        <v>15026</v>
      </c>
      <c r="W475" s="27" t="s">
        <v>13611</v>
      </c>
    </row>
    <row r="476" customFormat="false" ht="17.25" hidden="false" customHeight="true" outlineLevel="0" collapsed="false">
      <c r="A476" s="27" t="s">
        <v>15127</v>
      </c>
      <c r="B476" s="27" t="s">
        <v>142</v>
      </c>
      <c r="C476" s="27" t="s">
        <v>15128</v>
      </c>
      <c r="E476" s="27" t="s">
        <v>55</v>
      </c>
      <c r="F476" s="27" t="s">
        <v>15129</v>
      </c>
      <c r="G476" s="27" t="s">
        <v>345</v>
      </c>
      <c r="H476" s="27" t="s">
        <v>15130</v>
      </c>
      <c r="T476" s="27" t="s">
        <v>50</v>
      </c>
      <c r="V476" s="27" t="s">
        <v>2653</v>
      </c>
      <c r="W476" s="27" t="s">
        <v>13769</v>
      </c>
    </row>
    <row r="477" customFormat="false" ht="15" hidden="false" customHeight="true" outlineLevel="0" collapsed="false">
      <c r="A477" s="27" t="s">
        <v>15131</v>
      </c>
      <c r="B477" s="27" t="s">
        <v>3846</v>
      </c>
      <c r="C477" s="27" t="s">
        <v>15132</v>
      </c>
      <c r="E477" s="27" t="s">
        <v>55</v>
      </c>
      <c r="F477" s="27" t="s">
        <v>12858</v>
      </c>
      <c r="G477" s="27" t="s">
        <v>98</v>
      </c>
      <c r="H477" s="27" t="s">
        <v>15133</v>
      </c>
      <c r="T477" s="27" t="s">
        <v>50</v>
      </c>
      <c r="V477" s="27" t="s">
        <v>414</v>
      </c>
      <c r="W477" s="27" t="s">
        <v>15134</v>
      </c>
    </row>
    <row r="478" customFormat="false" ht="15" hidden="false" customHeight="true" outlineLevel="0" collapsed="false">
      <c r="A478" s="27" t="s">
        <v>15135</v>
      </c>
      <c r="B478" s="27" t="s">
        <v>4948</v>
      </c>
      <c r="C478" s="27" t="s">
        <v>15136</v>
      </c>
      <c r="E478" s="27" t="s">
        <v>55</v>
      </c>
      <c r="G478" s="27" t="s">
        <v>345</v>
      </c>
      <c r="H478" s="27" t="s">
        <v>15137</v>
      </c>
      <c r="T478" s="27" t="s">
        <v>50</v>
      </c>
      <c r="V478" s="27" t="s">
        <v>5340</v>
      </c>
      <c r="W478" s="27" t="s">
        <v>13902</v>
      </c>
    </row>
    <row r="479" customFormat="false" ht="15" hidden="false" customHeight="true" outlineLevel="0" collapsed="false">
      <c r="A479" s="27" t="s">
        <v>15138</v>
      </c>
      <c r="B479" s="27" t="s">
        <v>15139</v>
      </c>
      <c r="C479" s="27" t="s">
        <v>15124</v>
      </c>
      <c r="E479" s="27" t="s">
        <v>55</v>
      </c>
      <c r="G479" s="27" t="s">
        <v>215</v>
      </c>
      <c r="H479" s="27" t="s">
        <v>15140</v>
      </c>
      <c r="I479" s="27" t="s">
        <v>13463</v>
      </c>
      <c r="J479" s="27" t="s">
        <v>13309</v>
      </c>
      <c r="K479" s="27" t="s">
        <v>13463</v>
      </c>
      <c r="L479" s="27" t="s">
        <v>13309</v>
      </c>
      <c r="M479" s="27" t="s">
        <v>13463</v>
      </c>
      <c r="N479" s="27" t="s">
        <v>13310</v>
      </c>
      <c r="O479" s="27" t="s">
        <v>13463</v>
      </c>
      <c r="P479" s="27" t="s">
        <v>13309</v>
      </c>
      <c r="Q479" s="27" t="s">
        <v>13463</v>
      </c>
      <c r="R479" s="27" t="s">
        <v>13310</v>
      </c>
      <c r="T479" s="27" t="s">
        <v>50</v>
      </c>
      <c r="V479" s="27" t="s">
        <v>15026</v>
      </c>
      <c r="W479" s="27" t="s">
        <v>13611</v>
      </c>
    </row>
    <row r="480" customFormat="false" ht="17.25" hidden="false" customHeight="true" outlineLevel="0" collapsed="false">
      <c r="A480" s="27" t="s">
        <v>15141</v>
      </c>
      <c r="B480" s="27" t="s">
        <v>15142</v>
      </c>
      <c r="C480" s="27" t="s">
        <v>13295</v>
      </c>
      <c r="E480" s="27" t="s">
        <v>55</v>
      </c>
      <c r="F480" s="27" t="s">
        <v>15143</v>
      </c>
      <c r="G480" s="27" t="s">
        <v>98</v>
      </c>
      <c r="H480" s="27" t="s">
        <v>15144</v>
      </c>
      <c r="T480" s="27" t="s">
        <v>50</v>
      </c>
      <c r="V480" s="27" t="s">
        <v>1138</v>
      </c>
      <c r="W480" s="27" t="s">
        <v>13408</v>
      </c>
    </row>
    <row r="481" customFormat="false" ht="17.25" hidden="false" customHeight="true" outlineLevel="0" collapsed="false">
      <c r="A481" s="27" t="s">
        <v>15145</v>
      </c>
      <c r="B481" s="27" t="s">
        <v>73</v>
      </c>
      <c r="C481" s="27" t="s">
        <v>15022</v>
      </c>
      <c r="E481" s="27" t="s">
        <v>55</v>
      </c>
      <c r="G481" s="27" t="s">
        <v>98</v>
      </c>
      <c r="H481" s="27" t="s">
        <v>15146</v>
      </c>
      <c r="I481" s="27" t="s">
        <v>15147</v>
      </c>
      <c r="J481" s="27" t="s">
        <v>15148</v>
      </c>
      <c r="L481" s="27" t="s">
        <v>15149</v>
      </c>
      <c r="M481" s="27" t="s">
        <v>15150</v>
      </c>
      <c r="N481" s="27" t="s">
        <v>15151</v>
      </c>
      <c r="P481" s="27" t="s">
        <v>15152</v>
      </c>
      <c r="Q481" s="27" t="s">
        <v>15147</v>
      </c>
      <c r="R481" s="27" t="s">
        <v>15148</v>
      </c>
      <c r="T481" s="27" t="s">
        <v>50</v>
      </c>
      <c r="V481" s="27" t="s">
        <v>15026</v>
      </c>
      <c r="W481" s="27" t="s">
        <v>13426</v>
      </c>
    </row>
    <row r="482" customFormat="false" ht="15" hidden="false" customHeight="true" outlineLevel="0" collapsed="false">
      <c r="A482" s="27" t="s">
        <v>15153</v>
      </c>
      <c r="B482" s="27" t="s">
        <v>5648</v>
      </c>
      <c r="C482" s="27" t="s">
        <v>9990</v>
      </c>
      <c r="E482" s="27" t="s">
        <v>55</v>
      </c>
      <c r="F482" s="27" t="s">
        <v>15154</v>
      </c>
      <c r="G482" s="27" t="s">
        <v>345</v>
      </c>
      <c r="H482" s="27" t="s">
        <v>15155</v>
      </c>
      <c r="T482" s="27" t="s">
        <v>50</v>
      </c>
      <c r="V482" s="27" t="s">
        <v>4514</v>
      </c>
      <c r="W482" s="27" t="s">
        <v>13464</v>
      </c>
    </row>
    <row r="483" customFormat="false" ht="15" hidden="false" customHeight="true" outlineLevel="0" collapsed="false">
      <c r="A483" s="27" t="s">
        <v>15156</v>
      </c>
      <c r="B483" s="27" t="s">
        <v>1101</v>
      </c>
      <c r="C483" s="27" t="s">
        <v>15115</v>
      </c>
      <c r="E483" s="27" t="s">
        <v>55</v>
      </c>
      <c r="F483" s="27" t="s">
        <v>15157</v>
      </c>
      <c r="G483" s="27" t="s">
        <v>98</v>
      </c>
      <c r="H483" s="27" t="s">
        <v>15158</v>
      </c>
      <c r="T483" s="27" t="s">
        <v>50</v>
      </c>
      <c r="V483" s="27" t="s">
        <v>3334</v>
      </c>
      <c r="W483" s="27" t="s">
        <v>14002</v>
      </c>
    </row>
    <row r="484" customFormat="false" ht="15" hidden="false" customHeight="true" outlineLevel="0" collapsed="false">
      <c r="A484" s="27" t="s">
        <v>15159</v>
      </c>
      <c r="B484" s="27" t="s">
        <v>931</v>
      </c>
      <c r="C484" s="27" t="s">
        <v>15160</v>
      </c>
      <c r="E484" s="27" t="s">
        <v>55</v>
      </c>
      <c r="F484" s="27" t="s">
        <v>15161</v>
      </c>
      <c r="G484" s="27" t="s">
        <v>215</v>
      </c>
      <c r="H484" s="27" t="s">
        <v>15162</v>
      </c>
      <c r="T484" s="27" t="s">
        <v>50</v>
      </c>
      <c r="U484" s="27" t="s">
        <v>386</v>
      </c>
      <c r="V484" s="27" t="s">
        <v>15163</v>
      </c>
      <c r="W484" s="27" t="s">
        <v>13374</v>
      </c>
    </row>
    <row r="485" customFormat="false" ht="15" hidden="false" customHeight="true" outlineLevel="0" collapsed="false">
      <c r="A485" s="27" t="s">
        <v>15164</v>
      </c>
      <c r="B485" s="27" t="s">
        <v>829</v>
      </c>
      <c r="C485" s="27" t="s">
        <v>15165</v>
      </c>
      <c r="E485" s="27" t="s">
        <v>55</v>
      </c>
      <c r="F485" s="27" t="s">
        <v>15166</v>
      </c>
      <c r="G485" s="27" t="s">
        <v>345</v>
      </c>
      <c r="H485" s="27" t="s">
        <v>15167</v>
      </c>
      <c r="T485" s="27" t="s">
        <v>50</v>
      </c>
      <c r="V485" s="27" t="s">
        <v>1661</v>
      </c>
      <c r="W485" s="27" t="s">
        <v>14418</v>
      </c>
    </row>
    <row r="486" customFormat="false" ht="15" hidden="false" customHeight="true" outlineLevel="0" collapsed="false">
      <c r="A486" s="27" t="s">
        <v>15168</v>
      </c>
      <c r="B486" s="27" t="s">
        <v>569</v>
      </c>
      <c r="C486" s="27" t="s">
        <v>573</v>
      </c>
      <c r="E486" s="27" t="s">
        <v>55</v>
      </c>
      <c r="F486" s="27" t="s">
        <v>15169</v>
      </c>
      <c r="G486" s="27" t="s">
        <v>98</v>
      </c>
      <c r="H486" s="27" t="s">
        <v>15170</v>
      </c>
      <c r="T486" s="27" t="s">
        <v>50</v>
      </c>
      <c r="V486" s="27" t="s">
        <v>574</v>
      </c>
      <c r="W486" s="27" t="s">
        <v>13389</v>
      </c>
    </row>
    <row r="487" customFormat="false" ht="15" hidden="false" customHeight="true" outlineLevel="0" collapsed="false">
      <c r="A487" s="27" t="s">
        <v>15171</v>
      </c>
      <c r="B487" s="27" t="s">
        <v>839</v>
      </c>
      <c r="C487" s="27" t="s">
        <v>7390</v>
      </c>
      <c r="E487" s="27" t="s">
        <v>55</v>
      </c>
      <c r="F487" s="27" t="s">
        <v>15172</v>
      </c>
      <c r="G487" s="27" t="s">
        <v>345</v>
      </c>
      <c r="H487" s="27" t="s">
        <v>15173</v>
      </c>
      <c r="T487" s="27" t="s">
        <v>50</v>
      </c>
      <c r="V487" s="27" t="s">
        <v>7391</v>
      </c>
      <c r="W487" s="27" t="s">
        <v>13470</v>
      </c>
    </row>
    <row r="488" customFormat="false" ht="15" hidden="false" customHeight="true" outlineLevel="0" collapsed="false">
      <c r="A488" s="27" t="s">
        <v>15174</v>
      </c>
      <c r="B488" s="27" t="s">
        <v>15175</v>
      </c>
      <c r="C488" s="27" t="s">
        <v>15176</v>
      </c>
      <c r="E488" s="27" t="s">
        <v>55</v>
      </c>
      <c r="F488" s="27" t="s">
        <v>15177</v>
      </c>
      <c r="G488" s="27" t="s">
        <v>98</v>
      </c>
      <c r="H488" s="27" t="s">
        <v>15178</v>
      </c>
      <c r="T488" s="27" t="s">
        <v>50</v>
      </c>
      <c r="V488" s="27" t="s">
        <v>15179</v>
      </c>
      <c r="W488" s="27" t="s">
        <v>14463</v>
      </c>
    </row>
    <row r="489" customFormat="false" ht="15" hidden="false" customHeight="true" outlineLevel="0" collapsed="false">
      <c r="A489" s="27" t="s">
        <v>3589</v>
      </c>
      <c r="B489" s="27" t="s">
        <v>9666</v>
      </c>
      <c r="C489" s="27" t="s">
        <v>573</v>
      </c>
      <c r="E489" s="27" t="s">
        <v>55</v>
      </c>
      <c r="F489" s="27" t="s">
        <v>15180</v>
      </c>
      <c r="G489" s="27" t="s">
        <v>98</v>
      </c>
      <c r="H489" s="27" t="s">
        <v>15181</v>
      </c>
      <c r="T489" s="27" t="s">
        <v>50</v>
      </c>
      <c r="V489" s="27" t="s">
        <v>574</v>
      </c>
      <c r="W489" s="27" t="s">
        <v>13389</v>
      </c>
    </row>
    <row r="490" customFormat="false" ht="17.25" hidden="false" customHeight="true" outlineLevel="0" collapsed="false">
      <c r="A490" s="27" t="s">
        <v>15182</v>
      </c>
      <c r="B490" s="27" t="s">
        <v>1101</v>
      </c>
      <c r="C490" s="27" t="s">
        <v>15183</v>
      </c>
      <c r="E490" s="27" t="s">
        <v>55</v>
      </c>
      <c r="F490" s="27" t="s">
        <v>15184</v>
      </c>
      <c r="G490" s="27" t="s">
        <v>61</v>
      </c>
      <c r="H490" s="27" t="s">
        <v>15185</v>
      </c>
      <c r="I490" s="27" t="s">
        <v>13373</v>
      </c>
      <c r="J490" s="27" t="s">
        <v>13308</v>
      </c>
      <c r="K490" s="27" t="s">
        <v>13373</v>
      </c>
      <c r="L490" s="27" t="s">
        <v>13308</v>
      </c>
      <c r="O490" s="27" t="s">
        <v>13373</v>
      </c>
      <c r="P490" s="27" t="s">
        <v>13308</v>
      </c>
      <c r="Q490" s="27" t="s">
        <v>14884</v>
      </c>
      <c r="T490" s="27" t="s">
        <v>50</v>
      </c>
      <c r="U490" s="27" t="s">
        <v>386</v>
      </c>
      <c r="V490" s="27" t="s">
        <v>15186</v>
      </c>
      <c r="W490" s="27" t="s">
        <v>13611</v>
      </c>
    </row>
    <row r="491" customFormat="false" ht="15" hidden="false" customHeight="true" outlineLevel="0" collapsed="false">
      <c r="A491" s="27" t="s">
        <v>15187</v>
      </c>
      <c r="B491" s="27" t="s">
        <v>182</v>
      </c>
      <c r="C491" s="27" t="s">
        <v>8407</v>
      </c>
      <c r="E491" s="27" t="s">
        <v>55</v>
      </c>
      <c r="F491" s="27" t="s">
        <v>15188</v>
      </c>
      <c r="G491" s="27" t="s">
        <v>98</v>
      </c>
      <c r="H491" s="27" t="s">
        <v>15189</v>
      </c>
      <c r="T491" s="27" t="s">
        <v>50</v>
      </c>
      <c r="V491" s="27" t="s">
        <v>2957</v>
      </c>
      <c r="W491" s="27" t="s">
        <v>13606</v>
      </c>
    </row>
    <row r="492" customFormat="false" ht="15" hidden="false" customHeight="true" outlineLevel="0" collapsed="false">
      <c r="A492" s="27" t="s">
        <v>15190</v>
      </c>
      <c r="B492" s="27" t="s">
        <v>5272</v>
      </c>
      <c r="C492" s="27" t="s">
        <v>15191</v>
      </c>
      <c r="E492" s="27" t="s">
        <v>55</v>
      </c>
      <c r="F492" s="27" t="s">
        <v>15192</v>
      </c>
      <c r="G492" s="27" t="s">
        <v>215</v>
      </c>
      <c r="H492" s="27" t="s">
        <v>15193</v>
      </c>
      <c r="T492" s="27" t="s">
        <v>50</v>
      </c>
      <c r="U492" s="27" t="s">
        <v>2802</v>
      </c>
      <c r="V492" s="27" t="s">
        <v>15194</v>
      </c>
      <c r="W492" s="27" t="s">
        <v>13592</v>
      </c>
    </row>
    <row r="493" customFormat="false" ht="15" hidden="false" customHeight="true" outlineLevel="0" collapsed="false">
      <c r="A493" s="27" t="s">
        <v>15195</v>
      </c>
      <c r="B493" s="27" t="s">
        <v>1777</v>
      </c>
      <c r="C493" s="27" t="s">
        <v>15196</v>
      </c>
      <c r="E493" s="27" t="s">
        <v>55</v>
      </c>
      <c r="G493" s="27" t="s">
        <v>345</v>
      </c>
      <c r="H493" s="27" t="s">
        <v>15197</v>
      </c>
      <c r="T493" s="27" t="s">
        <v>50</v>
      </c>
      <c r="V493" s="27" t="s">
        <v>15198</v>
      </c>
      <c r="W493" s="27" t="s">
        <v>13492</v>
      </c>
    </row>
    <row r="494" customFormat="false" ht="15" hidden="false" customHeight="true" outlineLevel="0" collapsed="false">
      <c r="A494" s="27" t="s">
        <v>15199</v>
      </c>
      <c r="B494" s="27" t="s">
        <v>2217</v>
      </c>
      <c r="C494" s="27" t="s">
        <v>15200</v>
      </c>
      <c r="E494" s="27" t="s">
        <v>55</v>
      </c>
      <c r="F494" s="27" t="s">
        <v>15201</v>
      </c>
      <c r="G494" s="27" t="s">
        <v>215</v>
      </c>
      <c r="H494" s="27" t="s">
        <v>15202</v>
      </c>
      <c r="T494" s="27" t="s">
        <v>50</v>
      </c>
      <c r="V494" s="27" t="s">
        <v>414</v>
      </c>
      <c r="W494" s="27" t="s">
        <v>15203</v>
      </c>
    </row>
    <row r="495" customFormat="false" ht="15" hidden="false" customHeight="true" outlineLevel="0" collapsed="false">
      <c r="A495" s="27" t="s">
        <v>15204</v>
      </c>
      <c r="B495" s="27" t="s">
        <v>2038</v>
      </c>
      <c r="C495" s="27" t="s">
        <v>15205</v>
      </c>
      <c r="E495" s="27" t="s">
        <v>55</v>
      </c>
      <c r="F495" s="27" t="s">
        <v>15206</v>
      </c>
      <c r="G495" s="27" t="s">
        <v>215</v>
      </c>
      <c r="H495" s="27" t="s">
        <v>15207</v>
      </c>
      <c r="T495" s="27" t="s">
        <v>50</v>
      </c>
      <c r="U495" s="27" t="s">
        <v>13334</v>
      </c>
      <c r="V495" s="27" t="s">
        <v>2447</v>
      </c>
      <c r="W495" s="27" t="s">
        <v>13335</v>
      </c>
    </row>
    <row r="496" customFormat="false" ht="15" hidden="false" customHeight="true" outlineLevel="0" collapsed="false">
      <c r="A496" s="27" t="s">
        <v>15208</v>
      </c>
      <c r="B496" s="27" t="s">
        <v>958</v>
      </c>
      <c r="C496" s="27" t="s">
        <v>15209</v>
      </c>
      <c r="E496" s="27" t="s">
        <v>55</v>
      </c>
      <c r="F496" s="27" t="s">
        <v>15210</v>
      </c>
      <c r="G496" s="27" t="s">
        <v>215</v>
      </c>
      <c r="H496" s="27" t="s">
        <v>15211</v>
      </c>
      <c r="T496" s="27" t="s">
        <v>50</v>
      </c>
      <c r="U496" s="27" t="s">
        <v>2802</v>
      </c>
      <c r="V496" s="27" t="s">
        <v>2936</v>
      </c>
      <c r="W496" s="27" t="s">
        <v>14437</v>
      </c>
    </row>
    <row r="497" customFormat="false" ht="15" hidden="false" customHeight="true" outlineLevel="0" collapsed="false">
      <c r="A497" s="27" t="s">
        <v>1533</v>
      </c>
      <c r="B497" s="27" t="s">
        <v>7032</v>
      </c>
      <c r="C497" s="27" t="s">
        <v>15038</v>
      </c>
      <c r="E497" s="27" t="s">
        <v>55</v>
      </c>
      <c r="F497" s="27" t="s">
        <v>15212</v>
      </c>
      <c r="G497" s="27" t="s">
        <v>215</v>
      </c>
      <c r="H497" s="27" t="s">
        <v>15213</v>
      </c>
      <c r="T497" s="27" t="s">
        <v>50</v>
      </c>
      <c r="V497" s="27" t="s">
        <v>1661</v>
      </c>
      <c r="W497" s="27" t="s">
        <v>15040</v>
      </c>
    </row>
    <row r="498" customFormat="false" ht="15" hidden="false" customHeight="true" outlineLevel="0" collapsed="false">
      <c r="A498" s="27" t="s">
        <v>59</v>
      </c>
      <c r="B498" s="27" t="s">
        <v>1502</v>
      </c>
      <c r="C498" s="27" t="s">
        <v>2652</v>
      </c>
      <c r="E498" s="27" t="s">
        <v>55</v>
      </c>
      <c r="F498" s="27" t="s">
        <v>2654</v>
      </c>
      <c r="G498" s="27" t="s">
        <v>215</v>
      </c>
      <c r="H498" s="27" t="s">
        <v>15214</v>
      </c>
      <c r="T498" s="27" t="s">
        <v>50</v>
      </c>
      <c r="U498" s="27" t="s">
        <v>2802</v>
      </c>
      <c r="V498" s="27" t="s">
        <v>2653</v>
      </c>
      <c r="W498" s="27" t="s">
        <v>13464</v>
      </c>
    </row>
    <row r="499" customFormat="false" ht="15" hidden="false" customHeight="true" outlineLevel="0" collapsed="false">
      <c r="A499" s="27" t="s">
        <v>15215</v>
      </c>
      <c r="B499" s="27" t="s">
        <v>15216</v>
      </c>
      <c r="C499" s="27" t="s">
        <v>6273</v>
      </c>
      <c r="E499" s="27" t="s">
        <v>55</v>
      </c>
      <c r="F499" s="27" t="s">
        <v>6274</v>
      </c>
      <c r="G499" s="27" t="s">
        <v>345</v>
      </c>
      <c r="H499" s="27" t="s">
        <v>15217</v>
      </c>
      <c r="T499" s="27" t="s">
        <v>50</v>
      </c>
      <c r="V499" s="27" t="s">
        <v>4874</v>
      </c>
      <c r="W499" s="27" t="s">
        <v>13379</v>
      </c>
    </row>
    <row r="500" customFormat="false" ht="15" hidden="false" customHeight="true" outlineLevel="0" collapsed="false">
      <c r="A500" s="27" t="s">
        <v>15218</v>
      </c>
      <c r="B500" s="27" t="s">
        <v>353</v>
      </c>
      <c r="C500" s="27" t="s">
        <v>15219</v>
      </c>
      <c r="E500" s="27" t="s">
        <v>55</v>
      </c>
      <c r="F500" s="27" t="s">
        <v>15220</v>
      </c>
      <c r="G500" s="27" t="s">
        <v>215</v>
      </c>
      <c r="H500" s="27" t="s">
        <v>15221</v>
      </c>
      <c r="T500" s="27" t="s">
        <v>50</v>
      </c>
      <c r="U500" s="27" t="s">
        <v>2802</v>
      </c>
      <c r="V500" s="27" t="s">
        <v>15179</v>
      </c>
      <c r="W500" s="27" t="s">
        <v>13769</v>
      </c>
    </row>
    <row r="501" customFormat="false" ht="15" hidden="false" customHeight="true" outlineLevel="0" collapsed="false">
      <c r="A501" s="27" t="s">
        <v>15222</v>
      </c>
      <c r="B501" s="27" t="s">
        <v>6075</v>
      </c>
      <c r="C501" s="27" t="s">
        <v>15223</v>
      </c>
      <c r="E501" s="27" t="s">
        <v>11355</v>
      </c>
      <c r="G501" s="27" t="s">
        <v>215</v>
      </c>
      <c r="H501" s="27" t="s">
        <v>15224</v>
      </c>
      <c r="I501" s="27" t="s">
        <v>13373</v>
      </c>
      <c r="J501" s="27" t="s">
        <v>15225</v>
      </c>
      <c r="K501" s="27" t="s">
        <v>13373</v>
      </c>
      <c r="L501" s="27" t="s">
        <v>15225</v>
      </c>
      <c r="M501" s="27" t="s">
        <v>13373</v>
      </c>
      <c r="N501" s="27" t="s">
        <v>15225</v>
      </c>
      <c r="O501" s="27" t="s">
        <v>13373</v>
      </c>
      <c r="P501" s="27" t="s">
        <v>15225</v>
      </c>
      <c r="Q501" s="27" t="s">
        <v>13373</v>
      </c>
      <c r="R501" s="27" t="s">
        <v>15225</v>
      </c>
      <c r="T501" s="27" t="s">
        <v>244</v>
      </c>
      <c r="U501" s="27" t="s">
        <v>245</v>
      </c>
      <c r="V501" s="27" t="s">
        <v>15226</v>
      </c>
      <c r="W501" s="27" t="s">
        <v>13788</v>
      </c>
    </row>
    <row r="502" customFormat="false" ht="17.25" hidden="false" customHeight="true" outlineLevel="0" collapsed="false">
      <c r="A502" s="27" t="s">
        <v>15227</v>
      </c>
      <c r="B502" s="27" t="s">
        <v>727</v>
      </c>
      <c r="C502" s="27" t="s">
        <v>2099</v>
      </c>
      <c r="E502" s="27" t="s">
        <v>55</v>
      </c>
      <c r="F502" s="27" t="s">
        <v>6153</v>
      </c>
      <c r="G502" s="27" t="s">
        <v>215</v>
      </c>
      <c r="H502" s="27" t="s">
        <v>15228</v>
      </c>
      <c r="T502" s="27" t="s">
        <v>244</v>
      </c>
      <c r="U502" s="27" t="s">
        <v>245</v>
      </c>
      <c r="V502" s="27" t="s">
        <v>2100</v>
      </c>
      <c r="W502" s="27" t="s">
        <v>15229</v>
      </c>
    </row>
    <row r="503" customFormat="false" ht="15" hidden="false" customHeight="true" outlineLevel="0" collapsed="false">
      <c r="A503" s="27" t="s">
        <v>15230</v>
      </c>
      <c r="B503" s="27" t="s">
        <v>7282</v>
      </c>
      <c r="C503" s="27" t="s">
        <v>3118</v>
      </c>
      <c r="E503" s="27" t="s">
        <v>55</v>
      </c>
      <c r="G503" s="27" t="s">
        <v>215</v>
      </c>
      <c r="H503" s="27" t="s">
        <v>15231</v>
      </c>
      <c r="T503" s="27" t="s">
        <v>244</v>
      </c>
      <c r="U503" s="27" t="s">
        <v>245</v>
      </c>
      <c r="V503" s="27" t="s">
        <v>1450</v>
      </c>
      <c r="W503" s="27" t="s">
        <v>13661</v>
      </c>
    </row>
    <row r="504" customFormat="false" ht="15" hidden="false" customHeight="true" outlineLevel="0" collapsed="false">
      <c r="A504" s="27" t="s">
        <v>15232</v>
      </c>
      <c r="B504" s="27" t="s">
        <v>15233</v>
      </c>
      <c r="C504" s="27" t="s">
        <v>8454</v>
      </c>
      <c r="E504" s="27" t="s">
        <v>55</v>
      </c>
      <c r="G504" s="27" t="s">
        <v>215</v>
      </c>
      <c r="H504" s="27" t="s">
        <v>15234</v>
      </c>
      <c r="T504" s="27" t="s">
        <v>244</v>
      </c>
      <c r="U504" s="27" t="s">
        <v>741</v>
      </c>
      <c r="V504" s="27" t="s">
        <v>1832</v>
      </c>
      <c r="W504" s="27" t="s">
        <v>13925</v>
      </c>
    </row>
    <row r="505" customFormat="false" ht="15" hidden="false" customHeight="true" outlineLevel="0" collapsed="false">
      <c r="A505" s="27" t="s">
        <v>15235</v>
      </c>
      <c r="B505" s="27" t="s">
        <v>6932</v>
      </c>
      <c r="C505" s="27" t="s">
        <v>15236</v>
      </c>
      <c r="E505" s="27" t="s">
        <v>55</v>
      </c>
      <c r="F505" s="27" t="s">
        <v>15237</v>
      </c>
      <c r="G505" s="27" t="s">
        <v>215</v>
      </c>
      <c r="H505" s="27" t="s">
        <v>15238</v>
      </c>
      <c r="T505" s="27" t="s">
        <v>244</v>
      </c>
      <c r="U505" s="27" t="s">
        <v>245</v>
      </c>
      <c r="V505" s="27" t="s">
        <v>2100</v>
      </c>
      <c r="W505" s="27" t="s">
        <v>13800</v>
      </c>
    </row>
    <row r="506" customFormat="false" ht="15" hidden="false" customHeight="true" outlineLevel="0" collapsed="false">
      <c r="A506" s="27" t="s">
        <v>15239</v>
      </c>
      <c r="B506" s="27" t="s">
        <v>2794</v>
      </c>
      <c r="C506" s="27" t="s">
        <v>3118</v>
      </c>
      <c r="E506" s="27" t="s">
        <v>55</v>
      </c>
      <c r="F506" s="27" t="s">
        <v>15240</v>
      </c>
      <c r="G506" s="27" t="s">
        <v>61</v>
      </c>
      <c r="H506" s="27" t="s">
        <v>15241</v>
      </c>
      <c r="T506" s="27" t="s">
        <v>244</v>
      </c>
      <c r="U506" s="27" t="s">
        <v>245</v>
      </c>
      <c r="V506" s="27" t="s">
        <v>1450</v>
      </c>
      <c r="W506" s="27" t="s">
        <v>13661</v>
      </c>
    </row>
    <row r="507" customFormat="false" ht="17.25" hidden="false" customHeight="true" outlineLevel="0" collapsed="false">
      <c r="A507" s="27" t="s">
        <v>15242</v>
      </c>
      <c r="B507" s="27" t="s">
        <v>1135</v>
      </c>
      <c r="C507" s="27" t="s">
        <v>3118</v>
      </c>
      <c r="E507" s="27" t="s">
        <v>55</v>
      </c>
      <c r="F507" s="27" t="s">
        <v>8196</v>
      </c>
      <c r="G507" s="27" t="s">
        <v>215</v>
      </c>
      <c r="H507" s="27" t="s">
        <v>15243</v>
      </c>
      <c r="T507" s="27" t="s">
        <v>244</v>
      </c>
      <c r="U507" s="27" t="s">
        <v>741</v>
      </c>
      <c r="V507" s="27" t="s">
        <v>1450</v>
      </c>
      <c r="W507" s="27" t="s">
        <v>13661</v>
      </c>
    </row>
    <row r="508" customFormat="false" ht="15" hidden="false" customHeight="true" outlineLevel="0" collapsed="false">
      <c r="A508" s="27" t="s">
        <v>15244</v>
      </c>
      <c r="B508" s="27" t="s">
        <v>15245</v>
      </c>
      <c r="C508" s="27" t="s">
        <v>15246</v>
      </c>
      <c r="E508" s="27" t="s">
        <v>55</v>
      </c>
      <c r="F508" s="27" t="s">
        <v>15247</v>
      </c>
      <c r="G508" s="27" t="s">
        <v>215</v>
      </c>
      <c r="H508" s="27" t="s">
        <v>15248</v>
      </c>
      <c r="T508" s="27" t="s">
        <v>244</v>
      </c>
      <c r="U508" s="27" t="s">
        <v>245</v>
      </c>
      <c r="V508" s="27" t="s">
        <v>13738</v>
      </c>
      <c r="W508" s="27" t="s">
        <v>13617</v>
      </c>
    </row>
    <row r="509" customFormat="false" ht="15" hidden="false" customHeight="true" outlineLevel="0" collapsed="false">
      <c r="A509" s="27" t="s">
        <v>15249</v>
      </c>
      <c r="B509" s="27" t="s">
        <v>183</v>
      </c>
      <c r="C509" s="27" t="s">
        <v>6616</v>
      </c>
      <c r="E509" s="27" t="s">
        <v>55</v>
      </c>
      <c r="F509" s="27" t="s">
        <v>6617</v>
      </c>
      <c r="H509" s="27" t="s">
        <v>15250</v>
      </c>
      <c r="T509" s="27" t="s">
        <v>244</v>
      </c>
      <c r="U509" s="27" t="s">
        <v>245</v>
      </c>
      <c r="V509" s="27" t="s">
        <v>4389</v>
      </c>
      <c r="W509" s="27" t="s">
        <v>13599</v>
      </c>
    </row>
    <row r="510" customFormat="false" ht="15" hidden="false" customHeight="true" outlineLevel="0" collapsed="false">
      <c r="A510" s="27" t="s">
        <v>15251</v>
      </c>
      <c r="B510" s="27" t="s">
        <v>861</v>
      </c>
      <c r="C510" s="27" t="s">
        <v>1332</v>
      </c>
      <c r="E510" s="27" t="s">
        <v>55</v>
      </c>
      <c r="G510" s="27" t="s">
        <v>215</v>
      </c>
      <c r="H510" s="27" t="s">
        <v>15252</v>
      </c>
      <c r="T510" s="27" t="s">
        <v>244</v>
      </c>
      <c r="U510" s="27" t="s">
        <v>245</v>
      </c>
      <c r="V510" s="27" t="s">
        <v>1333</v>
      </c>
      <c r="W510" s="27" t="s">
        <v>13362</v>
      </c>
    </row>
    <row r="511" customFormat="false" ht="15" hidden="false" customHeight="true" outlineLevel="0" collapsed="false">
      <c r="A511" s="27" t="s">
        <v>15253</v>
      </c>
      <c r="B511" s="27" t="s">
        <v>2234</v>
      </c>
      <c r="C511" s="27" t="s">
        <v>2236</v>
      </c>
      <c r="E511" s="27" t="s">
        <v>55</v>
      </c>
      <c r="G511" s="27" t="s">
        <v>215</v>
      </c>
      <c r="H511" s="27" t="s">
        <v>15254</v>
      </c>
      <c r="T511" s="27" t="s">
        <v>244</v>
      </c>
      <c r="U511" s="27" t="s">
        <v>245</v>
      </c>
      <c r="V511" s="27" t="s">
        <v>175</v>
      </c>
      <c r="W511" s="27" t="s">
        <v>14442</v>
      </c>
    </row>
    <row r="512" customFormat="false" ht="15" hidden="false" customHeight="true" outlineLevel="0" collapsed="false">
      <c r="A512" s="27" t="s">
        <v>15255</v>
      </c>
      <c r="B512" s="27" t="s">
        <v>15256</v>
      </c>
      <c r="C512" s="27" t="s">
        <v>2210</v>
      </c>
      <c r="E512" s="27" t="s">
        <v>55</v>
      </c>
      <c r="F512" s="27" t="s">
        <v>15257</v>
      </c>
      <c r="G512" s="27" t="s">
        <v>215</v>
      </c>
      <c r="H512" s="27" t="s">
        <v>15258</v>
      </c>
      <c r="T512" s="27" t="s">
        <v>244</v>
      </c>
      <c r="U512" s="27" t="s">
        <v>245</v>
      </c>
      <c r="V512" s="27" t="s">
        <v>3465</v>
      </c>
      <c r="W512" s="27" t="s">
        <v>13592</v>
      </c>
    </row>
    <row r="513" customFormat="false" ht="17.25" hidden="false" customHeight="true" outlineLevel="0" collapsed="false">
      <c r="A513" s="27" t="s">
        <v>15259</v>
      </c>
      <c r="B513" s="27" t="s">
        <v>14819</v>
      </c>
      <c r="C513" s="27" t="s">
        <v>6616</v>
      </c>
      <c r="E513" s="27" t="s">
        <v>55</v>
      </c>
      <c r="F513" s="27" t="s">
        <v>15260</v>
      </c>
      <c r="G513" s="27" t="s">
        <v>215</v>
      </c>
      <c r="H513" s="27" t="s">
        <v>15261</v>
      </c>
      <c r="T513" s="27" t="s">
        <v>244</v>
      </c>
      <c r="U513" s="27" t="s">
        <v>245</v>
      </c>
      <c r="V513" s="27" t="s">
        <v>4389</v>
      </c>
      <c r="W513" s="27" t="s">
        <v>13599</v>
      </c>
    </row>
    <row r="514" customFormat="false" ht="15" hidden="false" customHeight="true" outlineLevel="0" collapsed="false">
      <c r="A514" s="27" t="s">
        <v>15262</v>
      </c>
      <c r="B514" s="27" t="s">
        <v>4285</v>
      </c>
      <c r="C514" s="27" t="s">
        <v>2210</v>
      </c>
      <c r="E514" s="27" t="s">
        <v>55</v>
      </c>
      <c r="G514" s="27" t="s">
        <v>215</v>
      </c>
      <c r="H514" s="27" t="s">
        <v>15263</v>
      </c>
      <c r="T514" s="27" t="s">
        <v>244</v>
      </c>
      <c r="U514" s="27" t="s">
        <v>245</v>
      </c>
      <c r="V514" s="27" t="s">
        <v>3465</v>
      </c>
      <c r="W514" s="27" t="s">
        <v>13592</v>
      </c>
    </row>
    <row r="515" customFormat="false" ht="15" hidden="false" customHeight="true" outlineLevel="0" collapsed="false">
      <c r="A515" s="27" t="s">
        <v>5457</v>
      </c>
      <c r="B515" s="27" t="s">
        <v>15264</v>
      </c>
      <c r="C515" s="27" t="s">
        <v>15265</v>
      </c>
      <c r="E515" s="27" t="s">
        <v>55</v>
      </c>
      <c r="G515" s="27" t="s">
        <v>215</v>
      </c>
      <c r="H515" s="27" t="s">
        <v>15266</v>
      </c>
      <c r="T515" s="27" t="s">
        <v>244</v>
      </c>
      <c r="U515" s="27" t="s">
        <v>15267</v>
      </c>
      <c r="V515" s="27" t="s">
        <v>1340</v>
      </c>
      <c r="W515" s="27" t="s">
        <v>15268</v>
      </c>
    </row>
    <row r="516" customFormat="false" ht="15" hidden="false" customHeight="true" outlineLevel="0" collapsed="false">
      <c r="A516" s="27" t="s">
        <v>15269</v>
      </c>
      <c r="B516" s="27" t="s">
        <v>2072</v>
      </c>
      <c r="C516" s="27" t="s">
        <v>3118</v>
      </c>
      <c r="E516" s="27" t="s">
        <v>55</v>
      </c>
      <c r="F516" s="27" t="s">
        <v>15270</v>
      </c>
      <c r="G516" s="27" t="s">
        <v>215</v>
      </c>
      <c r="H516" s="27" t="s">
        <v>15271</v>
      </c>
      <c r="T516" s="27" t="s">
        <v>244</v>
      </c>
      <c r="U516" s="27" t="s">
        <v>245</v>
      </c>
      <c r="V516" s="27" t="s">
        <v>1450</v>
      </c>
      <c r="W516" s="27" t="s">
        <v>13661</v>
      </c>
    </row>
    <row r="517" customFormat="false" ht="17.25" hidden="false" customHeight="true" outlineLevel="0" collapsed="false">
      <c r="A517" s="27" t="s">
        <v>10144</v>
      </c>
      <c r="B517" s="27" t="s">
        <v>3749</v>
      </c>
      <c r="C517" s="27" t="s">
        <v>2210</v>
      </c>
      <c r="E517" s="27" t="s">
        <v>55</v>
      </c>
      <c r="G517" s="27" t="s">
        <v>215</v>
      </c>
      <c r="H517" s="27" t="s">
        <v>15272</v>
      </c>
      <c r="T517" s="27" t="s">
        <v>244</v>
      </c>
      <c r="U517" s="27" t="s">
        <v>741</v>
      </c>
      <c r="V517" s="27" t="s">
        <v>3465</v>
      </c>
      <c r="W517" s="27" t="s">
        <v>13592</v>
      </c>
    </row>
    <row r="518" customFormat="false" ht="17.25" hidden="false" customHeight="true" outlineLevel="0" collapsed="false">
      <c r="A518" s="27" t="s">
        <v>15273</v>
      </c>
      <c r="B518" s="27" t="s">
        <v>7554</v>
      </c>
      <c r="C518" s="27" t="s">
        <v>2210</v>
      </c>
      <c r="E518" s="27" t="s">
        <v>55</v>
      </c>
      <c r="G518" s="27" t="s">
        <v>215</v>
      </c>
      <c r="H518" s="27" t="s">
        <v>15274</v>
      </c>
      <c r="I518" s="27" t="s">
        <v>13307</v>
      </c>
      <c r="J518" s="27" t="s">
        <v>13308</v>
      </c>
      <c r="K518" s="27" t="s">
        <v>13307</v>
      </c>
      <c r="L518" s="27" t="s">
        <v>13308</v>
      </c>
      <c r="M518" s="27" t="s">
        <v>13307</v>
      </c>
      <c r="N518" s="27" t="s">
        <v>13308</v>
      </c>
      <c r="O518" s="27" t="s">
        <v>13307</v>
      </c>
      <c r="P518" s="27" t="s">
        <v>13308</v>
      </c>
      <c r="Q518" s="27" t="s">
        <v>13307</v>
      </c>
      <c r="R518" s="27" t="s">
        <v>13308</v>
      </c>
      <c r="T518" s="27" t="s">
        <v>244</v>
      </c>
      <c r="U518" s="27" t="s">
        <v>245</v>
      </c>
      <c r="V518" s="27" t="s">
        <v>3465</v>
      </c>
      <c r="W518" s="27" t="s">
        <v>13592</v>
      </c>
    </row>
    <row r="519" customFormat="false" ht="15" hidden="false" customHeight="true" outlineLevel="0" collapsed="false">
      <c r="A519" s="27" t="s">
        <v>15275</v>
      </c>
      <c r="B519" s="27" t="s">
        <v>883</v>
      </c>
      <c r="C519" s="27" t="s">
        <v>6516</v>
      </c>
      <c r="E519" s="27" t="s">
        <v>55</v>
      </c>
      <c r="F519" s="27" t="s">
        <v>7626</v>
      </c>
      <c r="G519" s="27" t="s">
        <v>215</v>
      </c>
      <c r="H519" s="27" t="s">
        <v>15276</v>
      </c>
      <c r="T519" s="27" t="s">
        <v>244</v>
      </c>
      <c r="U519" s="27" t="s">
        <v>245</v>
      </c>
      <c r="V519" s="27" t="s">
        <v>1041</v>
      </c>
      <c r="W519" s="27" t="s">
        <v>13631</v>
      </c>
    </row>
    <row r="520" customFormat="false" ht="17.25" hidden="false" customHeight="true" outlineLevel="0" collapsed="false">
      <c r="A520" s="27" t="s">
        <v>15277</v>
      </c>
      <c r="B520" s="27" t="s">
        <v>1385</v>
      </c>
      <c r="C520" s="27" t="s">
        <v>10409</v>
      </c>
      <c r="E520" s="27" t="s">
        <v>55</v>
      </c>
      <c r="F520" s="27" t="s">
        <v>3272</v>
      </c>
      <c r="G520" s="27" t="s">
        <v>215</v>
      </c>
      <c r="H520" s="27" t="s">
        <v>15278</v>
      </c>
      <c r="T520" s="27" t="s">
        <v>244</v>
      </c>
      <c r="U520" s="27" t="s">
        <v>245</v>
      </c>
      <c r="V520" s="27" t="s">
        <v>2100</v>
      </c>
      <c r="W520" s="27" t="s">
        <v>13734</v>
      </c>
    </row>
    <row r="521" customFormat="false" ht="17.25" hidden="false" customHeight="true" outlineLevel="0" collapsed="false">
      <c r="A521" s="27" t="s">
        <v>15279</v>
      </c>
      <c r="B521" s="27" t="s">
        <v>1502</v>
      </c>
      <c r="C521" s="27" t="s">
        <v>3118</v>
      </c>
      <c r="E521" s="27" t="s">
        <v>55</v>
      </c>
      <c r="F521" s="27" t="s">
        <v>15270</v>
      </c>
      <c r="G521" s="27" t="s">
        <v>215</v>
      </c>
      <c r="H521" s="27" t="s">
        <v>15280</v>
      </c>
      <c r="T521" s="27" t="s">
        <v>244</v>
      </c>
      <c r="U521" s="27" t="s">
        <v>245</v>
      </c>
      <c r="V521" s="27" t="s">
        <v>1450</v>
      </c>
      <c r="W521" s="27" t="s">
        <v>13661</v>
      </c>
    </row>
    <row r="522" customFormat="false" ht="17.25" hidden="false" customHeight="true" outlineLevel="0" collapsed="false">
      <c r="A522" s="27" t="s">
        <v>15281</v>
      </c>
      <c r="B522" s="27" t="s">
        <v>151</v>
      </c>
      <c r="C522" s="27" t="s">
        <v>6471</v>
      </c>
      <c r="E522" s="27" t="s">
        <v>55</v>
      </c>
      <c r="F522" s="27" t="s">
        <v>15282</v>
      </c>
      <c r="G522" s="27" t="s">
        <v>215</v>
      </c>
      <c r="H522" s="27" t="s">
        <v>15283</v>
      </c>
      <c r="T522" s="27" t="s">
        <v>244</v>
      </c>
      <c r="U522" s="27" t="s">
        <v>245</v>
      </c>
      <c r="V522" s="27" t="s">
        <v>2312</v>
      </c>
      <c r="W522" s="27" t="s">
        <v>13788</v>
      </c>
    </row>
    <row r="523" customFormat="false" ht="17.25" hidden="false" customHeight="true" outlineLevel="0" collapsed="false">
      <c r="A523" s="27" t="s">
        <v>9496</v>
      </c>
      <c r="B523" s="27" t="s">
        <v>13607</v>
      </c>
      <c r="C523" s="27" t="s">
        <v>3118</v>
      </c>
      <c r="E523" s="27" t="s">
        <v>55</v>
      </c>
      <c r="G523" s="27" t="s">
        <v>215</v>
      </c>
      <c r="H523" s="27" t="s">
        <v>15284</v>
      </c>
      <c r="T523" s="27" t="s">
        <v>244</v>
      </c>
      <c r="U523" s="27" t="s">
        <v>245</v>
      </c>
      <c r="V523" s="27" t="s">
        <v>1450</v>
      </c>
      <c r="W523" s="27" t="s">
        <v>13661</v>
      </c>
    </row>
    <row r="524" customFormat="false" ht="15" hidden="false" customHeight="true" outlineLevel="0" collapsed="false">
      <c r="A524" s="27" t="s">
        <v>15285</v>
      </c>
      <c r="B524" s="27" t="s">
        <v>15286</v>
      </c>
      <c r="C524" s="27" t="s">
        <v>10409</v>
      </c>
      <c r="E524" s="27" t="s">
        <v>55</v>
      </c>
      <c r="F524" s="27" t="s">
        <v>3272</v>
      </c>
      <c r="G524" s="27" t="s">
        <v>1466</v>
      </c>
      <c r="H524" s="27" t="s">
        <v>15287</v>
      </c>
      <c r="T524" s="27" t="s">
        <v>244</v>
      </c>
      <c r="U524" s="27" t="s">
        <v>245</v>
      </c>
      <c r="V524" s="27" t="s">
        <v>2100</v>
      </c>
      <c r="W524" s="27" t="s">
        <v>13734</v>
      </c>
    </row>
    <row r="525" customFormat="false" ht="15" hidden="false" customHeight="true" outlineLevel="0" collapsed="false">
      <c r="A525" s="27" t="s">
        <v>15288</v>
      </c>
      <c r="B525" s="27" t="s">
        <v>15289</v>
      </c>
      <c r="C525" s="27" t="s">
        <v>2210</v>
      </c>
      <c r="E525" s="27" t="s">
        <v>55</v>
      </c>
      <c r="G525" s="27" t="s">
        <v>215</v>
      </c>
      <c r="H525" s="27" t="s">
        <v>15290</v>
      </c>
      <c r="T525" s="27" t="s">
        <v>244</v>
      </c>
      <c r="U525" s="27" t="s">
        <v>245</v>
      </c>
      <c r="V525" s="27" t="s">
        <v>3465</v>
      </c>
      <c r="W525" s="27" t="s">
        <v>13592</v>
      </c>
    </row>
    <row r="526" customFormat="false" ht="15" hidden="false" customHeight="true" outlineLevel="0" collapsed="false">
      <c r="A526" s="27" t="s">
        <v>15291</v>
      </c>
      <c r="B526" s="27" t="s">
        <v>2433</v>
      </c>
      <c r="C526" s="27" t="s">
        <v>3118</v>
      </c>
      <c r="E526" s="27" t="s">
        <v>55</v>
      </c>
      <c r="F526" s="27" t="s">
        <v>15292</v>
      </c>
      <c r="G526" s="27" t="s">
        <v>345</v>
      </c>
      <c r="H526" s="27" t="s">
        <v>15293</v>
      </c>
      <c r="T526" s="27" t="s">
        <v>244</v>
      </c>
      <c r="U526" s="27" t="s">
        <v>245</v>
      </c>
      <c r="V526" s="27" t="s">
        <v>1450</v>
      </c>
      <c r="W526" s="27" t="s">
        <v>13661</v>
      </c>
    </row>
    <row r="527" customFormat="false" ht="15" hidden="false" customHeight="true" outlineLevel="0" collapsed="false">
      <c r="A527" s="27" t="s">
        <v>15294</v>
      </c>
      <c r="B527" s="27" t="s">
        <v>1859</v>
      </c>
      <c r="C527" s="27" t="s">
        <v>3731</v>
      </c>
      <c r="E527" s="27" t="s">
        <v>55</v>
      </c>
      <c r="G527" s="27" t="s">
        <v>215</v>
      </c>
      <c r="H527" s="27" t="s">
        <v>15295</v>
      </c>
      <c r="I527" s="27" t="s">
        <v>13307</v>
      </c>
      <c r="J527" s="27" t="s">
        <v>13309</v>
      </c>
      <c r="K527" s="27" t="s">
        <v>13307</v>
      </c>
      <c r="L527" s="27" t="s">
        <v>13309</v>
      </c>
      <c r="M527" s="27" t="s">
        <v>13307</v>
      </c>
      <c r="N527" s="27" t="s">
        <v>13309</v>
      </c>
      <c r="O527" s="27" t="s">
        <v>13307</v>
      </c>
      <c r="P527" s="27" t="s">
        <v>13309</v>
      </c>
      <c r="Q527" s="27" t="s">
        <v>13307</v>
      </c>
      <c r="R527" s="27" t="s">
        <v>13309</v>
      </c>
      <c r="T527" s="27" t="s">
        <v>244</v>
      </c>
      <c r="U527" s="27" t="s">
        <v>245</v>
      </c>
      <c r="V527" s="27" t="s">
        <v>2211</v>
      </c>
      <c r="W527" s="27" t="s">
        <v>13353</v>
      </c>
    </row>
    <row r="528" customFormat="false" ht="15" hidden="false" customHeight="true" outlineLevel="0" collapsed="false">
      <c r="A528" s="27" t="s">
        <v>15296</v>
      </c>
      <c r="B528" s="27" t="s">
        <v>15297</v>
      </c>
      <c r="C528" s="27" t="s">
        <v>1332</v>
      </c>
      <c r="E528" s="27" t="s">
        <v>55</v>
      </c>
      <c r="F528" s="27" t="s">
        <v>1793</v>
      </c>
      <c r="G528" s="27" t="s">
        <v>215</v>
      </c>
      <c r="H528" s="27" t="s">
        <v>15298</v>
      </c>
      <c r="T528" s="27" t="s">
        <v>244</v>
      </c>
      <c r="U528" s="27" t="s">
        <v>245</v>
      </c>
      <c r="V528" s="27" t="s">
        <v>1333</v>
      </c>
      <c r="W528" s="27" t="s">
        <v>13362</v>
      </c>
    </row>
    <row r="529" customFormat="false" ht="15" hidden="false" customHeight="true" outlineLevel="0" collapsed="false">
      <c r="A529" s="27" t="s">
        <v>15299</v>
      </c>
      <c r="B529" s="27" t="s">
        <v>7339</v>
      </c>
      <c r="C529" s="27" t="s">
        <v>15300</v>
      </c>
      <c r="E529" s="27" t="s">
        <v>55</v>
      </c>
      <c r="F529" s="27" t="s">
        <v>15301</v>
      </c>
      <c r="G529" s="27" t="s">
        <v>215</v>
      </c>
      <c r="H529" s="27" t="s">
        <v>15302</v>
      </c>
      <c r="K529" s="27" t="s">
        <v>13751</v>
      </c>
      <c r="R529" s="27" t="s">
        <v>13309</v>
      </c>
      <c r="T529" s="27" t="s">
        <v>244</v>
      </c>
      <c r="U529" s="27" t="s">
        <v>245</v>
      </c>
      <c r="V529" s="27" t="s">
        <v>15303</v>
      </c>
      <c r="W529" s="27" t="s">
        <v>13331</v>
      </c>
    </row>
    <row r="530" customFormat="false" ht="15" hidden="false" customHeight="true" outlineLevel="0" collapsed="false">
      <c r="A530" s="27" t="s">
        <v>15304</v>
      </c>
      <c r="B530" s="27" t="s">
        <v>15305</v>
      </c>
      <c r="C530" s="27" t="s">
        <v>10409</v>
      </c>
      <c r="E530" s="27" t="s">
        <v>55</v>
      </c>
      <c r="G530" s="27" t="s">
        <v>215</v>
      </c>
      <c r="H530" s="27" t="s">
        <v>15306</v>
      </c>
      <c r="L530" s="27" t="s">
        <v>13445</v>
      </c>
      <c r="M530" s="27" t="s">
        <v>14151</v>
      </c>
      <c r="T530" s="27" t="s">
        <v>244</v>
      </c>
      <c r="U530" s="27" t="s">
        <v>245</v>
      </c>
      <c r="V530" s="27" t="s">
        <v>2100</v>
      </c>
      <c r="W530" s="27" t="s">
        <v>13734</v>
      </c>
    </row>
    <row r="531" customFormat="false" ht="15" hidden="false" customHeight="true" outlineLevel="0" collapsed="false">
      <c r="A531" s="27" t="s">
        <v>15307</v>
      </c>
      <c r="B531" s="27" t="s">
        <v>2987</v>
      </c>
      <c r="C531" s="27" t="s">
        <v>10409</v>
      </c>
      <c r="E531" s="27" t="s">
        <v>55</v>
      </c>
      <c r="F531" s="27" t="s">
        <v>3272</v>
      </c>
      <c r="G531" s="27" t="s">
        <v>215</v>
      </c>
      <c r="H531" s="27" t="s">
        <v>15308</v>
      </c>
      <c r="T531" s="27" t="s">
        <v>244</v>
      </c>
      <c r="U531" s="27" t="s">
        <v>245</v>
      </c>
      <c r="V531" s="27" t="s">
        <v>2100</v>
      </c>
      <c r="W531" s="27" t="s">
        <v>13734</v>
      </c>
    </row>
    <row r="532" customFormat="false" ht="17.25" hidden="false" customHeight="true" outlineLevel="0" collapsed="false">
      <c r="A532" s="27" t="s">
        <v>2775</v>
      </c>
      <c r="B532" s="27" t="s">
        <v>3360</v>
      </c>
      <c r="C532" s="27" t="s">
        <v>7637</v>
      </c>
      <c r="E532" s="27" t="s">
        <v>55</v>
      </c>
      <c r="F532" s="27" t="s">
        <v>15309</v>
      </c>
      <c r="G532" s="27" t="s">
        <v>215</v>
      </c>
      <c r="H532" s="27" t="s">
        <v>15310</v>
      </c>
      <c r="T532" s="27" t="s">
        <v>244</v>
      </c>
      <c r="U532" s="27" t="s">
        <v>741</v>
      </c>
      <c r="V532" s="27" t="s">
        <v>175</v>
      </c>
      <c r="W532" s="27" t="s">
        <v>13482</v>
      </c>
    </row>
    <row r="533" customFormat="false" ht="17.25" hidden="false" customHeight="true" outlineLevel="0" collapsed="false">
      <c r="A533" s="27" t="s">
        <v>10573</v>
      </c>
      <c r="B533" s="27" t="s">
        <v>2941</v>
      </c>
      <c r="C533" s="27" t="s">
        <v>15311</v>
      </c>
      <c r="E533" s="27" t="s">
        <v>55</v>
      </c>
      <c r="F533" s="27" t="s">
        <v>15312</v>
      </c>
      <c r="G533" s="27" t="s">
        <v>215</v>
      </c>
      <c r="H533" s="27" t="s">
        <v>15313</v>
      </c>
      <c r="T533" s="27" t="s">
        <v>244</v>
      </c>
      <c r="U533" s="27" t="s">
        <v>245</v>
      </c>
      <c r="V533" s="27" t="s">
        <v>4022</v>
      </c>
      <c r="W533" s="27" t="s">
        <v>13592</v>
      </c>
    </row>
    <row r="534" customFormat="false" ht="15" hidden="false" customHeight="true" outlineLevel="0" collapsed="false">
      <c r="A534" s="27" t="s">
        <v>15314</v>
      </c>
      <c r="B534" s="27" t="s">
        <v>399</v>
      </c>
      <c r="C534" s="27" t="s">
        <v>15315</v>
      </c>
      <c r="E534" s="27" t="s">
        <v>55</v>
      </c>
      <c r="F534" s="27" t="s">
        <v>15316</v>
      </c>
      <c r="G534" s="27" t="s">
        <v>215</v>
      </c>
      <c r="H534" s="27" t="s">
        <v>15317</v>
      </c>
      <c r="T534" s="27" t="s">
        <v>244</v>
      </c>
      <c r="U534" s="27" t="s">
        <v>245</v>
      </c>
      <c r="V534" s="27" t="s">
        <v>175</v>
      </c>
      <c r="W534" s="27" t="s">
        <v>15318</v>
      </c>
    </row>
    <row r="535" customFormat="false" ht="15" hidden="false" customHeight="true" outlineLevel="0" collapsed="false">
      <c r="A535" s="27" t="s">
        <v>15319</v>
      </c>
      <c r="B535" s="27" t="s">
        <v>15320</v>
      </c>
      <c r="C535" s="27" t="s">
        <v>3118</v>
      </c>
      <c r="E535" s="27" t="s">
        <v>55</v>
      </c>
      <c r="G535" s="27" t="s">
        <v>215</v>
      </c>
      <c r="H535" s="27" t="s">
        <v>15321</v>
      </c>
      <c r="T535" s="27" t="s">
        <v>244</v>
      </c>
      <c r="U535" s="27" t="s">
        <v>245</v>
      </c>
      <c r="V535" s="27" t="s">
        <v>1450</v>
      </c>
      <c r="W535" s="27" t="s">
        <v>13661</v>
      </c>
    </row>
    <row r="536" customFormat="false" ht="15" hidden="false" customHeight="true" outlineLevel="0" collapsed="false">
      <c r="A536" s="27" t="s">
        <v>15322</v>
      </c>
      <c r="B536" s="27" t="s">
        <v>15323</v>
      </c>
      <c r="C536" s="27" t="s">
        <v>2099</v>
      </c>
      <c r="E536" s="27" t="s">
        <v>55</v>
      </c>
      <c r="F536" s="27" t="s">
        <v>6153</v>
      </c>
      <c r="G536" s="27" t="s">
        <v>215</v>
      </c>
      <c r="H536" s="27" t="s">
        <v>15324</v>
      </c>
      <c r="T536" s="27" t="s">
        <v>244</v>
      </c>
      <c r="U536" s="27" t="s">
        <v>245</v>
      </c>
      <c r="V536" s="27" t="s">
        <v>2100</v>
      </c>
      <c r="W536" s="27" t="s">
        <v>15229</v>
      </c>
    </row>
    <row r="537" customFormat="false" ht="15" hidden="false" customHeight="true" outlineLevel="0" collapsed="false">
      <c r="A537" s="27" t="s">
        <v>15325</v>
      </c>
      <c r="B537" s="27" t="s">
        <v>142</v>
      </c>
      <c r="C537" s="27" t="s">
        <v>15326</v>
      </c>
      <c r="E537" s="27" t="s">
        <v>55</v>
      </c>
      <c r="F537" s="27" t="s">
        <v>15327</v>
      </c>
      <c r="G537" s="27" t="s">
        <v>98</v>
      </c>
      <c r="H537" s="27" t="s">
        <v>15328</v>
      </c>
      <c r="T537" s="27" t="s">
        <v>244</v>
      </c>
      <c r="U537" s="27" t="s">
        <v>15267</v>
      </c>
      <c r="V537" s="27" t="s">
        <v>15329</v>
      </c>
      <c r="W537" s="27" t="s">
        <v>13522</v>
      </c>
    </row>
    <row r="538" customFormat="false" ht="15" hidden="false" customHeight="true" outlineLevel="0" collapsed="false">
      <c r="A538" s="27" t="s">
        <v>55</v>
      </c>
      <c r="B538" s="27" t="s">
        <v>2921</v>
      </c>
      <c r="C538" s="27" t="s">
        <v>3051</v>
      </c>
      <c r="E538" s="27" t="s">
        <v>55</v>
      </c>
      <c r="G538" s="27" t="s">
        <v>215</v>
      </c>
      <c r="H538" s="27" t="s">
        <v>15330</v>
      </c>
      <c r="T538" s="27" t="s">
        <v>244</v>
      </c>
      <c r="U538" s="27" t="s">
        <v>15267</v>
      </c>
      <c r="V538" s="27" t="s">
        <v>2100</v>
      </c>
      <c r="W538" s="27" t="s">
        <v>13558</v>
      </c>
    </row>
    <row r="539" customFormat="false" ht="17.25" hidden="false" customHeight="true" outlineLevel="0" collapsed="false">
      <c r="A539" s="27" t="s">
        <v>15331</v>
      </c>
      <c r="B539" s="27" t="s">
        <v>1568</v>
      </c>
      <c r="C539" s="27" t="s">
        <v>15332</v>
      </c>
      <c r="E539" s="27" t="s">
        <v>55</v>
      </c>
      <c r="G539" s="27" t="s">
        <v>215</v>
      </c>
      <c r="H539" s="27" t="s">
        <v>15333</v>
      </c>
      <c r="I539" s="27" t="s">
        <v>13307</v>
      </c>
      <c r="J539" s="27" t="s">
        <v>13308</v>
      </c>
      <c r="K539" s="27" t="s">
        <v>13307</v>
      </c>
      <c r="L539" s="27" t="s">
        <v>13308</v>
      </c>
      <c r="O539" s="27" t="s">
        <v>13307</v>
      </c>
      <c r="P539" s="27" t="s">
        <v>13308</v>
      </c>
      <c r="Q539" s="27" t="s">
        <v>13307</v>
      </c>
      <c r="R539" s="27" t="s">
        <v>13308</v>
      </c>
      <c r="T539" s="27" t="s">
        <v>244</v>
      </c>
      <c r="U539" s="27" t="s">
        <v>245</v>
      </c>
      <c r="V539" s="27" t="s">
        <v>6465</v>
      </c>
      <c r="W539" s="27" t="s">
        <v>13602</v>
      </c>
    </row>
    <row r="540" customFormat="false" ht="15" hidden="false" customHeight="true" outlineLevel="0" collapsed="false">
      <c r="A540" s="27" t="s">
        <v>15334</v>
      </c>
      <c r="B540" s="27" t="s">
        <v>6546</v>
      </c>
      <c r="C540" s="27" t="s">
        <v>6548</v>
      </c>
      <c r="E540" s="27" t="s">
        <v>55</v>
      </c>
      <c r="F540" s="27" t="s">
        <v>6549</v>
      </c>
      <c r="G540" s="27" t="s">
        <v>215</v>
      </c>
      <c r="H540" s="27" t="s">
        <v>15335</v>
      </c>
      <c r="T540" s="27" t="s">
        <v>244</v>
      </c>
      <c r="U540" s="27" t="s">
        <v>245</v>
      </c>
      <c r="V540" s="27" t="s">
        <v>6504</v>
      </c>
      <c r="W540" s="27" t="s">
        <v>13358</v>
      </c>
    </row>
    <row r="541" customFormat="false" ht="15" hidden="false" customHeight="true" outlineLevel="0" collapsed="false">
      <c r="A541" s="27" t="s">
        <v>6735</v>
      </c>
      <c r="B541" s="27" t="s">
        <v>1749</v>
      </c>
      <c r="C541" s="27" t="s">
        <v>6738</v>
      </c>
      <c r="E541" s="27" t="s">
        <v>55</v>
      </c>
      <c r="F541" s="27" t="s">
        <v>6739</v>
      </c>
      <c r="G541" s="27" t="s">
        <v>215</v>
      </c>
      <c r="H541" s="27" t="s">
        <v>15336</v>
      </c>
      <c r="T541" s="27" t="s">
        <v>244</v>
      </c>
      <c r="U541" s="27" t="s">
        <v>741</v>
      </c>
      <c r="V541" s="27" t="s">
        <v>175</v>
      </c>
      <c r="W541" s="27" t="s">
        <v>13957</v>
      </c>
    </row>
    <row r="542" customFormat="false" ht="15" hidden="false" customHeight="true" outlineLevel="0" collapsed="false">
      <c r="A542" s="27" t="s">
        <v>15337</v>
      </c>
      <c r="B542" s="27" t="s">
        <v>3784</v>
      </c>
      <c r="C542" s="27" t="s">
        <v>3051</v>
      </c>
      <c r="E542" s="27" t="s">
        <v>55</v>
      </c>
      <c r="G542" s="27" t="s">
        <v>215</v>
      </c>
      <c r="H542" s="27" t="s">
        <v>15338</v>
      </c>
      <c r="T542" s="27" t="s">
        <v>244</v>
      </c>
      <c r="U542" s="27" t="s">
        <v>741</v>
      </c>
      <c r="V542" s="27" t="s">
        <v>2100</v>
      </c>
      <c r="W542" s="27" t="s">
        <v>13558</v>
      </c>
    </row>
    <row r="543" customFormat="false" ht="15" hidden="false" customHeight="true" outlineLevel="0" collapsed="false">
      <c r="A543" s="27" t="s">
        <v>15339</v>
      </c>
      <c r="B543" s="27" t="s">
        <v>4227</v>
      </c>
      <c r="C543" s="27" t="s">
        <v>3118</v>
      </c>
      <c r="E543" s="27" t="s">
        <v>55</v>
      </c>
      <c r="F543" s="27" t="s">
        <v>8196</v>
      </c>
      <c r="G543" s="27" t="s">
        <v>215</v>
      </c>
      <c r="H543" s="27" t="s">
        <v>15340</v>
      </c>
      <c r="T543" s="27" t="s">
        <v>244</v>
      </c>
      <c r="U543" s="27" t="s">
        <v>245</v>
      </c>
      <c r="V543" s="27" t="s">
        <v>1450</v>
      </c>
      <c r="W543" s="27" t="s">
        <v>13661</v>
      </c>
    </row>
    <row r="544" customFormat="false" ht="15" hidden="false" customHeight="true" outlineLevel="0" collapsed="false">
      <c r="A544" s="27" t="s">
        <v>15341</v>
      </c>
      <c r="B544" s="27" t="s">
        <v>2217</v>
      </c>
      <c r="C544" s="27" t="s">
        <v>2210</v>
      </c>
      <c r="E544" s="27" t="s">
        <v>55</v>
      </c>
      <c r="G544" s="27" t="s">
        <v>215</v>
      </c>
      <c r="H544" s="27" t="s">
        <v>15342</v>
      </c>
      <c r="T544" s="27" t="s">
        <v>244</v>
      </c>
      <c r="U544" s="27" t="s">
        <v>245</v>
      </c>
      <c r="V544" s="27" t="s">
        <v>3465</v>
      </c>
      <c r="W544" s="27" t="s">
        <v>13592</v>
      </c>
    </row>
    <row r="545" customFormat="false" ht="15" hidden="false" customHeight="true" outlineLevel="0" collapsed="false">
      <c r="A545" s="27" t="s">
        <v>15343</v>
      </c>
      <c r="B545" s="27" t="s">
        <v>376</v>
      </c>
      <c r="C545" s="27" t="s">
        <v>3118</v>
      </c>
      <c r="E545" s="27" t="s">
        <v>55</v>
      </c>
      <c r="F545" s="27" t="s">
        <v>8196</v>
      </c>
      <c r="G545" s="27" t="s">
        <v>215</v>
      </c>
      <c r="H545" s="27" t="s">
        <v>15344</v>
      </c>
      <c r="T545" s="27" t="s">
        <v>244</v>
      </c>
      <c r="U545" s="27" t="s">
        <v>245</v>
      </c>
      <c r="V545" s="27" t="s">
        <v>1450</v>
      </c>
      <c r="W545" s="27" t="s">
        <v>13661</v>
      </c>
    </row>
    <row r="546" customFormat="false" ht="15" hidden="false" customHeight="true" outlineLevel="0" collapsed="false">
      <c r="A546" s="27" t="s">
        <v>5044</v>
      </c>
      <c r="B546" s="27" t="s">
        <v>15345</v>
      </c>
      <c r="C546" s="27" t="s">
        <v>6616</v>
      </c>
      <c r="E546" s="27" t="s">
        <v>55</v>
      </c>
      <c r="F546" s="27" t="s">
        <v>15346</v>
      </c>
      <c r="G546" s="27" t="s">
        <v>215</v>
      </c>
      <c r="H546" s="27" t="s">
        <v>15347</v>
      </c>
      <c r="T546" s="27" t="s">
        <v>244</v>
      </c>
      <c r="U546" s="27" t="s">
        <v>245</v>
      </c>
      <c r="V546" s="27" t="s">
        <v>4389</v>
      </c>
      <c r="W546" s="27" t="s">
        <v>13599</v>
      </c>
    </row>
    <row r="547" customFormat="false" ht="15" hidden="false" customHeight="true" outlineLevel="0" collapsed="false">
      <c r="A547" s="27" t="s">
        <v>15348</v>
      </c>
      <c r="B547" s="27" t="s">
        <v>15349</v>
      </c>
      <c r="C547" s="27" t="s">
        <v>15332</v>
      </c>
      <c r="E547" s="27" t="s">
        <v>55</v>
      </c>
      <c r="F547" s="27" t="s">
        <v>15350</v>
      </c>
      <c r="G547" s="27" t="s">
        <v>215</v>
      </c>
      <c r="H547" s="27" t="s">
        <v>15351</v>
      </c>
      <c r="I547" s="27" t="s">
        <v>13526</v>
      </c>
      <c r="J547" s="27" t="s">
        <v>15352</v>
      </c>
      <c r="K547" s="27" t="s">
        <v>13526</v>
      </c>
      <c r="L547" s="27" t="s">
        <v>13907</v>
      </c>
      <c r="O547" s="27" t="s">
        <v>15353</v>
      </c>
      <c r="Q547" s="27" t="s">
        <v>13526</v>
      </c>
      <c r="R547" s="27" t="s">
        <v>13907</v>
      </c>
      <c r="T547" s="27" t="s">
        <v>244</v>
      </c>
      <c r="U547" s="27" t="s">
        <v>245</v>
      </c>
      <c r="V547" s="27" t="s">
        <v>6465</v>
      </c>
      <c r="W547" s="27" t="s">
        <v>13602</v>
      </c>
    </row>
    <row r="548" customFormat="false" ht="15" hidden="false" customHeight="true" outlineLevel="0" collapsed="false">
      <c r="A548" s="27" t="s">
        <v>2541</v>
      </c>
      <c r="B548" s="27" t="s">
        <v>619</v>
      </c>
      <c r="C548" s="27" t="s">
        <v>15354</v>
      </c>
      <c r="E548" s="27" t="s">
        <v>55</v>
      </c>
      <c r="G548" s="27" t="s">
        <v>215</v>
      </c>
      <c r="H548" s="27" t="s">
        <v>15355</v>
      </c>
      <c r="T548" s="27" t="s">
        <v>244</v>
      </c>
      <c r="U548" s="27" t="s">
        <v>245</v>
      </c>
      <c r="V548" s="27" t="s">
        <v>15356</v>
      </c>
      <c r="W548" s="27" t="s">
        <v>13661</v>
      </c>
    </row>
    <row r="549" customFormat="false" ht="15" hidden="false" customHeight="true" outlineLevel="0" collapsed="false">
      <c r="A549" s="27" t="s">
        <v>15357</v>
      </c>
      <c r="B549" s="27" t="s">
        <v>376</v>
      </c>
      <c r="C549" s="27" t="s">
        <v>3118</v>
      </c>
      <c r="E549" s="27" t="s">
        <v>55</v>
      </c>
      <c r="F549" s="27" t="s">
        <v>7801</v>
      </c>
      <c r="G549" s="27" t="s">
        <v>215</v>
      </c>
      <c r="H549" s="27" t="s">
        <v>15358</v>
      </c>
      <c r="T549" s="27" t="s">
        <v>244</v>
      </c>
      <c r="U549" s="27" t="s">
        <v>245</v>
      </c>
      <c r="V549" s="27" t="s">
        <v>1450</v>
      </c>
      <c r="W549" s="27" t="s">
        <v>13661</v>
      </c>
    </row>
    <row r="550" customFormat="false" ht="15" hidden="false" customHeight="true" outlineLevel="0" collapsed="false">
      <c r="A550" s="27" t="s">
        <v>15359</v>
      </c>
      <c r="B550" s="27" t="s">
        <v>117</v>
      </c>
      <c r="C550" s="27" t="s">
        <v>15236</v>
      </c>
      <c r="E550" s="27" t="s">
        <v>55</v>
      </c>
      <c r="G550" s="27" t="s">
        <v>215</v>
      </c>
      <c r="H550" s="27" t="s">
        <v>15360</v>
      </c>
      <c r="T550" s="27" t="s">
        <v>244</v>
      </c>
      <c r="U550" s="27" t="s">
        <v>245</v>
      </c>
      <c r="V550" s="27" t="s">
        <v>2100</v>
      </c>
      <c r="W550" s="27" t="s">
        <v>13800</v>
      </c>
    </row>
    <row r="551" customFormat="false" ht="15" hidden="false" customHeight="true" outlineLevel="0" collapsed="false">
      <c r="A551" s="27" t="s">
        <v>15361</v>
      </c>
      <c r="B551" s="27" t="s">
        <v>96</v>
      </c>
      <c r="C551" s="27" t="s">
        <v>10409</v>
      </c>
      <c r="E551" s="27" t="s">
        <v>55</v>
      </c>
      <c r="F551" s="27" t="s">
        <v>3272</v>
      </c>
      <c r="G551" s="27" t="s">
        <v>215</v>
      </c>
      <c r="H551" s="27" t="s">
        <v>15362</v>
      </c>
      <c r="T551" s="27" t="s">
        <v>244</v>
      </c>
      <c r="U551" s="27" t="s">
        <v>245</v>
      </c>
      <c r="V551" s="27" t="s">
        <v>2100</v>
      </c>
      <c r="W551" s="27" t="s">
        <v>13734</v>
      </c>
    </row>
    <row r="552" customFormat="false" ht="15" hidden="false" customHeight="true" outlineLevel="0" collapsed="false">
      <c r="A552" s="27" t="s">
        <v>15363</v>
      </c>
      <c r="B552" s="27" t="s">
        <v>4948</v>
      </c>
      <c r="C552" s="27" t="s">
        <v>11434</v>
      </c>
      <c r="E552" s="27" t="s">
        <v>55</v>
      </c>
      <c r="F552" s="27" t="s">
        <v>15364</v>
      </c>
      <c r="G552" s="27" t="s">
        <v>215</v>
      </c>
      <c r="H552" s="27" t="s">
        <v>15365</v>
      </c>
      <c r="T552" s="27" t="s">
        <v>244</v>
      </c>
      <c r="U552" s="27" t="s">
        <v>741</v>
      </c>
      <c r="V552" s="27" t="s">
        <v>1340</v>
      </c>
      <c r="W552" s="27" t="s">
        <v>15366</v>
      </c>
    </row>
    <row r="553" customFormat="false" ht="15" hidden="false" customHeight="true" outlineLevel="0" collapsed="false">
      <c r="A553" s="27" t="s">
        <v>15367</v>
      </c>
      <c r="B553" s="27" t="s">
        <v>15368</v>
      </c>
      <c r="C553" s="27" t="s">
        <v>10409</v>
      </c>
      <c r="E553" s="27" t="s">
        <v>55</v>
      </c>
      <c r="F553" s="27" t="s">
        <v>15369</v>
      </c>
      <c r="G553" s="27" t="s">
        <v>215</v>
      </c>
      <c r="H553" s="27" t="s">
        <v>15370</v>
      </c>
      <c r="T553" s="27" t="s">
        <v>244</v>
      </c>
      <c r="U553" s="27" t="s">
        <v>245</v>
      </c>
      <c r="V553" s="27" t="s">
        <v>2100</v>
      </c>
      <c r="W553" s="27" t="s">
        <v>13734</v>
      </c>
    </row>
    <row r="554" customFormat="false" ht="17.25" hidden="false" customHeight="true" outlineLevel="0" collapsed="false">
      <c r="A554" s="27" t="s">
        <v>8647</v>
      </c>
      <c r="B554" s="27" t="s">
        <v>5966</v>
      </c>
      <c r="C554" s="27" t="s">
        <v>10409</v>
      </c>
      <c r="E554" s="27" t="s">
        <v>55</v>
      </c>
      <c r="F554" s="27" t="s">
        <v>15371</v>
      </c>
      <c r="G554" s="27" t="s">
        <v>215</v>
      </c>
      <c r="H554" s="27" t="s">
        <v>15372</v>
      </c>
      <c r="T554" s="27" t="s">
        <v>244</v>
      </c>
      <c r="U554" s="27" t="s">
        <v>245</v>
      </c>
      <c r="V554" s="27" t="s">
        <v>2100</v>
      </c>
      <c r="W554" s="27" t="s">
        <v>13734</v>
      </c>
    </row>
    <row r="555" customFormat="false" ht="15" hidden="false" customHeight="true" outlineLevel="0" collapsed="false">
      <c r="A555" s="27" t="s">
        <v>7387</v>
      </c>
      <c r="B555" s="27" t="s">
        <v>376</v>
      </c>
      <c r="C555" s="27" t="s">
        <v>6674</v>
      </c>
      <c r="E555" s="27" t="s">
        <v>55</v>
      </c>
      <c r="F555" s="27" t="s">
        <v>7392</v>
      </c>
      <c r="G555" s="27" t="s">
        <v>215</v>
      </c>
      <c r="H555" s="27" t="s">
        <v>15373</v>
      </c>
      <c r="I555" s="27" t="s">
        <v>15374</v>
      </c>
      <c r="J555" s="27" t="s">
        <v>14196</v>
      </c>
      <c r="M555" s="27" t="s">
        <v>15374</v>
      </c>
      <c r="N555" s="27" t="s">
        <v>14196</v>
      </c>
      <c r="O555" s="27" t="s">
        <v>15374</v>
      </c>
      <c r="Q555" s="27" t="s">
        <v>15374</v>
      </c>
      <c r="R555" s="27" t="s">
        <v>15375</v>
      </c>
      <c r="T555" s="27" t="s">
        <v>244</v>
      </c>
      <c r="U555" s="27" t="s">
        <v>245</v>
      </c>
      <c r="V555" s="27" t="s">
        <v>6291</v>
      </c>
      <c r="W555" s="27" t="s">
        <v>13957</v>
      </c>
    </row>
    <row r="556" customFormat="false" ht="15" hidden="false" customHeight="true" outlineLevel="0" collapsed="false">
      <c r="A556" s="27" t="s">
        <v>15376</v>
      </c>
      <c r="B556" s="27" t="s">
        <v>2974</v>
      </c>
      <c r="C556" s="27" t="s">
        <v>3731</v>
      </c>
      <c r="E556" s="27" t="s">
        <v>55</v>
      </c>
      <c r="F556" s="27" t="s">
        <v>3732</v>
      </c>
      <c r="G556" s="27" t="s">
        <v>215</v>
      </c>
      <c r="H556" s="27" t="s">
        <v>15377</v>
      </c>
      <c r="I556" s="27" t="s">
        <v>13307</v>
      </c>
      <c r="J556" s="27" t="s">
        <v>15378</v>
      </c>
      <c r="O556" s="27" t="s">
        <v>13307</v>
      </c>
      <c r="P556" s="27" t="s">
        <v>15378</v>
      </c>
      <c r="T556" s="27" t="s">
        <v>244</v>
      </c>
      <c r="U556" s="27" t="s">
        <v>741</v>
      </c>
      <c r="V556" s="27" t="s">
        <v>2211</v>
      </c>
      <c r="W556" s="27" t="s">
        <v>13353</v>
      </c>
    </row>
    <row r="557" customFormat="false" ht="15" hidden="false" customHeight="true" outlineLevel="0" collapsed="false">
      <c r="A557" s="27" t="s">
        <v>15379</v>
      </c>
      <c r="B557" s="27" t="s">
        <v>231</v>
      </c>
      <c r="C557" s="27" t="s">
        <v>3118</v>
      </c>
      <c r="E557" s="27" t="s">
        <v>55</v>
      </c>
      <c r="G557" s="27" t="s">
        <v>215</v>
      </c>
      <c r="H557" s="27" t="s">
        <v>15380</v>
      </c>
      <c r="I557" s="27" t="s">
        <v>13341</v>
      </c>
      <c r="J557" s="27" t="s">
        <v>14763</v>
      </c>
      <c r="K557" s="27" t="s">
        <v>13341</v>
      </c>
      <c r="L557" s="27" t="s">
        <v>14763</v>
      </c>
      <c r="M557" s="27" t="s">
        <v>13839</v>
      </c>
      <c r="O557" s="27" t="s">
        <v>13341</v>
      </c>
      <c r="P557" s="27" t="s">
        <v>14763</v>
      </c>
      <c r="Q557" s="27" t="s">
        <v>13341</v>
      </c>
      <c r="R557" s="27" t="s">
        <v>14763</v>
      </c>
      <c r="T557" s="27" t="s">
        <v>244</v>
      </c>
      <c r="U557" s="27" t="s">
        <v>245</v>
      </c>
      <c r="V557" s="27" t="s">
        <v>1450</v>
      </c>
      <c r="W557" s="27" t="s">
        <v>13661</v>
      </c>
    </row>
    <row r="558" customFormat="false" ht="15" hidden="false" customHeight="true" outlineLevel="0" collapsed="false">
      <c r="A558" s="27" t="s">
        <v>15381</v>
      </c>
      <c r="B558" s="27" t="s">
        <v>4169</v>
      </c>
      <c r="C558" s="27" t="s">
        <v>2099</v>
      </c>
      <c r="E558" s="27" t="s">
        <v>55</v>
      </c>
      <c r="F558" s="27" t="s">
        <v>6153</v>
      </c>
      <c r="G558" s="27" t="s">
        <v>215</v>
      </c>
      <c r="H558" s="27" t="s">
        <v>15382</v>
      </c>
      <c r="T558" s="27" t="s">
        <v>244</v>
      </c>
      <c r="U558" s="27" t="s">
        <v>245</v>
      </c>
      <c r="V558" s="27" t="s">
        <v>2100</v>
      </c>
      <c r="W558" s="27" t="s">
        <v>15229</v>
      </c>
    </row>
    <row r="559" customFormat="false" ht="15" hidden="false" customHeight="true" outlineLevel="0" collapsed="false">
      <c r="A559" s="27" t="s">
        <v>15383</v>
      </c>
      <c r="B559" s="27" t="s">
        <v>13745</v>
      </c>
      <c r="C559" s="27" t="s">
        <v>9081</v>
      </c>
      <c r="E559" s="27" t="s">
        <v>55</v>
      </c>
      <c r="F559" s="27" t="s">
        <v>15384</v>
      </c>
      <c r="H559" s="27" t="s">
        <v>15385</v>
      </c>
      <c r="T559" s="27" t="s">
        <v>244</v>
      </c>
      <c r="U559" s="27" t="s">
        <v>245</v>
      </c>
      <c r="V559" s="27" t="s">
        <v>1832</v>
      </c>
      <c r="W559" s="27" t="s">
        <v>15229</v>
      </c>
    </row>
    <row r="560" customFormat="false" ht="15" hidden="false" customHeight="true" outlineLevel="0" collapsed="false">
      <c r="A560" s="27" t="s">
        <v>15386</v>
      </c>
      <c r="B560" s="27" t="s">
        <v>142</v>
      </c>
      <c r="C560" s="27" t="s">
        <v>15387</v>
      </c>
      <c r="E560" s="27" t="s">
        <v>55</v>
      </c>
      <c r="F560" s="27" t="s">
        <v>15388</v>
      </c>
      <c r="G560" s="27" t="s">
        <v>215</v>
      </c>
      <c r="H560" s="27" t="s">
        <v>15389</v>
      </c>
      <c r="T560" s="27" t="s">
        <v>244</v>
      </c>
      <c r="U560" s="27" t="s">
        <v>245</v>
      </c>
      <c r="V560" s="27" t="s">
        <v>8231</v>
      </c>
      <c r="W560" s="27" t="s">
        <v>14037</v>
      </c>
    </row>
    <row r="561" customFormat="false" ht="15" hidden="false" customHeight="true" outlineLevel="0" collapsed="false">
      <c r="A561" s="27" t="s">
        <v>15390</v>
      </c>
      <c r="B561" s="27" t="s">
        <v>1837</v>
      </c>
      <c r="C561" s="27" t="s">
        <v>15391</v>
      </c>
      <c r="E561" s="27" t="s">
        <v>55</v>
      </c>
      <c r="F561" s="27" t="s">
        <v>15392</v>
      </c>
      <c r="G561" s="27" t="s">
        <v>215</v>
      </c>
      <c r="H561" s="27" t="s">
        <v>15393</v>
      </c>
      <c r="T561" s="27" t="s">
        <v>244</v>
      </c>
      <c r="U561" s="27" t="s">
        <v>741</v>
      </c>
      <c r="V561" s="27" t="s">
        <v>13915</v>
      </c>
      <c r="W561" s="27" t="s">
        <v>13496</v>
      </c>
    </row>
    <row r="562" customFormat="false" ht="15" hidden="false" customHeight="true" outlineLevel="0" collapsed="false">
      <c r="A562" s="27" t="s">
        <v>15394</v>
      </c>
      <c r="B562" s="27" t="s">
        <v>1534</v>
      </c>
      <c r="C562" s="27" t="s">
        <v>7624</v>
      </c>
      <c r="E562" s="27" t="s">
        <v>55</v>
      </c>
      <c r="F562" s="27" t="s">
        <v>15395</v>
      </c>
      <c r="G562" s="27" t="s">
        <v>215</v>
      </c>
      <c r="H562" s="27" t="s">
        <v>15396</v>
      </c>
      <c r="T562" s="27" t="s">
        <v>244</v>
      </c>
      <c r="U562" s="27" t="s">
        <v>245</v>
      </c>
      <c r="V562" s="27" t="s">
        <v>7625</v>
      </c>
      <c r="W562" s="27" t="s">
        <v>13492</v>
      </c>
    </row>
    <row r="563" customFormat="false" ht="15" hidden="false" customHeight="true" outlineLevel="0" collapsed="false">
      <c r="A563" s="27" t="s">
        <v>15397</v>
      </c>
      <c r="B563" s="27" t="s">
        <v>1270</v>
      </c>
      <c r="C563" s="27" t="s">
        <v>15398</v>
      </c>
      <c r="E563" s="27" t="s">
        <v>55</v>
      </c>
      <c r="F563" s="27" t="s">
        <v>15399</v>
      </c>
      <c r="G563" s="27" t="s">
        <v>215</v>
      </c>
      <c r="H563" s="27" t="s">
        <v>15400</v>
      </c>
      <c r="T563" s="27" t="s">
        <v>244</v>
      </c>
      <c r="U563" s="27" t="s">
        <v>245</v>
      </c>
      <c r="V563" s="27" t="s">
        <v>54</v>
      </c>
      <c r="W563" s="27" t="s">
        <v>14660</v>
      </c>
    </row>
    <row r="564" customFormat="false" ht="15" hidden="false" customHeight="true" outlineLevel="0" collapsed="false">
      <c r="A564" s="27" t="s">
        <v>15401</v>
      </c>
      <c r="B564" s="27" t="s">
        <v>2106</v>
      </c>
      <c r="C564" s="27" t="s">
        <v>7456</v>
      </c>
      <c r="E564" s="27" t="s">
        <v>55</v>
      </c>
      <c r="G564" s="27" t="s">
        <v>215</v>
      </c>
      <c r="H564" s="27" t="s">
        <v>15402</v>
      </c>
      <c r="T564" s="27" t="s">
        <v>244</v>
      </c>
      <c r="U564" s="27" t="s">
        <v>245</v>
      </c>
      <c r="V564" s="27" t="s">
        <v>1716</v>
      </c>
      <c r="W564" s="27" t="s">
        <v>15403</v>
      </c>
    </row>
    <row r="565" customFormat="false" ht="15.75" hidden="false" customHeight="true" outlineLevel="0" collapsed="false">
      <c r="A565" s="27" t="s">
        <v>15404</v>
      </c>
      <c r="B565" s="27" t="s">
        <v>2941</v>
      </c>
      <c r="C565" s="27" t="s">
        <v>10600</v>
      </c>
      <c r="E565" s="27" t="s">
        <v>55</v>
      </c>
      <c r="G565" s="27" t="s">
        <v>215</v>
      </c>
      <c r="H565" s="27" t="s">
        <v>15405</v>
      </c>
      <c r="T565" s="27" t="s">
        <v>244</v>
      </c>
      <c r="U565" s="27" t="s">
        <v>245</v>
      </c>
      <c r="V565" s="27" t="s">
        <v>9770</v>
      </c>
      <c r="W565" s="27" t="s">
        <v>13389</v>
      </c>
    </row>
    <row r="566" customFormat="false" ht="15" hidden="false" customHeight="true" outlineLevel="0" collapsed="false">
      <c r="A566" s="27" t="s">
        <v>15406</v>
      </c>
      <c r="B566" s="27" t="s">
        <v>15407</v>
      </c>
      <c r="C566" s="27" t="s">
        <v>15408</v>
      </c>
      <c r="E566" s="27" t="s">
        <v>55</v>
      </c>
      <c r="F566" s="27" t="s">
        <v>15409</v>
      </c>
      <c r="G566" s="27" t="s">
        <v>215</v>
      </c>
      <c r="H566" s="27" t="s">
        <v>15410</v>
      </c>
      <c r="T566" s="27" t="s">
        <v>244</v>
      </c>
      <c r="U566" s="27" t="s">
        <v>245</v>
      </c>
      <c r="V566" s="27" t="s">
        <v>1716</v>
      </c>
      <c r="W566" s="27" t="s">
        <v>13502</v>
      </c>
    </row>
    <row r="567" customFormat="false" ht="15" hidden="false" customHeight="true" outlineLevel="0" collapsed="false">
      <c r="A567" s="27" t="s">
        <v>15411</v>
      </c>
      <c r="B567" s="27" t="s">
        <v>15412</v>
      </c>
      <c r="C567" s="27" t="s">
        <v>15413</v>
      </c>
      <c r="E567" s="27" t="s">
        <v>55</v>
      </c>
      <c r="G567" s="27" t="s">
        <v>215</v>
      </c>
      <c r="H567" s="27" t="s">
        <v>15414</v>
      </c>
      <c r="T567" s="27" t="s">
        <v>244</v>
      </c>
      <c r="U567" s="27" t="s">
        <v>245</v>
      </c>
      <c r="V567" s="27" t="s">
        <v>15415</v>
      </c>
      <c r="W567" s="27" t="s">
        <v>13611</v>
      </c>
    </row>
    <row r="568" customFormat="false" ht="15" hidden="false" customHeight="true" outlineLevel="0" collapsed="false">
      <c r="A568" s="27" t="s">
        <v>15416</v>
      </c>
      <c r="B568" s="27" t="s">
        <v>15417</v>
      </c>
      <c r="C568" s="27" t="s">
        <v>15418</v>
      </c>
      <c r="E568" s="27" t="s">
        <v>55</v>
      </c>
      <c r="F568" s="27" t="s">
        <v>15419</v>
      </c>
      <c r="G568" s="27" t="s">
        <v>215</v>
      </c>
      <c r="H568" s="27" t="s">
        <v>15420</v>
      </c>
      <c r="I568" s="27" t="s">
        <v>13341</v>
      </c>
      <c r="J568" s="27" t="s">
        <v>13309</v>
      </c>
      <c r="M568" s="27" t="s">
        <v>13341</v>
      </c>
      <c r="N568" s="27" t="s">
        <v>13309</v>
      </c>
      <c r="O568" s="27" t="s">
        <v>13341</v>
      </c>
      <c r="P568" s="27" t="s">
        <v>13309</v>
      </c>
      <c r="Q568" s="27" t="s">
        <v>13341</v>
      </c>
      <c r="R568" s="27" t="s">
        <v>13309</v>
      </c>
      <c r="T568" s="27" t="s">
        <v>244</v>
      </c>
      <c r="U568" s="27" t="s">
        <v>245</v>
      </c>
      <c r="V568" s="27" t="s">
        <v>2977</v>
      </c>
      <c r="W568" s="27" t="s">
        <v>15421</v>
      </c>
    </row>
    <row r="569" customFormat="false" ht="15" hidden="false" customHeight="true" outlineLevel="0" collapsed="false">
      <c r="A569" s="27" t="s">
        <v>15422</v>
      </c>
      <c r="B569" s="27" t="s">
        <v>1304</v>
      </c>
      <c r="C569" s="27" t="s">
        <v>8822</v>
      </c>
      <c r="E569" s="27" t="s">
        <v>55</v>
      </c>
      <c r="F569" s="27" t="s">
        <v>15423</v>
      </c>
      <c r="G569" s="27" t="s">
        <v>215</v>
      </c>
      <c r="H569" s="27" t="s">
        <v>15424</v>
      </c>
      <c r="T569" s="27" t="s">
        <v>244</v>
      </c>
      <c r="U569" s="27" t="s">
        <v>245</v>
      </c>
      <c r="V569" s="27" t="s">
        <v>5621</v>
      </c>
      <c r="W569" s="27" t="s">
        <v>13957</v>
      </c>
    </row>
    <row r="570" customFormat="false" ht="17.25" hidden="false" customHeight="true" outlineLevel="0" collapsed="false">
      <c r="A570" s="27" t="s">
        <v>7471</v>
      </c>
      <c r="B570" s="27" t="s">
        <v>4897</v>
      </c>
      <c r="C570" s="27" t="s">
        <v>15425</v>
      </c>
      <c r="E570" s="27" t="s">
        <v>55</v>
      </c>
      <c r="F570" s="27" t="s">
        <v>15426</v>
      </c>
      <c r="G570" s="27" t="s">
        <v>215</v>
      </c>
      <c r="H570" s="27" t="s">
        <v>15427</v>
      </c>
      <c r="T570" s="27" t="s">
        <v>244</v>
      </c>
      <c r="U570" s="27" t="s">
        <v>245</v>
      </c>
      <c r="V570" s="27" t="s">
        <v>946</v>
      </c>
      <c r="W570" s="27" t="s">
        <v>13631</v>
      </c>
    </row>
    <row r="571" customFormat="false" ht="17.25" hidden="false" customHeight="true" outlineLevel="0" collapsed="false">
      <c r="A571" s="27" t="s">
        <v>9354</v>
      </c>
      <c r="B571" s="27" t="s">
        <v>2043</v>
      </c>
      <c r="C571" s="27" t="s">
        <v>6201</v>
      </c>
      <c r="E571" s="27" t="s">
        <v>55</v>
      </c>
      <c r="F571" s="27" t="s">
        <v>15428</v>
      </c>
      <c r="G571" s="27" t="s">
        <v>215</v>
      </c>
      <c r="H571" s="27" t="s">
        <v>15429</v>
      </c>
      <c r="I571" s="27" t="s">
        <v>13307</v>
      </c>
      <c r="J571" s="27" t="s">
        <v>13308</v>
      </c>
      <c r="K571" s="27" t="s">
        <v>13307</v>
      </c>
      <c r="L571" s="27" t="s">
        <v>15225</v>
      </c>
      <c r="O571" s="27" t="s">
        <v>13307</v>
      </c>
      <c r="P571" s="27" t="s">
        <v>13308</v>
      </c>
      <c r="Q571" s="27" t="s">
        <v>15430</v>
      </c>
      <c r="R571" s="27" t="s">
        <v>14341</v>
      </c>
      <c r="T571" s="27" t="s">
        <v>244</v>
      </c>
      <c r="U571" s="27" t="s">
        <v>15267</v>
      </c>
      <c r="V571" s="27" t="s">
        <v>6202</v>
      </c>
      <c r="W571" s="27" t="s">
        <v>13570</v>
      </c>
    </row>
    <row r="572" customFormat="false" ht="15" hidden="false" customHeight="true" outlineLevel="0" collapsed="false">
      <c r="A572" s="27" t="s">
        <v>15431</v>
      </c>
      <c r="B572" s="27" t="s">
        <v>3763</v>
      </c>
      <c r="C572" s="27" t="s">
        <v>7456</v>
      </c>
      <c r="E572" s="27" t="s">
        <v>55</v>
      </c>
      <c r="F572" s="27" t="s">
        <v>2108</v>
      </c>
      <c r="G572" s="27" t="s">
        <v>215</v>
      </c>
      <c r="H572" s="27" t="s">
        <v>15432</v>
      </c>
      <c r="T572" s="27" t="s">
        <v>244</v>
      </c>
      <c r="U572" s="27" t="s">
        <v>741</v>
      </c>
      <c r="V572" s="27" t="s">
        <v>1716</v>
      </c>
      <c r="W572" s="27" t="s">
        <v>15403</v>
      </c>
    </row>
    <row r="573" customFormat="false" ht="15" hidden="false" customHeight="true" outlineLevel="0" collapsed="false">
      <c r="A573" s="27" t="s">
        <v>15433</v>
      </c>
      <c r="B573" s="27" t="s">
        <v>195</v>
      </c>
      <c r="C573" s="27" t="s">
        <v>10600</v>
      </c>
      <c r="E573" s="27" t="s">
        <v>55</v>
      </c>
      <c r="G573" s="27" t="s">
        <v>215</v>
      </c>
      <c r="H573" s="27" t="s">
        <v>15434</v>
      </c>
      <c r="T573" s="27" t="s">
        <v>244</v>
      </c>
      <c r="U573" s="27" t="s">
        <v>245</v>
      </c>
      <c r="V573" s="27" t="s">
        <v>9770</v>
      </c>
      <c r="W573" s="27" t="s">
        <v>13389</v>
      </c>
    </row>
    <row r="574" customFormat="false" ht="15" hidden="false" customHeight="true" outlineLevel="0" collapsed="false">
      <c r="A574" s="27" t="s">
        <v>15435</v>
      </c>
      <c r="B574" s="27" t="s">
        <v>15436</v>
      </c>
      <c r="C574" s="27" t="s">
        <v>10600</v>
      </c>
      <c r="E574" s="27" t="s">
        <v>55</v>
      </c>
      <c r="G574" s="27" t="s">
        <v>215</v>
      </c>
      <c r="H574" s="27" t="s">
        <v>15437</v>
      </c>
      <c r="T574" s="27" t="s">
        <v>244</v>
      </c>
      <c r="U574" s="27" t="s">
        <v>15267</v>
      </c>
      <c r="V574" s="27" t="s">
        <v>9770</v>
      </c>
      <c r="W574" s="27" t="s">
        <v>13389</v>
      </c>
    </row>
    <row r="575" customFormat="false" ht="15" hidden="false" customHeight="true" outlineLevel="0" collapsed="false">
      <c r="A575" s="27" t="s">
        <v>8149</v>
      </c>
      <c r="B575" s="27" t="s">
        <v>2433</v>
      </c>
      <c r="C575" s="27" t="s">
        <v>5260</v>
      </c>
      <c r="E575" s="27" t="s">
        <v>55</v>
      </c>
      <c r="F575" s="27" t="s">
        <v>15438</v>
      </c>
      <c r="G575" s="27" t="s">
        <v>215</v>
      </c>
      <c r="H575" s="27" t="s">
        <v>15439</v>
      </c>
      <c r="T575" s="27" t="s">
        <v>244</v>
      </c>
      <c r="U575" s="27" t="s">
        <v>741</v>
      </c>
      <c r="V575" s="27" t="s">
        <v>5261</v>
      </c>
      <c r="W575" s="27" t="s">
        <v>13458</v>
      </c>
    </row>
    <row r="576" customFormat="false" ht="15" hidden="false" customHeight="true" outlineLevel="0" collapsed="false">
      <c r="A576" s="27" t="s">
        <v>8837</v>
      </c>
      <c r="B576" s="27" t="s">
        <v>1143</v>
      </c>
      <c r="C576" s="27" t="s">
        <v>3457</v>
      </c>
      <c r="E576" s="27" t="s">
        <v>55</v>
      </c>
      <c r="F576" s="27" t="s">
        <v>15440</v>
      </c>
      <c r="G576" s="27" t="s">
        <v>215</v>
      </c>
      <c r="H576" s="27" t="s">
        <v>15441</v>
      </c>
      <c r="T576" s="27" t="s">
        <v>244</v>
      </c>
      <c r="U576" s="27" t="s">
        <v>245</v>
      </c>
      <c r="V576" s="27" t="s">
        <v>3458</v>
      </c>
      <c r="W576" s="27" t="s">
        <v>13611</v>
      </c>
    </row>
    <row r="577" customFormat="false" ht="15" hidden="false" customHeight="true" outlineLevel="0" collapsed="false">
      <c r="A577" s="27" t="s">
        <v>15442</v>
      </c>
      <c r="B577" s="27" t="s">
        <v>9354</v>
      </c>
      <c r="C577" s="27" t="s">
        <v>7624</v>
      </c>
      <c r="E577" s="27" t="s">
        <v>55</v>
      </c>
      <c r="F577" s="27" t="s">
        <v>7626</v>
      </c>
      <c r="G577" s="27" t="s">
        <v>215</v>
      </c>
      <c r="H577" s="27" t="s">
        <v>15443</v>
      </c>
      <c r="T577" s="27" t="s">
        <v>244</v>
      </c>
      <c r="U577" s="27" t="s">
        <v>245</v>
      </c>
      <c r="V577" s="27" t="s">
        <v>7625</v>
      </c>
      <c r="W577" s="27" t="s">
        <v>13492</v>
      </c>
    </row>
    <row r="578" customFormat="false" ht="17.25" hidden="false" customHeight="true" outlineLevel="0" collapsed="false">
      <c r="A578" s="27" t="s">
        <v>15444</v>
      </c>
      <c r="B578" s="27" t="s">
        <v>593</v>
      </c>
      <c r="C578" s="27" t="s">
        <v>2362</v>
      </c>
      <c r="E578" s="27" t="s">
        <v>55</v>
      </c>
      <c r="F578" s="27" t="s">
        <v>15445</v>
      </c>
      <c r="G578" s="27" t="s">
        <v>215</v>
      </c>
      <c r="H578" s="27" t="s">
        <v>15446</v>
      </c>
      <c r="I578" s="27" t="s">
        <v>13341</v>
      </c>
      <c r="J578" s="27" t="s">
        <v>13445</v>
      </c>
      <c r="K578" s="27" t="s">
        <v>13341</v>
      </c>
      <c r="L578" s="27" t="s">
        <v>13445</v>
      </c>
      <c r="M578" s="27" t="s">
        <v>13341</v>
      </c>
      <c r="N578" s="27" t="s">
        <v>13445</v>
      </c>
      <c r="O578" s="27" t="s">
        <v>13341</v>
      </c>
      <c r="P578" s="27" t="s">
        <v>13445</v>
      </c>
      <c r="Q578" s="27" t="s">
        <v>13341</v>
      </c>
      <c r="R578" s="27" t="s">
        <v>13445</v>
      </c>
      <c r="T578" s="27" t="s">
        <v>244</v>
      </c>
      <c r="U578" s="27" t="s">
        <v>245</v>
      </c>
      <c r="V578" s="27" t="s">
        <v>2363</v>
      </c>
      <c r="W578" s="27" t="s">
        <v>13345</v>
      </c>
    </row>
    <row r="579" customFormat="false" ht="17.25" hidden="false" customHeight="true" outlineLevel="0" collapsed="false">
      <c r="A579" s="27" t="s">
        <v>15447</v>
      </c>
      <c r="B579" s="27" t="s">
        <v>8297</v>
      </c>
      <c r="C579" s="27" t="s">
        <v>8109</v>
      </c>
      <c r="E579" s="27" t="s">
        <v>55</v>
      </c>
      <c r="G579" s="27" t="s">
        <v>215</v>
      </c>
      <c r="H579" s="27" t="s">
        <v>15448</v>
      </c>
      <c r="T579" s="27" t="s">
        <v>244</v>
      </c>
      <c r="U579" s="27" t="s">
        <v>245</v>
      </c>
      <c r="V579" s="27" t="s">
        <v>8110</v>
      </c>
      <c r="W579" s="27" t="s">
        <v>13599</v>
      </c>
    </row>
    <row r="580" customFormat="false" ht="15" hidden="false" customHeight="true" outlineLevel="0" collapsed="false">
      <c r="A580" s="27" t="s">
        <v>15449</v>
      </c>
      <c r="B580" s="27" t="s">
        <v>8088</v>
      </c>
      <c r="C580" s="27" t="s">
        <v>15450</v>
      </c>
      <c r="E580" s="27" t="s">
        <v>55</v>
      </c>
      <c r="F580" s="27" t="s">
        <v>7801</v>
      </c>
      <c r="G580" s="27" t="s">
        <v>215</v>
      </c>
      <c r="H580" s="27" t="s">
        <v>15451</v>
      </c>
      <c r="T580" s="27" t="s">
        <v>244</v>
      </c>
      <c r="U580" s="27" t="s">
        <v>245</v>
      </c>
      <c r="V580" s="27" t="s">
        <v>15452</v>
      </c>
      <c r="W580" s="27" t="s">
        <v>13592</v>
      </c>
    </row>
    <row r="581" customFormat="false" ht="15" hidden="false" customHeight="true" outlineLevel="0" collapsed="false">
      <c r="A581" s="27" t="s">
        <v>15453</v>
      </c>
      <c r="B581" s="27" t="s">
        <v>15454</v>
      </c>
      <c r="C581" s="27" t="s">
        <v>1644</v>
      </c>
      <c r="E581" s="27" t="s">
        <v>55</v>
      </c>
      <c r="F581" s="27" t="s">
        <v>1645</v>
      </c>
      <c r="G581" s="27" t="s">
        <v>215</v>
      </c>
      <c r="H581" s="27" t="s">
        <v>15455</v>
      </c>
      <c r="T581" s="27" t="s">
        <v>244</v>
      </c>
      <c r="U581" s="27" t="s">
        <v>245</v>
      </c>
      <c r="V581" s="27" t="s">
        <v>236</v>
      </c>
      <c r="W581" s="27" t="s">
        <v>13617</v>
      </c>
    </row>
    <row r="582" customFormat="false" ht="15" hidden="false" customHeight="true" outlineLevel="0" collapsed="false">
      <c r="A582" s="27" t="s">
        <v>15456</v>
      </c>
      <c r="B582" s="27" t="s">
        <v>3454</v>
      </c>
      <c r="C582" s="27" t="s">
        <v>3415</v>
      </c>
      <c r="E582" s="27" t="s">
        <v>55</v>
      </c>
      <c r="F582" s="27" t="s">
        <v>8104</v>
      </c>
      <c r="G582" s="27" t="s">
        <v>215</v>
      </c>
      <c r="H582" s="27" t="s">
        <v>15457</v>
      </c>
      <c r="K582" s="27" t="s">
        <v>13307</v>
      </c>
      <c r="L582" s="27" t="s">
        <v>13308</v>
      </c>
      <c r="T582" s="27" t="s">
        <v>244</v>
      </c>
      <c r="U582" s="27" t="s">
        <v>245</v>
      </c>
      <c r="V582" s="27" t="s">
        <v>3416</v>
      </c>
      <c r="W582" s="27" t="s">
        <v>13522</v>
      </c>
    </row>
    <row r="583" customFormat="false" ht="15" hidden="false" customHeight="true" outlineLevel="0" collapsed="false">
      <c r="A583" s="27" t="s">
        <v>15458</v>
      </c>
      <c r="B583" s="27" t="s">
        <v>15459</v>
      </c>
      <c r="C583" s="27" t="s">
        <v>15460</v>
      </c>
      <c r="E583" s="27" t="s">
        <v>55</v>
      </c>
      <c r="F583" s="27" t="s">
        <v>15461</v>
      </c>
      <c r="G583" s="27" t="s">
        <v>98</v>
      </c>
      <c r="H583" s="27" t="s">
        <v>15462</v>
      </c>
      <c r="T583" s="27" t="s">
        <v>244</v>
      </c>
      <c r="U583" s="27" t="s">
        <v>245</v>
      </c>
      <c r="V583" s="27" t="s">
        <v>15463</v>
      </c>
      <c r="W583" s="27" t="s">
        <v>13348</v>
      </c>
    </row>
    <row r="584" customFormat="false" ht="15" hidden="false" customHeight="true" outlineLevel="0" collapsed="false">
      <c r="A584" s="27" t="s">
        <v>15464</v>
      </c>
      <c r="B584" s="27" t="s">
        <v>15465</v>
      </c>
      <c r="C584" s="27" t="s">
        <v>3258</v>
      </c>
      <c r="E584" s="27" t="s">
        <v>55</v>
      </c>
      <c r="F584" s="27" t="s">
        <v>7801</v>
      </c>
      <c r="G584" s="27" t="s">
        <v>215</v>
      </c>
      <c r="H584" s="27" t="s">
        <v>15466</v>
      </c>
      <c r="T584" s="27" t="s">
        <v>244</v>
      </c>
      <c r="U584" s="27" t="s">
        <v>245</v>
      </c>
      <c r="V584" s="27" t="s">
        <v>3259</v>
      </c>
      <c r="W584" s="27" t="s">
        <v>13592</v>
      </c>
    </row>
    <row r="585" customFormat="false" ht="15" hidden="false" customHeight="true" outlineLevel="0" collapsed="false">
      <c r="A585" s="27" t="s">
        <v>15467</v>
      </c>
      <c r="B585" s="27" t="s">
        <v>10084</v>
      </c>
      <c r="C585" s="27" t="s">
        <v>2627</v>
      </c>
      <c r="E585" s="27" t="s">
        <v>55</v>
      </c>
      <c r="G585" s="27" t="s">
        <v>215</v>
      </c>
      <c r="H585" s="27" t="s">
        <v>15468</v>
      </c>
      <c r="T585" s="27" t="s">
        <v>244</v>
      </c>
      <c r="U585" s="27" t="s">
        <v>245</v>
      </c>
      <c r="V585" s="27" t="s">
        <v>2628</v>
      </c>
      <c r="W585" s="27" t="s">
        <v>13394</v>
      </c>
    </row>
    <row r="586" customFormat="false" ht="15" hidden="false" customHeight="true" outlineLevel="0" collapsed="false">
      <c r="A586" s="27" t="s">
        <v>15469</v>
      </c>
      <c r="B586" s="27" t="s">
        <v>15470</v>
      </c>
      <c r="C586" s="27" t="s">
        <v>14289</v>
      </c>
      <c r="E586" s="27" t="s">
        <v>55</v>
      </c>
      <c r="F586" s="27" t="s">
        <v>15471</v>
      </c>
      <c r="G586" s="27" t="s">
        <v>215</v>
      </c>
      <c r="H586" s="27" t="s">
        <v>15472</v>
      </c>
      <c r="T586" s="27" t="s">
        <v>244</v>
      </c>
      <c r="U586" s="27" t="s">
        <v>245</v>
      </c>
      <c r="V586" s="27" t="s">
        <v>469</v>
      </c>
      <c r="W586" s="27" t="s">
        <v>13374</v>
      </c>
    </row>
    <row r="587" customFormat="false" ht="17.25" hidden="false" customHeight="true" outlineLevel="0" collapsed="false">
      <c r="A587" s="27" t="s">
        <v>3433</v>
      </c>
      <c r="B587" s="27" t="s">
        <v>1007</v>
      </c>
      <c r="C587" s="27" t="s">
        <v>15473</v>
      </c>
      <c r="E587" s="27" t="s">
        <v>55</v>
      </c>
      <c r="G587" s="27" t="s">
        <v>215</v>
      </c>
      <c r="H587" s="27" t="s">
        <v>15474</v>
      </c>
      <c r="T587" s="27" t="s">
        <v>244</v>
      </c>
      <c r="U587" s="27" t="s">
        <v>245</v>
      </c>
      <c r="V587" s="27" t="s">
        <v>15475</v>
      </c>
      <c r="W587" s="27" t="s">
        <v>13592</v>
      </c>
    </row>
    <row r="588" customFormat="false" ht="15" hidden="false" customHeight="true" outlineLevel="0" collapsed="false">
      <c r="A588" s="27" t="s">
        <v>15476</v>
      </c>
      <c r="B588" s="27" t="s">
        <v>3763</v>
      </c>
      <c r="C588" s="27" t="s">
        <v>2273</v>
      </c>
      <c r="E588" s="27" t="s">
        <v>55</v>
      </c>
      <c r="F588" s="27" t="s">
        <v>15477</v>
      </c>
      <c r="G588" s="27" t="s">
        <v>61</v>
      </c>
      <c r="H588" s="27" t="s">
        <v>15478</v>
      </c>
      <c r="T588" s="27" t="s">
        <v>244</v>
      </c>
      <c r="U588" s="27" t="s">
        <v>15267</v>
      </c>
      <c r="V588" s="27" t="s">
        <v>2274</v>
      </c>
      <c r="W588" s="27" t="s">
        <v>14181</v>
      </c>
    </row>
    <row r="589" customFormat="false" ht="15" hidden="false" customHeight="true" outlineLevel="0" collapsed="false">
      <c r="A589" s="27" t="s">
        <v>15479</v>
      </c>
      <c r="B589" s="27" t="s">
        <v>1568</v>
      </c>
      <c r="C589" s="27" t="s">
        <v>3258</v>
      </c>
      <c r="E589" s="27" t="s">
        <v>55</v>
      </c>
      <c r="F589" s="27" t="s">
        <v>7801</v>
      </c>
      <c r="G589" s="27" t="s">
        <v>215</v>
      </c>
      <c r="H589" s="27" t="s">
        <v>15480</v>
      </c>
      <c r="I589" s="27" t="s">
        <v>13526</v>
      </c>
      <c r="J589" s="27" t="s">
        <v>14046</v>
      </c>
      <c r="K589" s="27" t="s">
        <v>13526</v>
      </c>
      <c r="L589" s="27" t="s">
        <v>14046</v>
      </c>
      <c r="M589" s="27" t="s">
        <v>13526</v>
      </c>
      <c r="N589" s="27" t="s">
        <v>14046</v>
      </c>
      <c r="O589" s="27" t="s">
        <v>13526</v>
      </c>
      <c r="P589" s="27" t="s">
        <v>14046</v>
      </c>
      <c r="Q589" s="27" t="s">
        <v>13526</v>
      </c>
      <c r="R589" s="27" t="s">
        <v>14046</v>
      </c>
      <c r="T589" s="27" t="s">
        <v>244</v>
      </c>
      <c r="U589" s="27" t="s">
        <v>245</v>
      </c>
      <c r="V589" s="27" t="s">
        <v>3259</v>
      </c>
      <c r="W589" s="27" t="s">
        <v>13592</v>
      </c>
    </row>
    <row r="590" customFormat="false" ht="17.25" hidden="false" customHeight="true" outlineLevel="0" collapsed="false">
      <c r="A590" s="27" t="s">
        <v>15481</v>
      </c>
      <c r="B590" s="27" t="s">
        <v>15482</v>
      </c>
      <c r="C590" s="27" t="s">
        <v>3258</v>
      </c>
      <c r="E590" s="27" t="s">
        <v>55</v>
      </c>
      <c r="F590" s="27" t="s">
        <v>7801</v>
      </c>
      <c r="G590" s="27" t="s">
        <v>215</v>
      </c>
      <c r="H590" s="27" t="s">
        <v>15483</v>
      </c>
      <c r="T590" s="27" t="s">
        <v>244</v>
      </c>
      <c r="U590" s="27" t="s">
        <v>245</v>
      </c>
      <c r="V590" s="27" t="s">
        <v>3259</v>
      </c>
      <c r="W590" s="27" t="s">
        <v>13592</v>
      </c>
    </row>
    <row r="591" customFormat="false" ht="15" hidden="false" customHeight="true" outlineLevel="0" collapsed="false">
      <c r="A591" s="27" t="s">
        <v>15484</v>
      </c>
      <c r="B591" s="27" t="s">
        <v>15485</v>
      </c>
      <c r="C591" s="27" t="s">
        <v>14216</v>
      </c>
      <c r="E591" s="27" t="s">
        <v>55</v>
      </c>
      <c r="G591" s="27" t="s">
        <v>215</v>
      </c>
      <c r="H591" s="27" t="s">
        <v>15486</v>
      </c>
      <c r="T591" s="27" t="s">
        <v>244</v>
      </c>
      <c r="U591" s="27" t="s">
        <v>245</v>
      </c>
      <c r="V591" s="27" t="s">
        <v>588</v>
      </c>
      <c r="W591" s="27" t="s">
        <v>14219</v>
      </c>
    </row>
    <row r="592" customFormat="false" ht="17.25" hidden="false" customHeight="true" outlineLevel="0" collapsed="false">
      <c r="A592" s="27" t="s">
        <v>14334</v>
      </c>
      <c r="B592" s="27" t="s">
        <v>242</v>
      </c>
      <c r="C592" s="27" t="s">
        <v>3258</v>
      </c>
      <c r="E592" s="27" t="s">
        <v>55</v>
      </c>
      <c r="G592" s="27" t="s">
        <v>215</v>
      </c>
      <c r="H592" s="27" t="s">
        <v>15487</v>
      </c>
      <c r="T592" s="27" t="s">
        <v>244</v>
      </c>
      <c r="U592" s="27" t="s">
        <v>245</v>
      </c>
      <c r="V592" s="27" t="s">
        <v>3259</v>
      </c>
      <c r="W592" s="27" t="s">
        <v>13592</v>
      </c>
    </row>
    <row r="593" customFormat="false" ht="15" hidden="false" customHeight="true" outlineLevel="0" collapsed="false">
      <c r="A593" s="27" t="s">
        <v>15488</v>
      </c>
      <c r="B593" s="27" t="s">
        <v>1355</v>
      </c>
      <c r="C593" s="27" t="s">
        <v>15489</v>
      </c>
      <c r="E593" s="27" t="s">
        <v>55</v>
      </c>
      <c r="G593" s="27" t="s">
        <v>215</v>
      </c>
      <c r="H593" s="27" t="s">
        <v>15490</v>
      </c>
      <c r="T593" s="27" t="s">
        <v>244</v>
      </c>
      <c r="U593" s="27" t="s">
        <v>245</v>
      </c>
      <c r="V593" s="27" t="s">
        <v>2788</v>
      </c>
      <c r="W593" s="27" t="s">
        <v>13374</v>
      </c>
    </row>
    <row r="594" customFormat="false" ht="17.25" hidden="false" customHeight="true" outlineLevel="0" collapsed="false">
      <c r="A594" s="27" t="s">
        <v>15491</v>
      </c>
      <c r="B594" s="27" t="s">
        <v>15492</v>
      </c>
      <c r="C594" s="27" t="s">
        <v>14216</v>
      </c>
      <c r="E594" s="27" t="s">
        <v>55</v>
      </c>
      <c r="F594" s="27" t="s">
        <v>15493</v>
      </c>
      <c r="G594" s="27" t="s">
        <v>215</v>
      </c>
      <c r="H594" s="27" t="s">
        <v>15494</v>
      </c>
      <c r="T594" s="27" t="s">
        <v>244</v>
      </c>
      <c r="U594" s="27" t="s">
        <v>245</v>
      </c>
      <c r="V594" s="27" t="s">
        <v>588</v>
      </c>
      <c r="W594" s="27" t="s">
        <v>14219</v>
      </c>
    </row>
    <row r="595" customFormat="false" ht="15" hidden="false" customHeight="true" outlineLevel="0" collapsed="false">
      <c r="A595" s="27" t="s">
        <v>8058</v>
      </c>
      <c r="B595" s="27" t="s">
        <v>3710</v>
      </c>
      <c r="C595" s="27" t="s">
        <v>15489</v>
      </c>
      <c r="E595" s="27" t="s">
        <v>55</v>
      </c>
      <c r="G595" s="27" t="s">
        <v>215</v>
      </c>
      <c r="H595" s="27" t="s">
        <v>15495</v>
      </c>
      <c r="T595" s="27" t="s">
        <v>244</v>
      </c>
      <c r="U595" s="27" t="s">
        <v>245</v>
      </c>
      <c r="V595" s="27" t="s">
        <v>2788</v>
      </c>
      <c r="W595" s="27" t="s">
        <v>13374</v>
      </c>
    </row>
    <row r="596" customFormat="false" ht="15" hidden="false" customHeight="true" outlineLevel="0" collapsed="false">
      <c r="A596" s="27" t="s">
        <v>15496</v>
      </c>
      <c r="B596" s="27" t="s">
        <v>15497</v>
      </c>
      <c r="C596" s="27" t="s">
        <v>15498</v>
      </c>
      <c r="E596" s="27" t="s">
        <v>55</v>
      </c>
      <c r="F596" s="27" t="s">
        <v>15499</v>
      </c>
      <c r="G596" s="27" t="s">
        <v>61</v>
      </c>
      <c r="H596" s="27" t="s">
        <v>15500</v>
      </c>
      <c r="I596" s="27" t="s">
        <v>13341</v>
      </c>
      <c r="J596" s="27" t="s">
        <v>15501</v>
      </c>
      <c r="M596" s="27" t="s">
        <v>13373</v>
      </c>
      <c r="N596" s="27" t="s">
        <v>15501</v>
      </c>
      <c r="Q596" s="27" t="s">
        <v>13341</v>
      </c>
      <c r="R596" s="27" t="s">
        <v>15501</v>
      </c>
      <c r="T596" s="27" t="s">
        <v>244</v>
      </c>
      <c r="U596" s="27" t="s">
        <v>15267</v>
      </c>
      <c r="V596" s="27" t="s">
        <v>236</v>
      </c>
      <c r="W596" s="27" t="s">
        <v>15502</v>
      </c>
    </row>
    <row r="597" customFormat="false" ht="17.25" hidden="false" customHeight="true" outlineLevel="0" collapsed="false">
      <c r="A597" s="27" t="s">
        <v>15503</v>
      </c>
      <c r="B597" s="27" t="s">
        <v>6932</v>
      </c>
      <c r="C597" s="27" t="s">
        <v>973</v>
      </c>
      <c r="E597" s="27" t="s">
        <v>55</v>
      </c>
      <c r="G597" s="27" t="s">
        <v>215</v>
      </c>
      <c r="H597" s="27" t="s">
        <v>15504</v>
      </c>
      <c r="I597" s="27" t="s">
        <v>13341</v>
      </c>
      <c r="J597" s="27" t="s">
        <v>13310</v>
      </c>
      <c r="N597" s="27" t="s">
        <v>13445</v>
      </c>
      <c r="T597" s="27" t="s">
        <v>244</v>
      </c>
      <c r="U597" s="27" t="s">
        <v>245</v>
      </c>
      <c r="V597" s="27" t="s">
        <v>974</v>
      </c>
      <c r="W597" s="27" t="s">
        <v>13686</v>
      </c>
    </row>
    <row r="598" customFormat="false" ht="17.25" hidden="false" customHeight="true" outlineLevel="0" collapsed="false">
      <c r="A598" s="27" t="s">
        <v>1134</v>
      </c>
      <c r="B598" s="27" t="s">
        <v>1101</v>
      </c>
      <c r="C598" s="27" t="s">
        <v>3258</v>
      </c>
      <c r="E598" s="27" t="s">
        <v>55</v>
      </c>
      <c r="F598" s="27" t="s">
        <v>7801</v>
      </c>
      <c r="G598" s="27" t="s">
        <v>215</v>
      </c>
      <c r="H598" s="27" t="s">
        <v>15505</v>
      </c>
      <c r="T598" s="27" t="s">
        <v>244</v>
      </c>
      <c r="U598" s="27" t="s">
        <v>245</v>
      </c>
      <c r="V598" s="27" t="s">
        <v>3259</v>
      </c>
      <c r="W598" s="27" t="s">
        <v>13592</v>
      </c>
    </row>
    <row r="599" customFormat="false" ht="15" hidden="false" customHeight="true" outlineLevel="0" collapsed="false">
      <c r="A599" s="27" t="s">
        <v>15506</v>
      </c>
      <c r="B599" s="27" t="s">
        <v>3388</v>
      </c>
      <c r="C599" s="27" t="s">
        <v>973</v>
      </c>
      <c r="E599" s="27" t="s">
        <v>55</v>
      </c>
      <c r="F599" s="27" t="s">
        <v>15507</v>
      </c>
      <c r="G599" s="27" t="s">
        <v>215</v>
      </c>
      <c r="H599" s="27" t="s">
        <v>15508</v>
      </c>
      <c r="T599" s="27" t="s">
        <v>244</v>
      </c>
      <c r="U599" s="27" t="s">
        <v>245</v>
      </c>
      <c r="V599" s="27" t="s">
        <v>974</v>
      </c>
      <c r="W599" s="27" t="s">
        <v>13686</v>
      </c>
    </row>
    <row r="600" customFormat="false" ht="15" hidden="false" customHeight="true" outlineLevel="0" collapsed="false">
      <c r="A600" s="27" t="s">
        <v>8515</v>
      </c>
      <c r="B600" s="27" t="s">
        <v>15509</v>
      </c>
      <c r="C600" s="27" t="s">
        <v>3258</v>
      </c>
      <c r="E600" s="27" t="s">
        <v>55</v>
      </c>
      <c r="F600" s="27" t="s">
        <v>15510</v>
      </c>
      <c r="G600" s="27" t="s">
        <v>215</v>
      </c>
      <c r="H600" s="27" t="s">
        <v>15511</v>
      </c>
      <c r="T600" s="27" t="s">
        <v>244</v>
      </c>
      <c r="U600" s="27" t="s">
        <v>245</v>
      </c>
      <c r="V600" s="27" t="s">
        <v>3259</v>
      </c>
      <c r="W600" s="27" t="s">
        <v>13592</v>
      </c>
    </row>
    <row r="601" customFormat="false" ht="15.75" hidden="false" customHeight="true" outlineLevel="0" collapsed="false">
      <c r="A601" s="27" t="s">
        <v>15512</v>
      </c>
      <c r="B601" s="27" t="s">
        <v>142</v>
      </c>
      <c r="C601" s="27" t="s">
        <v>3258</v>
      </c>
      <c r="E601" s="27" t="s">
        <v>55</v>
      </c>
      <c r="G601" s="27" t="s">
        <v>215</v>
      </c>
      <c r="H601" s="27" t="s">
        <v>15513</v>
      </c>
      <c r="T601" s="27" t="s">
        <v>244</v>
      </c>
      <c r="U601" s="27" t="s">
        <v>245</v>
      </c>
      <c r="V601" s="27" t="s">
        <v>3259</v>
      </c>
      <c r="W601" s="27" t="s">
        <v>13592</v>
      </c>
    </row>
    <row r="602" customFormat="false" ht="15" hidden="false" customHeight="true" outlineLevel="0" collapsed="false">
      <c r="A602" s="27" t="s">
        <v>15514</v>
      </c>
      <c r="B602" s="27" t="s">
        <v>253</v>
      </c>
      <c r="C602" s="27" t="s">
        <v>15473</v>
      </c>
      <c r="E602" s="27" t="s">
        <v>55</v>
      </c>
      <c r="F602" s="27" t="s">
        <v>7801</v>
      </c>
      <c r="G602" s="27" t="s">
        <v>215</v>
      </c>
      <c r="H602" s="27" t="s">
        <v>15515</v>
      </c>
      <c r="T602" s="27" t="s">
        <v>244</v>
      </c>
      <c r="U602" s="27" t="s">
        <v>741</v>
      </c>
      <c r="V602" s="27" t="s">
        <v>15475</v>
      </c>
      <c r="W602" s="27" t="s">
        <v>13592</v>
      </c>
    </row>
    <row r="603" customFormat="false" ht="15" hidden="false" customHeight="true" outlineLevel="0" collapsed="false">
      <c r="A603" s="27" t="s">
        <v>15516</v>
      </c>
      <c r="B603" s="27" t="s">
        <v>15517</v>
      </c>
      <c r="C603" s="27" t="s">
        <v>3258</v>
      </c>
      <c r="E603" s="27" t="s">
        <v>55</v>
      </c>
      <c r="F603" s="27" t="s">
        <v>7801</v>
      </c>
      <c r="G603" s="27" t="s">
        <v>215</v>
      </c>
      <c r="H603" s="27" t="s">
        <v>15518</v>
      </c>
      <c r="T603" s="27" t="s">
        <v>244</v>
      </c>
      <c r="U603" s="27" t="s">
        <v>741</v>
      </c>
      <c r="V603" s="27" t="s">
        <v>3259</v>
      </c>
      <c r="W603" s="27" t="s">
        <v>13592</v>
      </c>
    </row>
    <row r="604" customFormat="false" ht="15.75" hidden="false" customHeight="true" outlineLevel="0" collapsed="false">
      <c r="A604" s="27" t="s">
        <v>15519</v>
      </c>
      <c r="B604" s="27" t="s">
        <v>128</v>
      </c>
      <c r="C604" s="27" t="s">
        <v>1768</v>
      </c>
      <c r="E604" s="27" t="s">
        <v>55</v>
      </c>
      <c r="F604" s="27" t="s">
        <v>1770</v>
      </c>
      <c r="G604" s="27" t="s">
        <v>215</v>
      </c>
      <c r="H604" s="27" t="s">
        <v>15520</v>
      </c>
      <c r="T604" s="27" t="s">
        <v>244</v>
      </c>
      <c r="U604" s="27" t="s">
        <v>245</v>
      </c>
      <c r="V604" s="27" t="s">
        <v>1769</v>
      </c>
      <c r="W604" s="27" t="s">
        <v>15521</v>
      </c>
    </row>
    <row r="605" customFormat="false" ht="15" hidden="false" customHeight="true" outlineLevel="0" collapsed="false">
      <c r="A605" s="27" t="s">
        <v>15522</v>
      </c>
      <c r="B605" s="27" t="s">
        <v>958</v>
      </c>
      <c r="C605" s="27" t="s">
        <v>4267</v>
      </c>
      <c r="E605" s="27" t="s">
        <v>55</v>
      </c>
      <c r="F605" s="27" t="s">
        <v>4268</v>
      </c>
      <c r="G605" s="27" t="s">
        <v>215</v>
      </c>
      <c r="H605" s="27" t="s">
        <v>15523</v>
      </c>
      <c r="T605" s="27" t="s">
        <v>244</v>
      </c>
      <c r="U605" s="27" t="s">
        <v>245</v>
      </c>
      <c r="V605" s="27" t="s">
        <v>852</v>
      </c>
      <c r="W605" s="27" t="s">
        <v>15524</v>
      </c>
    </row>
    <row r="606" customFormat="false" ht="17.25" hidden="false" customHeight="true" outlineLevel="0" collapsed="false">
      <c r="A606" s="27" t="s">
        <v>6641</v>
      </c>
      <c r="B606" s="27" t="s">
        <v>15525</v>
      </c>
      <c r="C606" s="27" t="s">
        <v>6643</v>
      </c>
      <c r="E606" s="27" t="s">
        <v>55</v>
      </c>
      <c r="F606" s="27" t="s">
        <v>6644</v>
      </c>
      <c r="G606" s="27" t="s">
        <v>215</v>
      </c>
      <c r="H606" s="27" t="s">
        <v>15526</v>
      </c>
      <c r="T606" s="27" t="s">
        <v>244</v>
      </c>
      <c r="U606" s="27" t="s">
        <v>245</v>
      </c>
      <c r="V606" s="27" t="s">
        <v>4893</v>
      </c>
      <c r="W606" s="27" t="s">
        <v>14311</v>
      </c>
    </row>
    <row r="607" customFormat="false" ht="17.25" hidden="false" customHeight="true" outlineLevel="0" collapsed="false">
      <c r="A607" s="27" t="s">
        <v>15527</v>
      </c>
      <c r="B607" s="27" t="s">
        <v>2532</v>
      </c>
      <c r="C607" s="27" t="s">
        <v>15528</v>
      </c>
      <c r="E607" s="27" t="s">
        <v>55</v>
      </c>
      <c r="G607" s="27" t="s">
        <v>215</v>
      </c>
      <c r="H607" s="27" t="s">
        <v>15529</v>
      </c>
      <c r="T607" s="27" t="s">
        <v>244</v>
      </c>
      <c r="U607" s="27" t="s">
        <v>245</v>
      </c>
      <c r="V607" s="27" t="s">
        <v>2226</v>
      </c>
      <c r="W607" s="27" t="s">
        <v>13757</v>
      </c>
    </row>
    <row r="608" customFormat="false" ht="17.25" hidden="false" customHeight="true" outlineLevel="0" collapsed="false">
      <c r="A608" s="27" t="s">
        <v>15530</v>
      </c>
      <c r="B608" s="27" t="s">
        <v>15142</v>
      </c>
      <c r="C608" s="27" t="s">
        <v>14216</v>
      </c>
      <c r="E608" s="27" t="s">
        <v>55</v>
      </c>
      <c r="F608" s="27" t="s">
        <v>15531</v>
      </c>
      <c r="G608" s="27" t="s">
        <v>215</v>
      </c>
      <c r="H608" s="27" t="s">
        <v>15532</v>
      </c>
      <c r="T608" s="27" t="s">
        <v>244</v>
      </c>
      <c r="U608" s="27" t="s">
        <v>245</v>
      </c>
      <c r="V608" s="27" t="s">
        <v>588</v>
      </c>
      <c r="W608" s="27" t="s">
        <v>14219</v>
      </c>
    </row>
    <row r="609" customFormat="false" ht="15" hidden="false" customHeight="true" outlineLevel="0" collapsed="false">
      <c r="A609" s="27" t="s">
        <v>15533</v>
      </c>
      <c r="B609" s="27" t="s">
        <v>9354</v>
      </c>
      <c r="C609" s="27" t="s">
        <v>14216</v>
      </c>
      <c r="E609" s="27" t="s">
        <v>55</v>
      </c>
      <c r="G609" s="27" t="s">
        <v>215</v>
      </c>
      <c r="H609" s="27" t="s">
        <v>15534</v>
      </c>
      <c r="T609" s="27" t="s">
        <v>244</v>
      </c>
      <c r="U609" s="27" t="s">
        <v>245</v>
      </c>
      <c r="V609" s="27" t="s">
        <v>588</v>
      </c>
      <c r="W609" s="27" t="s">
        <v>14219</v>
      </c>
    </row>
    <row r="610" customFormat="false" ht="15" hidden="false" customHeight="true" outlineLevel="0" collapsed="false">
      <c r="A610" s="27" t="s">
        <v>15535</v>
      </c>
      <c r="B610" s="27" t="s">
        <v>4419</v>
      </c>
      <c r="C610" s="27" t="s">
        <v>973</v>
      </c>
      <c r="E610" s="27" t="s">
        <v>55</v>
      </c>
      <c r="G610" s="27" t="s">
        <v>215</v>
      </c>
      <c r="H610" s="27" t="s">
        <v>15536</v>
      </c>
      <c r="T610" s="27" t="s">
        <v>244</v>
      </c>
      <c r="U610" s="27" t="s">
        <v>245</v>
      </c>
      <c r="V610" s="27" t="s">
        <v>974</v>
      </c>
      <c r="W610" s="27" t="s">
        <v>13686</v>
      </c>
    </row>
    <row r="611" customFormat="false" ht="15" hidden="false" customHeight="true" outlineLevel="0" collapsed="false">
      <c r="A611" s="27" t="s">
        <v>15537</v>
      </c>
      <c r="B611" s="27" t="s">
        <v>15538</v>
      </c>
      <c r="C611" s="27" t="s">
        <v>15539</v>
      </c>
      <c r="E611" s="27" t="s">
        <v>55</v>
      </c>
      <c r="F611" s="27" t="s">
        <v>15540</v>
      </c>
      <c r="G611" s="27" t="s">
        <v>215</v>
      </c>
      <c r="H611" s="27" t="s">
        <v>15541</v>
      </c>
      <c r="I611" s="27" t="s">
        <v>13307</v>
      </c>
      <c r="J611" s="27" t="s">
        <v>15542</v>
      </c>
      <c r="K611" s="27" t="s">
        <v>13307</v>
      </c>
      <c r="L611" s="27" t="s">
        <v>15543</v>
      </c>
      <c r="M611" s="27" t="s">
        <v>13307</v>
      </c>
      <c r="N611" s="27" t="s">
        <v>15543</v>
      </c>
      <c r="O611" s="27" t="s">
        <v>13307</v>
      </c>
      <c r="P611" s="27" t="s">
        <v>13309</v>
      </c>
      <c r="Q611" s="27" t="s">
        <v>13307</v>
      </c>
      <c r="R611" s="27" t="s">
        <v>13309</v>
      </c>
      <c r="T611" s="27" t="s">
        <v>244</v>
      </c>
      <c r="U611" s="27" t="s">
        <v>15267</v>
      </c>
      <c r="V611" s="27" t="s">
        <v>4893</v>
      </c>
      <c r="W611" s="27" t="s">
        <v>13592</v>
      </c>
    </row>
    <row r="612" customFormat="false" ht="15" hidden="false" customHeight="true" outlineLevel="0" collapsed="false">
      <c r="A612" s="27" t="s">
        <v>15544</v>
      </c>
      <c r="B612" s="27" t="s">
        <v>15545</v>
      </c>
      <c r="C612" s="27" t="s">
        <v>15546</v>
      </c>
      <c r="E612" s="27" t="s">
        <v>55</v>
      </c>
      <c r="F612" s="27" t="s">
        <v>15547</v>
      </c>
      <c r="G612" s="27" t="s">
        <v>61</v>
      </c>
      <c r="H612" s="27" t="s">
        <v>15548</v>
      </c>
      <c r="T612" s="27" t="s">
        <v>244</v>
      </c>
      <c r="U612" s="27" t="s">
        <v>245</v>
      </c>
      <c r="V612" s="27" t="s">
        <v>15549</v>
      </c>
      <c r="W612" s="27" t="s">
        <v>13599</v>
      </c>
    </row>
    <row r="613" customFormat="false" ht="17.25" hidden="false" customHeight="true" outlineLevel="0" collapsed="false">
      <c r="A613" s="27" t="s">
        <v>6556</v>
      </c>
      <c r="B613" s="27" t="s">
        <v>1879</v>
      </c>
      <c r="C613" s="27" t="s">
        <v>3043</v>
      </c>
      <c r="E613" s="27" t="s">
        <v>55</v>
      </c>
      <c r="F613" s="27" t="s">
        <v>6559</v>
      </c>
      <c r="G613" s="27" t="s">
        <v>215</v>
      </c>
      <c r="H613" s="27" t="s">
        <v>15550</v>
      </c>
      <c r="I613" s="27" t="s">
        <v>13307</v>
      </c>
      <c r="J613" s="27" t="s">
        <v>13366</v>
      </c>
      <c r="L613" s="27" t="s">
        <v>13366</v>
      </c>
      <c r="O613" s="27" t="s">
        <v>13307</v>
      </c>
      <c r="P613" s="27" t="s">
        <v>13366</v>
      </c>
      <c r="Q613" s="27" t="s">
        <v>13307</v>
      </c>
      <c r="R613" s="27" t="s">
        <v>13366</v>
      </c>
      <c r="T613" s="27" t="s">
        <v>244</v>
      </c>
      <c r="U613" s="27" t="s">
        <v>741</v>
      </c>
      <c r="V613" s="27" t="s">
        <v>3044</v>
      </c>
      <c r="W613" s="27" t="s">
        <v>13454</v>
      </c>
    </row>
    <row r="614" customFormat="false" ht="15" hidden="false" customHeight="true" outlineLevel="0" collapsed="false">
      <c r="A614" s="27" t="s">
        <v>15551</v>
      </c>
      <c r="B614" s="27" t="s">
        <v>643</v>
      </c>
      <c r="C614" s="27" t="s">
        <v>15552</v>
      </c>
      <c r="E614" s="27" t="s">
        <v>55</v>
      </c>
      <c r="F614" s="27" t="s">
        <v>15553</v>
      </c>
      <c r="G614" s="27" t="s">
        <v>215</v>
      </c>
      <c r="H614" s="27" t="s">
        <v>15554</v>
      </c>
      <c r="T614" s="27" t="s">
        <v>244</v>
      </c>
      <c r="U614" s="27" t="s">
        <v>245</v>
      </c>
      <c r="V614" s="27" t="s">
        <v>2804</v>
      </c>
      <c r="W614" s="27" t="s">
        <v>13475</v>
      </c>
    </row>
    <row r="615" customFormat="false" ht="15" hidden="false" customHeight="true" outlineLevel="0" collapsed="false">
      <c r="A615" s="27" t="s">
        <v>15555</v>
      </c>
      <c r="B615" s="27" t="s">
        <v>6629</v>
      </c>
      <c r="C615" s="27" t="s">
        <v>3043</v>
      </c>
      <c r="E615" s="27" t="s">
        <v>55</v>
      </c>
      <c r="F615" s="27" t="s">
        <v>6559</v>
      </c>
      <c r="G615" s="27" t="s">
        <v>215</v>
      </c>
      <c r="H615" s="27" t="s">
        <v>15556</v>
      </c>
      <c r="I615" s="27" t="s">
        <v>13341</v>
      </c>
      <c r="J615" s="27" t="s">
        <v>13309</v>
      </c>
      <c r="M615" s="27" t="s">
        <v>13341</v>
      </c>
      <c r="N615" s="27" t="s">
        <v>13309</v>
      </c>
      <c r="Q615" s="27" t="s">
        <v>13341</v>
      </c>
      <c r="R615" s="27" t="s">
        <v>13309</v>
      </c>
      <c r="T615" s="27" t="s">
        <v>244</v>
      </c>
      <c r="U615" s="27" t="s">
        <v>245</v>
      </c>
      <c r="V615" s="27" t="s">
        <v>3044</v>
      </c>
      <c r="W615" s="27" t="s">
        <v>13454</v>
      </c>
    </row>
    <row r="616" customFormat="false" ht="15" hidden="false" customHeight="true" outlineLevel="0" collapsed="false">
      <c r="A616" s="27" t="s">
        <v>15557</v>
      </c>
      <c r="B616" s="27" t="s">
        <v>15558</v>
      </c>
      <c r="C616" s="27" t="s">
        <v>15559</v>
      </c>
      <c r="E616" s="27" t="s">
        <v>55</v>
      </c>
      <c r="F616" s="27" t="s">
        <v>15560</v>
      </c>
      <c r="G616" s="27" t="s">
        <v>61</v>
      </c>
      <c r="H616" s="27" t="s">
        <v>15561</v>
      </c>
      <c r="K616" s="27" t="s">
        <v>13307</v>
      </c>
      <c r="L616" s="27" t="s">
        <v>13308</v>
      </c>
      <c r="M616" s="27" t="s">
        <v>13307</v>
      </c>
      <c r="N616" s="27" t="s">
        <v>13308</v>
      </c>
      <c r="O616" s="27" t="s">
        <v>13307</v>
      </c>
      <c r="P616" s="27" t="s">
        <v>13308</v>
      </c>
      <c r="T616" s="27" t="s">
        <v>244</v>
      </c>
      <c r="U616" s="27" t="s">
        <v>245</v>
      </c>
      <c r="V616" s="27" t="s">
        <v>15562</v>
      </c>
      <c r="W616" s="27" t="s">
        <v>14437</v>
      </c>
    </row>
    <row r="617" customFormat="false" ht="15" hidden="false" customHeight="true" outlineLevel="0" collapsed="false">
      <c r="A617" s="27" t="s">
        <v>15563</v>
      </c>
      <c r="B617" s="27" t="s">
        <v>15564</v>
      </c>
      <c r="C617" s="27" t="s">
        <v>825</v>
      </c>
      <c r="E617" s="27" t="s">
        <v>55</v>
      </c>
      <c r="F617" s="27" t="s">
        <v>15565</v>
      </c>
      <c r="G617" s="27" t="s">
        <v>215</v>
      </c>
      <c r="H617" s="27" t="s">
        <v>15566</v>
      </c>
      <c r="T617" s="27" t="s">
        <v>244</v>
      </c>
      <c r="U617" s="27" t="s">
        <v>245</v>
      </c>
      <c r="V617" s="27" t="s">
        <v>826</v>
      </c>
      <c r="W617" s="27" t="s">
        <v>13592</v>
      </c>
    </row>
    <row r="618" customFormat="false" ht="15" hidden="false" customHeight="true" outlineLevel="0" collapsed="false">
      <c r="A618" s="27" t="s">
        <v>13542</v>
      </c>
      <c r="B618" s="27" t="s">
        <v>1101</v>
      </c>
      <c r="C618" s="27" t="s">
        <v>8070</v>
      </c>
      <c r="E618" s="27" t="s">
        <v>55</v>
      </c>
      <c r="F618" s="27" t="s">
        <v>15567</v>
      </c>
      <c r="G618" s="27" t="s">
        <v>98</v>
      </c>
      <c r="H618" s="27" t="s">
        <v>15568</v>
      </c>
      <c r="T618" s="27" t="s">
        <v>244</v>
      </c>
      <c r="U618" s="27" t="s">
        <v>15267</v>
      </c>
      <c r="V618" s="27" t="s">
        <v>64</v>
      </c>
      <c r="W618" s="27" t="s">
        <v>13435</v>
      </c>
    </row>
    <row r="619" customFormat="false" ht="15" hidden="false" customHeight="true" outlineLevel="0" collapsed="false">
      <c r="A619" s="27" t="s">
        <v>15569</v>
      </c>
      <c r="B619" s="27" t="s">
        <v>2033</v>
      </c>
      <c r="C619" s="27" t="s">
        <v>13327</v>
      </c>
      <c r="E619" s="27" t="s">
        <v>55</v>
      </c>
      <c r="F619" s="27" t="s">
        <v>15570</v>
      </c>
      <c r="G619" s="27" t="s">
        <v>215</v>
      </c>
      <c r="H619" s="27" t="s">
        <v>15571</v>
      </c>
      <c r="T619" s="27" t="s">
        <v>244</v>
      </c>
      <c r="U619" s="27" t="s">
        <v>741</v>
      </c>
      <c r="V619" s="27" t="s">
        <v>13330</v>
      </c>
      <c r="W619" s="27" t="s">
        <v>13331</v>
      </c>
    </row>
    <row r="620" customFormat="false" ht="15" hidden="false" customHeight="true" outlineLevel="0" collapsed="false">
      <c r="A620" s="27" t="s">
        <v>15572</v>
      </c>
      <c r="B620" s="27" t="s">
        <v>15573</v>
      </c>
      <c r="C620" s="27" t="s">
        <v>15574</v>
      </c>
      <c r="E620" s="27" t="s">
        <v>55</v>
      </c>
      <c r="F620" s="27" t="s">
        <v>15575</v>
      </c>
      <c r="G620" s="27" t="s">
        <v>215</v>
      </c>
      <c r="H620" s="27" t="s">
        <v>15576</v>
      </c>
      <c r="I620" s="27" t="s">
        <v>13315</v>
      </c>
      <c r="J620" s="27" t="s">
        <v>13366</v>
      </c>
      <c r="K620" s="27" t="s">
        <v>13315</v>
      </c>
      <c r="L620" s="27" t="s">
        <v>13367</v>
      </c>
      <c r="M620" s="27" t="s">
        <v>13307</v>
      </c>
      <c r="N620" s="27" t="s">
        <v>13308</v>
      </c>
      <c r="O620" s="27" t="s">
        <v>13507</v>
      </c>
      <c r="Q620" s="27" t="s">
        <v>13315</v>
      </c>
      <c r="R620" s="27" t="s">
        <v>13367</v>
      </c>
      <c r="T620" s="27" t="s">
        <v>244</v>
      </c>
      <c r="U620" s="27" t="s">
        <v>245</v>
      </c>
      <c r="V620" s="27" t="s">
        <v>15577</v>
      </c>
      <c r="W620" s="27" t="s">
        <v>13522</v>
      </c>
    </row>
    <row r="621" customFormat="false" ht="17.25" hidden="false" customHeight="true" outlineLevel="0" collapsed="false">
      <c r="A621" s="27" t="s">
        <v>15578</v>
      </c>
      <c r="B621" s="27" t="s">
        <v>170</v>
      </c>
      <c r="C621" s="27" t="s">
        <v>14554</v>
      </c>
      <c r="E621" s="27" t="s">
        <v>55</v>
      </c>
      <c r="F621" s="27" t="s">
        <v>15579</v>
      </c>
      <c r="G621" s="27" t="s">
        <v>215</v>
      </c>
      <c r="H621" s="27" t="s">
        <v>15580</v>
      </c>
      <c r="T621" s="27" t="s">
        <v>244</v>
      </c>
      <c r="U621" s="27" t="s">
        <v>245</v>
      </c>
      <c r="V621" s="27" t="s">
        <v>14364</v>
      </c>
      <c r="W621" s="27" t="s">
        <v>13617</v>
      </c>
    </row>
    <row r="622" customFormat="false" ht="15.75" hidden="false" customHeight="true" outlineLevel="0" collapsed="false">
      <c r="A622" s="27" t="s">
        <v>15581</v>
      </c>
      <c r="B622" s="27" t="s">
        <v>15582</v>
      </c>
      <c r="C622" s="27" t="s">
        <v>825</v>
      </c>
      <c r="E622" s="27" t="s">
        <v>55</v>
      </c>
      <c r="F622" s="27" t="s">
        <v>15565</v>
      </c>
      <c r="G622" s="27" t="s">
        <v>215</v>
      </c>
      <c r="H622" s="27" t="s">
        <v>15583</v>
      </c>
      <c r="T622" s="27" t="s">
        <v>244</v>
      </c>
      <c r="U622" s="27" t="s">
        <v>245</v>
      </c>
      <c r="V622" s="27" t="s">
        <v>826</v>
      </c>
      <c r="W622" s="27" t="s">
        <v>13592</v>
      </c>
    </row>
    <row r="623" customFormat="false" ht="15" hidden="false" customHeight="true" outlineLevel="0" collapsed="false">
      <c r="A623" s="27" t="s">
        <v>15584</v>
      </c>
      <c r="B623" s="27" t="s">
        <v>612</v>
      </c>
      <c r="C623" s="27" t="s">
        <v>6405</v>
      </c>
      <c r="E623" s="27" t="s">
        <v>55</v>
      </c>
      <c r="F623" s="27" t="s">
        <v>6406</v>
      </c>
      <c r="G623" s="27" t="s">
        <v>215</v>
      </c>
      <c r="H623" s="27" t="s">
        <v>15585</v>
      </c>
      <c r="I623" s="27" t="s">
        <v>15586</v>
      </c>
      <c r="J623" s="27" t="s">
        <v>13308</v>
      </c>
      <c r="K623" s="27" t="s">
        <v>15586</v>
      </c>
      <c r="L623" s="27" t="s">
        <v>13309</v>
      </c>
      <c r="M623" s="27" t="s">
        <v>14467</v>
      </c>
      <c r="N623" s="27" t="s">
        <v>13446</v>
      </c>
      <c r="O623" s="27" t="s">
        <v>15586</v>
      </c>
      <c r="P623" s="27" t="s">
        <v>13309</v>
      </c>
      <c r="Q623" s="27" t="s">
        <v>15586</v>
      </c>
      <c r="T623" s="27" t="s">
        <v>244</v>
      </c>
      <c r="U623" s="27" t="s">
        <v>741</v>
      </c>
      <c r="V623" s="27" t="s">
        <v>4151</v>
      </c>
      <c r="W623" s="27" t="s">
        <v>13635</v>
      </c>
    </row>
    <row r="624" customFormat="false" ht="15" hidden="false" customHeight="true" outlineLevel="0" collapsed="false">
      <c r="A624" s="27" t="s">
        <v>15587</v>
      </c>
      <c r="B624" s="27" t="s">
        <v>868</v>
      </c>
      <c r="C624" s="27" t="s">
        <v>3972</v>
      </c>
      <c r="E624" s="27" t="s">
        <v>55</v>
      </c>
      <c r="G624" s="27" t="s">
        <v>215</v>
      </c>
      <c r="H624" s="27" t="s">
        <v>15588</v>
      </c>
      <c r="T624" s="27" t="s">
        <v>244</v>
      </c>
      <c r="U624" s="27" t="s">
        <v>245</v>
      </c>
      <c r="V624" s="27" t="s">
        <v>3973</v>
      </c>
      <c r="W624" s="27" t="s">
        <v>13957</v>
      </c>
    </row>
    <row r="625" customFormat="false" ht="15" hidden="false" customHeight="true" outlineLevel="0" collapsed="false">
      <c r="A625" s="27" t="s">
        <v>15589</v>
      </c>
      <c r="B625" s="27" t="s">
        <v>15590</v>
      </c>
      <c r="C625" s="27" t="s">
        <v>825</v>
      </c>
      <c r="E625" s="27" t="s">
        <v>55</v>
      </c>
      <c r="F625" s="27" t="s">
        <v>15565</v>
      </c>
      <c r="G625" s="27" t="s">
        <v>215</v>
      </c>
      <c r="H625" s="27" t="s">
        <v>15591</v>
      </c>
      <c r="T625" s="27" t="s">
        <v>244</v>
      </c>
      <c r="U625" s="27" t="s">
        <v>245</v>
      </c>
      <c r="V625" s="27" t="s">
        <v>826</v>
      </c>
      <c r="W625" s="27" t="s">
        <v>13592</v>
      </c>
    </row>
    <row r="626" customFormat="false" ht="15" hidden="false" customHeight="true" outlineLevel="0" collapsed="false">
      <c r="A626" s="27" t="s">
        <v>15592</v>
      </c>
      <c r="B626" s="27" t="s">
        <v>2217</v>
      </c>
      <c r="C626" s="27" t="s">
        <v>825</v>
      </c>
      <c r="E626" s="27" t="s">
        <v>55</v>
      </c>
      <c r="F626" s="27" t="s">
        <v>15565</v>
      </c>
      <c r="G626" s="27" t="s">
        <v>215</v>
      </c>
      <c r="H626" s="27" t="s">
        <v>15593</v>
      </c>
      <c r="T626" s="27" t="s">
        <v>244</v>
      </c>
      <c r="U626" s="27" t="s">
        <v>245</v>
      </c>
      <c r="V626" s="27" t="s">
        <v>826</v>
      </c>
      <c r="W626" s="27" t="s">
        <v>13592</v>
      </c>
    </row>
    <row r="627" customFormat="false" ht="15" hidden="false" customHeight="true" outlineLevel="0" collapsed="false">
      <c r="A627" s="27" t="s">
        <v>15594</v>
      </c>
      <c r="B627" s="27" t="s">
        <v>15595</v>
      </c>
      <c r="C627" s="27" t="s">
        <v>7548</v>
      </c>
      <c r="E627" s="27" t="s">
        <v>55</v>
      </c>
      <c r="F627" s="27" t="s">
        <v>7549</v>
      </c>
      <c r="G627" s="27" t="s">
        <v>215</v>
      </c>
      <c r="H627" s="27" t="s">
        <v>15596</v>
      </c>
      <c r="T627" s="27" t="s">
        <v>244</v>
      </c>
      <c r="U627" s="27" t="s">
        <v>245</v>
      </c>
      <c r="V627" s="27" t="s">
        <v>646</v>
      </c>
      <c r="W627" s="27" t="s">
        <v>13408</v>
      </c>
    </row>
    <row r="628" customFormat="false" ht="15" hidden="false" customHeight="true" outlineLevel="0" collapsed="false">
      <c r="A628" s="27" t="s">
        <v>15597</v>
      </c>
      <c r="B628" s="27" t="s">
        <v>110</v>
      </c>
      <c r="C628" s="27" t="s">
        <v>825</v>
      </c>
      <c r="E628" s="27" t="s">
        <v>55</v>
      </c>
      <c r="F628" s="27" t="s">
        <v>15565</v>
      </c>
      <c r="G628" s="27" t="s">
        <v>215</v>
      </c>
      <c r="H628" s="27" t="s">
        <v>15598</v>
      </c>
      <c r="I628" s="27" t="s">
        <v>13307</v>
      </c>
      <c r="J628" s="27" t="s">
        <v>13308</v>
      </c>
      <c r="O628" s="27" t="s">
        <v>13307</v>
      </c>
      <c r="P628" s="27" t="s">
        <v>13308</v>
      </c>
      <c r="T628" s="27" t="s">
        <v>244</v>
      </c>
      <c r="U628" s="27" t="s">
        <v>245</v>
      </c>
      <c r="V628" s="27" t="s">
        <v>826</v>
      </c>
      <c r="W628" s="27" t="s">
        <v>13592</v>
      </c>
    </row>
    <row r="629" customFormat="false" ht="15" hidden="false" customHeight="true" outlineLevel="0" collapsed="false">
      <c r="A629" s="27" t="s">
        <v>3519</v>
      </c>
      <c r="B629" s="27" t="s">
        <v>15599</v>
      </c>
      <c r="C629" s="27" t="s">
        <v>825</v>
      </c>
      <c r="E629" s="27" t="s">
        <v>55</v>
      </c>
      <c r="F629" s="27" t="s">
        <v>15600</v>
      </c>
      <c r="G629" s="27" t="s">
        <v>215</v>
      </c>
      <c r="H629" s="27" t="s">
        <v>15601</v>
      </c>
      <c r="T629" s="27" t="s">
        <v>244</v>
      </c>
      <c r="U629" s="27" t="s">
        <v>245</v>
      </c>
      <c r="V629" s="27" t="s">
        <v>826</v>
      </c>
      <c r="W629" s="27" t="s">
        <v>13592</v>
      </c>
    </row>
    <row r="630" customFormat="false" ht="15" hidden="false" customHeight="true" outlineLevel="0" collapsed="false">
      <c r="A630" s="27" t="s">
        <v>643</v>
      </c>
      <c r="B630" s="27" t="s">
        <v>429</v>
      </c>
      <c r="C630" s="27" t="s">
        <v>6324</v>
      </c>
      <c r="E630" s="27" t="s">
        <v>55</v>
      </c>
      <c r="F630" s="27" t="s">
        <v>14521</v>
      </c>
      <c r="G630" s="27" t="s">
        <v>215</v>
      </c>
      <c r="H630" s="27" t="s">
        <v>15602</v>
      </c>
      <c r="T630" s="27" t="s">
        <v>244</v>
      </c>
      <c r="U630" s="27" t="s">
        <v>245</v>
      </c>
      <c r="V630" s="27" t="s">
        <v>6325</v>
      </c>
      <c r="W630" s="27" t="s">
        <v>13635</v>
      </c>
    </row>
    <row r="631" customFormat="false" ht="15" hidden="false" customHeight="true" outlineLevel="0" collapsed="false">
      <c r="A631" s="27" t="s">
        <v>15603</v>
      </c>
      <c r="B631" s="27" t="s">
        <v>1539</v>
      </c>
      <c r="C631" s="27" t="s">
        <v>6324</v>
      </c>
      <c r="E631" s="27" t="s">
        <v>55</v>
      </c>
      <c r="G631" s="27" t="s">
        <v>215</v>
      </c>
      <c r="H631" s="27" t="s">
        <v>15604</v>
      </c>
      <c r="T631" s="27" t="s">
        <v>244</v>
      </c>
      <c r="U631" s="27" t="s">
        <v>245</v>
      </c>
      <c r="V631" s="27" t="s">
        <v>6325</v>
      </c>
      <c r="W631" s="27" t="s">
        <v>13635</v>
      </c>
    </row>
    <row r="632" customFormat="false" ht="15" hidden="false" customHeight="true" outlineLevel="0" collapsed="false">
      <c r="A632" s="27" t="s">
        <v>15605</v>
      </c>
      <c r="B632" s="27" t="s">
        <v>1837</v>
      </c>
      <c r="C632" s="27" t="s">
        <v>15606</v>
      </c>
      <c r="E632" s="27" t="s">
        <v>55</v>
      </c>
      <c r="F632" s="27" t="s">
        <v>15607</v>
      </c>
      <c r="G632" s="27" t="s">
        <v>215</v>
      </c>
      <c r="H632" s="27" t="s">
        <v>15608</v>
      </c>
      <c r="T632" s="27" t="s">
        <v>244</v>
      </c>
      <c r="U632" s="27" t="s">
        <v>245</v>
      </c>
      <c r="V632" s="27" t="s">
        <v>15609</v>
      </c>
      <c r="W632" s="27" t="s">
        <v>13482</v>
      </c>
    </row>
    <row r="633" customFormat="false" ht="17.25" hidden="false" customHeight="true" outlineLevel="0" collapsed="false">
      <c r="A633" s="27" t="s">
        <v>15610</v>
      </c>
      <c r="B633" s="27" t="s">
        <v>2974</v>
      </c>
      <c r="C633" s="27" t="s">
        <v>8070</v>
      </c>
      <c r="E633" s="27" t="s">
        <v>55</v>
      </c>
      <c r="F633" s="27" t="s">
        <v>8071</v>
      </c>
      <c r="G633" s="27" t="s">
        <v>98</v>
      </c>
      <c r="H633" s="27" t="s">
        <v>15611</v>
      </c>
      <c r="T633" s="27" t="s">
        <v>244</v>
      </c>
      <c r="U633" s="27" t="s">
        <v>741</v>
      </c>
      <c r="V633" s="27" t="s">
        <v>64</v>
      </c>
      <c r="W633" s="27" t="s">
        <v>13435</v>
      </c>
    </row>
    <row r="634" customFormat="false" ht="15" hidden="false" customHeight="true" outlineLevel="0" collapsed="false">
      <c r="A634" s="27" t="s">
        <v>8051</v>
      </c>
      <c r="B634" s="27" t="s">
        <v>353</v>
      </c>
      <c r="C634" s="27" t="s">
        <v>3408</v>
      </c>
      <c r="E634" s="27" t="s">
        <v>55</v>
      </c>
      <c r="G634" s="27" t="s">
        <v>215</v>
      </c>
      <c r="H634" s="27" t="s">
        <v>15612</v>
      </c>
      <c r="T634" s="27" t="s">
        <v>244</v>
      </c>
      <c r="U634" s="27" t="s">
        <v>245</v>
      </c>
      <c r="V634" s="27" t="s">
        <v>757</v>
      </c>
      <c r="W634" s="27" t="s">
        <v>13335</v>
      </c>
    </row>
    <row r="635" customFormat="false" ht="15" hidden="false" customHeight="true" outlineLevel="0" collapsed="false">
      <c r="A635" s="27" t="s">
        <v>15613</v>
      </c>
      <c r="B635" s="27" t="s">
        <v>2853</v>
      </c>
      <c r="C635" s="27" t="s">
        <v>15614</v>
      </c>
      <c r="E635" s="27" t="s">
        <v>55</v>
      </c>
      <c r="F635" s="27" t="s">
        <v>15615</v>
      </c>
      <c r="G635" s="27" t="s">
        <v>215</v>
      </c>
      <c r="H635" s="27" t="s">
        <v>15616</v>
      </c>
      <c r="T635" s="27" t="s">
        <v>244</v>
      </c>
      <c r="U635" s="27" t="s">
        <v>741</v>
      </c>
      <c r="V635" s="27" t="s">
        <v>2982</v>
      </c>
      <c r="W635" s="27" t="s">
        <v>13734</v>
      </c>
    </row>
    <row r="636" customFormat="false" ht="15" hidden="false" customHeight="true" outlineLevel="0" collapsed="false">
      <c r="A636" s="27" t="s">
        <v>15617</v>
      </c>
      <c r="B636" s="27" t="s">
        <v>1275</v>
      </c>
      <c r="C636" s="27" t="s">
        <v>422</v>
      </c>
      <c r="E636" s="27" t="s">
        <v>55</v>
      </c>
      <c r="F636" s="27" t="s">
        <v>15618</v>
      </c>
      <c r="G636" s="27" t="s">
        <v>215</v>
      </c>
      <c r="H636" s="27" t="s">
        <v>15619</v>
      </c>
      <c r="I636" s="27" t="s">
        <v>14151</v>
      </c>
      <c r="K636" s="27" t="s">
        <v>15620</v>
      </c>
      <c r="L636" s="27" t="s">
        <v>13309</v>
      </c>
      <c r="O636" s="27" t="s">
        <v>15620</v>
      </c>
      <c r="P636" s="27" t="s">
        <v>13309</v>
      </c>
      <c r="Q636" s="27" t="s">
        <v>14135</v>
      </c>
      <c r="R636" s="27" t="s">
        <v>13309</v>
      </c>
      <c r="T636" s="27" t="s">
        <v>244</v>
      </c>
      <c r="U636" s="27" t="s">
        <v>245</v>
      </c>
      <c r="V636" s="27" t="s">
        <v>423</v>
      </c>
      <c r="W636" s="27" t="s">
        <v>15621</v>
      </c>
    </row>
    <row r="637" customFormat="false" ht="15" hidden="false" customHeight="true" outlineLevel="0" collapsed="false">
      <c r="A637" s="27" t="s">
        <v>14159</v>
      </c>
      <c r="B637" s="27" t="s">
        <v>4707</v>
      </c>
      <c r="C637" s="27" t="s">
        <v>15622</v>
      </c>
      <c r="E637" s="27" t="s">
        <v>55</v>
      </c>
      <c r="F637" s="27" t="s">
        <v>15623</v>
      </c>
      <c r="G637" s="27" t="s">
        <v>215</v>
      </c>
      <c r="H637" s="27" t="s">
        <v>15624</v>
      </c>
      <c r="I637" s="27" t="s">
        <v>13307</v>
      </c>
      <c r="J637" s="27" t="s">
        <v>14763</v>
      </c>
      <c r="K637" s="27" t="s">
        <v>13307</v>
      </c>
      <c r="L637" s="27" t="s">
        <v>14763</v>
      </c>
      <c r="M637" s="27" t="s">
        <v>13307</v>
      </c>
      <c r="N637" s="27" t="s">
        <v>14763</v>
      </c>
      <c r="O637" s="27" t="s">
        <v>13307</v>
      </c>
      <c r="P637" s="27" t="s">
        <v>14763</v>
      </c>
      <c r="Q637" s="27" t="s">
        <v>13307</v>
      </c>
      <c r="R637" s="27" t="s">
        <v>14763</v>
      </c>
      <c r="T637" s="27" t="s">
        <v>244</v>
      </c>
      <c r="U637" s="27" t="s">
        <v>245</v>
      </c>
      <c r="V637" s="27" t="s">
        <v>15625</v>
      </c>
      <c r="W637" s="27" t="s">
        <v>13522</v>
      </c>
    </row>
    <row r="638" customFormat="false" ht="15" hidden="false" customHeight="true" outlineLevel="0" collapsed="false">
      <c r="A638" s="27" t="s">
        <v>15626</v>
      </c>
      <c r="B638" s="27" t="s">
        <v>6075</v>
      </c>
      <c r="C638" s="27" t="s">
        <v>5590</v>
      </c>
      <c r="E638" s="27" t="s">
        <v>55</v>
      </c>
      <c r="G638" s="27" t="s">
        <v>215</v>
      </c>
      <c r="H638" s="27" t="s">
        <v>15627</v>
      </c>
      <c r="I638" s="27" t="s">
        <v>13315</v>
      </c>
      <c r="J638" s="27" t="s">
        <v>13308</v>
      </c>
      <c r="L638" s="27" t="s">
        <v>13308</v>
      </c>
      <c r="M638" s="27" t="s">
        <v>14340</v>
      </c>
      <c r="Q638" s="27" t="s">
        <v>13315</v>
      </c>
      <c r="R638" s="27" t="s">
        <v>13308</v>
      </c>
      <c r="T638" s="27" t="s">
        <v>244</v>
      </c>
      <c r="U638" s="27" t="s">
        <v>245</v>
      </c>
      <c r="V638" s="27" t="s">
        <v>2355</v>
      </c>
      <c r="W638" s="27" t="s">
        <v>14181</v>
      </c>
    </row>
    <row r="639" customFormat="false" ht="15" hidden="false" customHeight="true" outlineLevel="0" collapsed="false">
      <c r="A639" s="27" t="s">
        <v>15628</v>
      </c>
      <c r="B639" s="27" t="s">
        <v>15629</v>
      </c>
      <c r="C639" s="27" t="s">
        <v>825</v>
      </c>
      <c r="E639" s="27" t="s">
        <v>55</v>
      </c>
      <c r="F639" s="27" t="s">
        <v>15565</v>
      </c>
      <c r="G639" s="27" t="s">
        <v>215</v>
      </c>
      <c r="H639" s="27" t="s">
        <v>15630</v>
      </c>
      <c r="T639" s="27" t="s">
        <v>244</v>
      </c>
      <c r="U639" s="27" t="s">
        <v>245</v>
      </c>
      <c r="V639" s="27" t="s">
        <v>826</v>
      </c>
      <c r="W639" s="27" t="s">
        <v>13592</v>
      </c>
    </row>
    <row r="640" customFormat="false" ht="15" hidden="false" customHeight="true" outlineLevel="0" collapsed="false">
      <c r="A640" s="27" t="s">
        <v>15631</v>
      </c>
      <c r="B640" s="27" t="s">
        <v>15632</v>
      </c>
      <c r="C640" s="27" t="s">
        <v>15606</v>
      </c>
      <c r="E640" s="27" t="s">
        <v>55</v>
      </c>
      <c r="F640" s="27" t="s">
        <v>15633</v>
      </c>
      <c r="G640" s="27" t="s">
        <v>215</v>
      </c>
      <c r="H640" s="27" t="s">
        <v>15634</v>
      </c>
      <c r="T640" s="27" t="s">
        <v>244</v>
      </c>
      <c r="U640" s="27" t="s">
        <v>245</v>
      </c>
      <c r="V640" s="27" t="s">
        <v>15609</v>
      </c>
      <c r="W640" s="27" t="s">
        <v>13482</v>
      </c>
    </row>
    <row r="641" customFormat="false" ht="15" hidden="false" customHeight="true" outlineLevel="0" collapsed="false">
      <c r="A641" s="27" t="s">
        <v>15635</v>
      </c>
      <c r="B641" s="27" t="s">
        <v>2217</v>
      </c>
      <c r="C641" s="27" t="s">
        <v>825</v>
      </c>
      <c r="E641" s="27" t="s">
        <v>55</v>
      </c>
      <c r="G641" s="27" t="s">
        <v>215</v>
      </c>
      <c r="H641" s="27" t="s">
        <v>15636</v>
      </c>
      <c r="K641" s="27" t="s">
        <v>13307</v>
      </c>
      <c r="L641" s="27" t="s">
        <v>13310</v>
      </c>
      <c r="T641" s="27" t="s">
        <v>244</v>
      </c>
      <c r="U641" s="27" t="s">
        <v>245</v>
      </c>
      <c r="V641" s="27" t="s">
        <v>826</v>
      </c>
      <c r="W641" s="27" t="s">
        <v>13592</v>
      </c>
    </row>
    <row r="642" customFormat="false" ht="15" hidden="false" customHeight="true" outlineLevel="0" collapsed="false">
      <c r="A642" s="27" t="s">
        <v>15637</v>
      </c>
      <c r="B642" s="27" t="s">
        <v>1539</v>
      </c>
      <c r="C642" s="27" t="s">
        <v>825</v>
      </c>
      <c r="E642" s="27" t="s">
        <v>55</v>
      </c>
      <c r="G642" s="27" t="s">
        <v>215</v>
      </c>
      <c r="H642" s="27" t="s">
        <v>15638</v>
      </c>
      <c r="T642" s="27" t="s">
        <v>244</v>
      </c>
      <c r="U642" s="27" t="s">
        <v>245</v>
      </c>
      <c r="V642" s="27" t="s">
        <v>826</v>
      </c>
      <c r="W642" s="27" t="s">
        <v>13592</v>
      </c>
    </row>
    <row r="643" customFormat="false" ht="17.25" hidden="false" customHeight="true" outlineLevel="0" collapsed="false">
      <c r="A643" s="27" t="s">
        <v>15639</v>
      </c>
      <c r="B643" s="27" t="s">
        <v>15640</v>
      </c>
      <c r="C643" s="27" t="s">
        <v>3408</v>
      </c>
      <c r="E643" s="27" t="s">
        <v>55</v>
      </c>
      <c r="F643" s="27" t="s">
        <v>15641</v>
      </c>
      <c r="G643" s="27" t="s">
        <v>61</v>
      </c>
      <c r="H643" s="27" t="s">
        <v>15642</v>
      </c>
      <c r="T643" s="27" t="s">
        <v>244</v>
      </c>
      <c r="U643" s="27" t="s">
        <v>245</v>
      </c>
      <c r="V643" s="27" t="s">
        <v>757</v>
      </c>
      <c r="W643" s="27" t="s">
        <v>13335</v>
      </c>
    </row>
    <row r="644" customFormat="false" ht="17.25" hidden="false" customHeight="true" outlineLevel="0" collapsed="false">
      <c r="A644" s="27" t="s">
        <v>15643</v>
      </c>
      <c r="B644" s="27" t="s">
        <v>15644</v>
      </c>
      <c r="C644" s="27" t="s">
        <v>15645</v>
      </c>
      <c r="E644" s="27" t="s">
        <v>55</v>
      </c>
      <c r="F644" s="27" t="s">
        <v>15646</v>
      </c>
      <c r="G644" s="27" t="s">
        <v>98</v>
      </c>
      <c r="H644" s="27" t="s">
        <v>15647</v>
      </c>
      <c r="T644" s="27" t="s">
        <v>244</v>
      </c>
      <c r="U644" s="27" t="s">
        <v>15267</v>
      </c>
      <c r="V644" s="27" t="s">
        <v>918</v>
      </c>
      <c r="W644" s="27" t="s">
        <v>13599</v>
      </c>
    </row>
    <row r="645" customFormat="false" ht="17.25" hidden="false" customHeight="true" outlineLevel="0" collapsed="false">
      <c r="A645" s="27" t="s">
        <v>15648</v>
      </c>
      <c r="B645" s="27" t="s">
        <v>183</v>
      </c>
      <c r="C645" s="27" t="s">
        <v>15649</v>
      </c>
      <c r="E645" s="27" t="s">
        <v>55</v>
      </c>
      <c r="G645" s="27" t="s">
        <v>98</v>
      </c>
      <c r="H645" s="27" t="s">
        <v>15650</v>
      </c>
      <c r="T645" s="27" t="s">
        <v>244</v>
      </c>
      <c r="U645" s="27" t="s">
        <v>245</v>
      </c>
      <c r="V645" s="27" t="s">
        <v>5980</v>
      </c>
      <c r="W645" s="27" t="s">
        <v>15651</v>
      </c>
    </row>
    <row r="646" customFormat="false" ht="15" hidden="false" customHeight="true" outlineLevel="0" collapsed="false">
      <c r="A646" s="27" t="s">
        <v>15652</v>
      </c>
      <c r="B646" s="27" t="s">
        <v>3379</v>
      </c>
      <c r="C646" s="27" t="s">
        <v>15653</v>
      </c>
      <c r="E646" s="27" t="s">
        <v>55</v>
      </c>
      <c r="F646" s="27" t="s">
        <v>15654</v>
      </c>
      <c r="G646" s="27" t="s">
        <v>215</v>
      </c>
      <c r="H646" s="27" t="s">
        <v>15655</v>
      </c>
      <c r="I646" s="27" t="s">
        <v>13307</v>
      </c>
      <c r="J646" s="27" t="s">
        <v>13309</v>
      </c>
      <c r="M646" s="27" t="s">
        <v>13751</v>
      </c>
      <c r="R646" s="27" t="s">
        <v>13445</v>
      </c>
      <c r="T646" s="27" t="s">
        <v>244</v>
      </c>
      <c r="U646" s="27" t="s">
        <v>245</v>
      </c>
      <c r="V646" s="27" t="s">
        <v>605</v>
      </c>
      <c r="W646" s="27" t="s">
        <v>13661</v>
      </c>
    </row>
    <row r="647" customFormat="false" ht="15" hidden="false" customHeight="true" outlineLevel="0" collapsed="false">
      <c r="A647" s="27" t="s">
        <v>15656</v>
      </c>
      <c r="B647" s="27" t="s">
        <v>652</v>
      </c>
      <c r="C647" s="27" t="s">
        <v>5885</v>
      </c>
      <c r="E647" s="27" t="s">
        <v>55</v>
      </c>
      <c r="F647" s="27" t="s">
        <v>6300</v>
      </c>
      <c r="G647" s="27" t="s">
        <v>215</v>
      </c>
      <c r="H647" s="27" t="s">
        <v>15657</v>
      </c>
      <c r="I647" s="27" t="s">
        <v>13315</v>
      </c>
      <c r="J647" s="27" t="s">
        <v>13367</v>
      </c>
      <c r="K647" s="27" t="s">
        <v>14292</v>
      </c>
      <c r="O647" s="27" t="s">
        <v>13307</v>
      </c>
      <c r="P647" s="27" t="s">
        <v>13308</v>
      </c>
      <c r="Q647" s="27" t="s">
        <v>13307</v>
      </c>
      <c r="R647" s="27" t="s">
        <v>15542</v>
      </c>
      <c r="T647" s="27" t="s">
        <v>244</v>
      </c>
      <c r="U647" s="27" t="s">
        <v>245</v>
      </c>
      <c r="V647" s="27" t="s">
        <v>646</v>
      </c>
      <c r="W647" s="27" t="s">
        <v>15658</v>
      </c>
    </row>
    <row r="648" customFormat="false" ht="15" hidden="false" customHeight="true" outlineLevel="0" collapsed="false">
      <c r="A648" s="27" t="s">
        <v>15659</v>
      </c>
      <c r="B648" s="27" t="s">
        <v>2452</v>
      </c>
      <c r="C648" s="27" t="s">
        <v>15660</v>
      </c>
      <c r="E648" s="27" t="s">
        <v>55</v>
      </c>
      <c r="F648" s="27" t="s">
        <v>15661</v>
      </c>
      <c r="G648" s="27" t="s">
        <v>215</v>
      </c>
      <c r="H648" s="27" t="s">
        <v>15662</v>
      </c>
      <c r="T648" s="27" t="s">
        <v>244</v>
      </c>
      <c r="U648" s="27" t="s">
        <v>741</v>
      </c>
      <c r="V648" s="27" t="s">
        <v>11224</v>
      </c>
      <c r="W648" s="27" t="s">
        <v>15663</v>
      </c>
    </row>
    <row r="649" customFormat="false" ht="15" hidden="false" customHeight="true" outlineLevel="0" collapsed="false">
      <c r="A649" s="27" t="s">
        <v>15664</v>
      </c>
      <c r="B649" s="27" t="s">
        <v>1600</v>
      </c>
      <c r="C649" s="27" t="s">
        <v>15665</v>
      </c>
      <c r="E649" s="27" t="s">
        <v>55</v>
      </c>
      <c r="G649" s="27" t="s">
        <v>215</v>
      </c>
      <c r="H649" s="27" t="s">
        <v>15666</v>
      </c>
      <c r="K649" s="27" t="s">
        <v>15667</v>
      </c>
      <c r="L649" s="27" t="s">
        <v>13310</v>
      </c>
      <c r="O649" s="27" t="s">
        <v>15668</v>
      </c>
      <c r="Q649" s="27" t="s">
        <v>15667</v>
      </c>
      <c r="R649" s="27" t="s">
        <v>13367</v>
      </c>
      <c r="T649" s="27" t="s">
        <v>244</v>
      </c>
      <c r="U649" s="27" t="s">
        <v>245</v>
      </c>
      <c r="V649" s="27" t="s">
        <v>1687</v>
      </c>
      <c r="W649" s="27" t="s">
        <v>13894</v>
      </c>
    </row>
    <row r="650" customFormat="false" ht="15" hidden="false" customHeight="true" outlineLevel="0" collapsed="false">
      <c r="A650" s="27" t="s">
        <v>8058</v>
      </c>
      <c r="B650" s="27" t="s">
        <v>690</v>
      </c>
      <c r="C650" s="27" t="s">
        <v>14809</v>
      </c>
      <c r="E650" s="27" t="s">
        <v>11393</v>
      </c>
      <c r="F650" s="27" t="s">
        <v>3348</v>
      </c>
      <c r="G650" s="27" t="s">
        <v>215</v>
      </c>
      <c r="H650" s="27" t="s">
        <v>15669</v>
      </c>
      <c r="T650" s="27" t="s">
        <v>244</v>
      </c>
      <c r="U650" s="27" t="s">
        <v>245</v>
      </c>
      <c r="V650" s="27" t="s">
        <v>80</v>
      </c>
      <c r="W650" s="27" t="s">
        <v>13508</v>
      </c>
    </row>
    <row r="651" customFormat="false" ht="17.25" hidden="false" customHeight="true" outlineLevel="0" collapsed="false">
      <c r="A651" s="27" t="s">
        <v>2116</v>
      </c>
      <c r="B651" s="27" t="s">
        <v>4463</v>
      </c>
      <c r="C651" s="27" t="s">
        <v>15670</v>
      </c>
      <c r="E651" s="27" t="s">
        <v>11393</v>
      </c>
      <c r="F651" s="27" t="s">
        <v>14768</v>
      </c>
      <c r="G651" s="27" t="s">
        <v>215</v>
      </c>
      <c r="H651" s="27" t="s">
        <v>15671</v>
      </c>
      <c r="T651" s="27" t="s">
        <v>244</v>
      </c>
      <c r="U651" s="27" t="s">
        <v>245</v>
      </c>
      <c r="V651" s="27" t="s">
        <v>15672</v>
      </c>
      <c r="W651" s="27" t="s">
        <v>13676</v>
      </c>
    </row>
    <row r="652" customFormat="false" ht="15" hidden="false" customHeight="true" outlineLevel="0" collapsed="false">
      <c r="A652" s="27" t="s">
        <v>15673</v>
      </c>
      <c r="B652" s="27" t="s">
        <v>1156</v>
      </c>
      <c r="C652" s="27" t="s">
        <v>581</v>
      </c>
      <c r="E652" s="27" t="s">
        <v>11393</v>
      </c>
      <c r="F652" s="27" t="s">
        <v>15674</v>
      </c>
      <c r="G652" s="27" t="s">
        <v>61</v>
      </c>
      <c r="H652" s="27" t="s">
        <v>15675</v>
      </c>
      <c r="T652" s="27" t="s">
        <v>244</v>
      </c>
      <c r="U652" s="27" t="s">
        <v>245</v>
      </c>
      <c r="V652" s="27" t="s">
        <v>80</v>
      </c>
      <c r="W652" s="27" t="s">
        <v>14370</v>
      </c>
    </row>
    <row r="653" customFormat="false" ht="15" hidden="false" customHeight="true" outlineLevel="0" collapsed="false">
      <c r="A653" s="27" t="s">
        <v>15676</v>
      </c>
      <c r="B653" s="27" t="s">
        <v>15677</v>
      </c>
      <c r="C653" s="27" t="s">
        <v>15670</v>
      </c>
      <c r="E653" s="27" t="s">
        <v>11393</v>
      </c>
      <c r="G653" s="27" t="s">
        <v>215</v>
      </c>
      <c r="H653" s="27" t="s">
        <v>15678</v>
      </c>
      <c r="T653" s="27" t="s">
        <v>244</v>
      </c>
      <c r="U653" s="27" t="s">
        <v>15267</v>
      </c>
      <c r="V653" s="27" t="s">
        <v>15672</v>
      </c>
      <c r="W653" s="27" t="s">
        <v>13676</v>
      </c>
    </row>
    <row r="654" customFormat="false" ht="15" hidden="false" customHeight="true" outlineLevel="0" collapsed="false">
      <c r="A654" s="27" t="s">
        <v>3102</v>
      </c>
      <c r="B654" s="27" t="s">
        <v>7540</v>
      </c>
      <c r="C654" s="27" t="s">
        <v>581</v>
      </c>
      <c r="E654" s="27" t="s">
        <v>11393</v>
      </c>
      <c r="G654" s="27" t="s">
        <v>215</v>
      </c>
      <c r="H654" s="27" t="s">
        <v>15679</v>
      </c>
      <c r="J654" s="27" t="s">
        <v>15680</v>
      </c>
      <c r="K654" s="27" t="s">
        <v>13751</v>
      </c>
      <c r="T654" s="27" t="s">
        <v>244</v>
      </c>
      <c r="U654" s="27" t="s">
        <v>245</v>
      </c>
      <c r="V654" s="27" t="s">
        <v>80</v>
      </c>
      <c r="W654" s="27" t="s">
        <v>14370</v>
      </c>
    </row>
    <row r="655" customFormat="false" ht="15" hidden="false" customHeight="true" outlineLevel="0" collapsed="false">
      <c r="A655" s="27" t="s">
        <v>15681</v>
      </c>
      <c r="B655" s="27" t="s">
        <v>1130</v>
      </c>
      <c r="C655" s="27" t="s">
        <v>581</v>
      </c>
      <c r="E655" s="27" t="s">
        <v>11393</v>
      </c>
      <c r="G655" s="27" t="s">
        <v>61</v>
      </c>
      <c r="H655" s="27" t="s">
        <v>15682</v>
      </c>
      <c r="T655" s="27" t="s">
        <v>244</v>
      </c>
      <c r="U655" s="27" t="s">
        <v>245</v>
      </c>
      <c r="V655" s="27" t="s">
        <v>80</v>
      </c>
      <c r="W655" s="27" t="s">
        <v>14370</v>
      </c>
    </row>
    <row r="656" customFormat="false" ht="15" hidden="false" customHeight="true" outlineLevel="0" collapsed="false">
      <c r="A656" s="27" t="s">
        <v>15683</v>
      </c>
      <c r="B656" s="27" t="s">
        <v>1403</v>
      </c>
      <c r="C656" s="27" t="s">
        <v>581</v>
      </c>
      <c r="E656" s="27" t="s">
        <v>11393</v>
      </c>
      <c r="G656" s="27" t="s">
        <v>215</v>
      </c>
      <c r="H656" s="27" t="s">
        <v>15684</v>
      </c>
      <c r="T656" s="27" t="s">
        <v>244</v>
      </c>
      <c r="U656" s="27" t="s">
        <v>741</v>
      </c>
      <c r="V656" s="27" t="s">
        <v>80</v>
      </c>
      <c r="W656" s="27" t="s">
        <v>14370</v>
      </c>
    </row>
    <row r="657" customFormat="false" ht="15" hidden="false" customHeight="true" outlineLevel="0" collapsed="false">
      <c r="A657" s="27" t="s">
        <v>13632</v>
      </c>
      <c r="B657" s="27" t="s">
        <v>15685</v>
      </c>
      <c r="C657" s="27" t="s">
        <v>5739</v>
      </c>
      <c r="E657" s="27" t="s">
        <v>11393</v>
      </c>
      <c r="G657" s="27" t="s">
        <v>215</v>
      </c>
      <c r="H657" s="27" t="s">
        <v>15686</v>
      </c>
      <c r="T657" s="27" t="s">
        <v>244</v>
      </c>
      <c r="U657" s="27" t="s">
        <v>245</v>
      </c>
      <c r="V657" s="27" t="s">
        <v>5740</v>
      </c>
      <c r="W657" s="27" t="s">
        <v>13492</v>
      </c>
    </row>
    <row r="658" customFormat="false" ht="15" hidden="false" customHeight="true" outlineLevel="0" collapsed="false">
      <c r="A658" s="27" t="s">
        <v>15485</v>
      </c>
      <c r="B658" s="27" t="s">
        <v>3270</v>
      </c>
      <c r="C658" s="27" t="s">
        <v>581</v>
      </c>
      <c r="E658" s="27" t="s">
        <v>11393</v>
      </c>
      <c r="G658" s="27" t="s">
        <v>215</v>
      </c>
      <c r="H658" s="27" t="s">
        <v>15687</v>
      </c>
      <c r="T658" s="27" t="s">
        <v>244</v>
      </c>
      <c r="U658" s="27" t="s">
        <v>15267</v>
      </c>
      <c r="V658" s="27" t="s">
        <v>80</v>
      </c>
      <c r="W658" s="27" t="s">
        <v>14370</v>
      </c>
    </row>
    <row r="659" customFormat="false" ht="15" hidden="false" customHeight="true" outlineLevel="0" collapsed="false">
      <c r="A659" s="27" t="s">
        <v>7641</v>
      </c>
      <c r="B659" s="27" t="s">
        <v>619</v>
      </c>
      <c r="C659" s="27" t="s">
        <v>15670</v>
      </c>
      <c r="E659" s="27" t="s">
        <v>11393</v>
      </c>
      <c r="F659" s="27" t="s">
        <v>14768</v>
      </c>
      <c r="G659" s="27" t="s">
        <v>61</v>
      </c>
      <c r="H659" s="27" t="s">
        <v>15688</v>
      </c>
      <c r="T659" s="27" t="s">
        <v>244</v>
      </c>
      <c r="U659" s="27" t="s">
        <v>245</v>
      </c>
      <c r="V659" s="27" t="s">
        <v>15672</v>
      </c>
      <c r="W659" s="27" t="s">
        <v>13676</v>
      </c>
    </row>
    <row r="660" customFormat="false" ht="15" hidden="false" customHeight="true" outlineLevel="0" collapsed="false">
      <c r="A660" s="27" t="s">
        <v>15689</v>
      </c>
      <c r="B660" s="27" t="s">
        <v>543</v>
      </c>
      <c r="C660" s="27" t="s">
        <v>15690</v>
      </c>
      <c r="E660" s="27" t="s">
        <v>11393</v>
      </c>
      <c r="G660" s="27" t="s">
        <v>215</v>
      </c>
      <c r="H660" s="27" t="s">
        <v>15691</v>
      </c>
      <c r="T660" s="27" t="s">
        <v>244</v>
      </c>
      <c r="U660" s="27" t="s">
        <v>741</v>
      </c>
      <c r="V660" s="27" t="s">
        <v>379</v>
      </c>
      <c r="W660" s="27" t="s">
        <v>15040</v>
      </c>
    </row>
    <row r="661" customFormat="false" ht="15" hidden="false" customHeight="true" outlineLevel="0" collapsed="false">
      <c r="A661" s="27" t="s">
        <v>7512</v>
      </c>
      <c r="B661" s="27" t="s">
        <v>15692</v>
      </c>
      <c r="C661" s="27" t="s">
        <v>5739</v>
      </c>
      <c r="E661" s="27" t="s">
        <v>11393</v>
      </c>
      <c r="G661" s="27" t="s">
        <v>215</v>
      </c>
      <c r="H661" s="27" t="s">
        <v>15693</v>
      </c>
      <c r="T661" s="27" t="s">
        <v>244</v>
      </c>
      <c r="U661" s="27" t="s">
        <v>245</v>
      </c>
      <c r="V661" s="27" t="s">
        <v>5740</v>
      </c>
      <c r="W661" s="27" t="s">
        <v>13492</v>
      </c>
    </row>
    <row r="662" customFormat="false" ht="15" hidden="false" customHeight="true" outlineLevel="0" collapsed="false">
      <c r="A662" s="27" t="s">
        <v>15694</v>
      </c>
      <c r="B662" s="27" t="s">
        <v>1438</v>
      </c>
      <c r="C662" s="27" t="s">
        <v>5739</v>
      </c>
      <c r="E662" s="27" t="s">
        <v>11393</v>
      </c>
      <c r="G662" s="27" t="s">
        <v>215</v>
      </c>
      <c r="H662" s="27" t="s">
        <v>15695</v>
      </c>
      <c r="T662" s="27" t="s">
        <v>244</v>
      </c>
      <c r="U662" s="27" t="s">
        <v>245</v>
      </c>
      <c r="V662" s="27" t="s">
        <v>5740</v>
      </c>
      <c r="W662" s="27" t="s">
        <v>13492</v>
      </c>
    </row>
    <row r="663" customFormat="false" ht="15" hidden="false" customHeight="true" outlineLevel="0" collapsed="false">
      <c r="A663" s="27" t="s">
        <v>15696</v>
      </c>
      <c r="B663" s="27" t="s">
        <v>4169</v>
      </c>
      <c r="C663" s="27" t="s">
        <v>581</v>
      </c>
      <c r="E663" s="27" t="s">
        <v>11393</v>
      </c>
      <c r="G663" s="27" t="s">
        <v>215</v>
      </c>
      <c r="H663" s="27" t="s">
        <v>15697</v>
      </c>
      <c r="T663" s="27" t="s">
        <v>244</v>
      </c>
      <c r="U663" s="27" t="s">
        <v>245</v>
      </c>
      <c r="V663" s="27" t="s">
        <v>80</v>
      </c>
      <c r="W663" s="27" t="s">
        <v>14370</v>
      </c>
    </row>
    <row r="664" customFormat="false" ht="15" hidden="false" customHeight="true" outlineLevel="0" collapsed="false">
      <c r="A664" s="27" t="s">
        <v>13855</v>
      </c>
      <c r="B664" s="27" t="s">
        <v>1403</v>
      </c>
      <c r="C664" s="27" t="s">
        <v>15698</v>
      </c>
      <c r="E664" s="27" t="s">
        <v>55</v>
      </c>
      <c r="F664" s="27" t="s">
        <v>15699</v>
      </c>
      <c r="G664" s="27" t="s">
        <v>215</v>
      </c>
      <c r="H664" s="27" t="s">
        <v>15700</v>
      </c>
      <c r="T664" s="27" t="s">
        <v>244</v>
      </c>
      <c r="U664" s="27" t="s">
        <v>741</v>
      </c>
      <c r="V664" s="27" t="s">
        <v>15701</v>
      </c>
      <c r="W664" s="27" t="s">
        <v>13331</v>
      </c>
    </row>
    <row r="665" customFormat="false" ht="15" hidden="false" customHeight="true" outlineLevel="0" collapsed="false">
      <c r="A665" s="27" t="s">
        <v>15702</v>
      </c>
      <c r="B665" s="27" t="s">
        <v>15703</v>
      </c>
      <c r="C665" s="27" t="s">
        <v>14962</v>
      </c>
      <c r="E665" s="27" t="s">
        <v>55</v>
      </c>
      <c r="F665" s="27" t="s">
        <v>15704</v>
      </c>
      <c r="G665" s="27" t="s">
        <v>215</v>
      </c>
      <c r="H665" s="27" t="s">
        <v>15705</v>
      </c>
      <c r="T665" s="27" t="s">
        <v>244</v>
      </c>
      <c r="U665" s="27" t="s">
        <v>741</v>
      </c>
      <c r="V665" s="27" t="s">
        <v>3334</v>
      </c>
      <c r="W665" s="27" t="s">
        <v>13358</v>
      </c>
    </row>
    <row r="666" customFormat="false" ht="15.75" hidden="false" customHeight="true" outlineLevel="0" collapsed="false">
      <c r="A666" s="27" t="s">
        <v>15706</v>
      </c>
      <c r="B666" s="27" t="s">
        <v>2048</v>
      </c>
      <c r="C666" s="27" t="s">
        <v>14962</v>
      </c>
      <c r="E666" s="27" t="s">
        <v>55</v>
      </c>
      <c r="F666" s="27" t="s">
        <v>15707</v>
      </c>
      <c r="G666" s="27" t="s">
        <v>215</v>
      </c>
      <c r="H666" s="27" t="s">
        <v>15708</v>
      </c>
      <c r="T666" s="27" t="s">
        <v>244</v>
      </c>
      <c r="U666" s="27" t="s">
        <v>245</v>
      </c>
      <c r="V666" s="27" t="s">
        <v>3334</v>
      </c>
      <c r="W666" s="27" t="s">
        <v>13358</v>
      </c>
    </row>
    <row r="667" customFormat="false" ht="15" hidden="false" customHeight="true" outlineLevel="0" collapsed="false">
      <c r="A667" s="27" t="s">
        <v>15709</v>
      </c>
      <c r="B667" s="27" t="s">
        <v>2738</v>
      </c>
      <c r="C667" s="27" t="s">
        <v>15176</v>
      </c>
      <c r="E667" s="27" t="s">
        <v>55</v>
      </c>
      <c r="F667" s="27" t="s">
        <v>15177</v>
      </c>
      <c r="G667" s="27" t="s">
        <v>215</v>
      </c>
      <c r="H667" s="27" t="s">
        <v>15710</v>
      </c>
      <c r="J667" s="27" t="s">
        <v>13367</v>
      </c>
      <c r="K667" s="27" t="s">
        <v>13315</v>
      </c>
      <c r="L667" s="27" t="s">
        <v>13308</v>
      </c>
      <c r="M667" s="27" t="s">
        <v>13315</v>
      </c>
      <c r="N667" s="27" t="s">
        <v>13308</v>
      </c>
      <c r="Q667" s="27" t="s">
        <v>13839</v>
      </c>
      <c r="T667" s="27" t="s">
        <v>244</v>
      </c>
      <c r="U667" s="27" t="s">
        <v>741</v>
      </c>
      <c r="V667" s="27" t="s">
        <v>15179</v>
      </c>
      <c r="W667" s="27" t="s">
        <v>14463</v>
      </c>
    </row>
    <row r="668" customFormat="false" ht="15" hidden="false" customHeight="true" outlineLevel="0" collapsed="false">
      <c r="A668" s="27" t="s">
        <v>15711</v>
      </c>
      <c r="B668" s="27" t="s">
        <v>652</v>
      </c>
      <c r="C668" s="27" t="s">
        <v>1095</v>
      </c>
      <c r="E668" s="27" t="s">
        <v>55</v>
      </c>
      <c r="F668" s="27" t="s">
        <v>15712</v>
      </c>
      <c r="G668" s="27" t="s">
        <v>215</v>
      </c>
      <c r="H668" s="27" t="s">
        <v>15713</v>
      </c>
      <c r="I668" s="27" t="s">
        <v>14340</v>
      </c>
      <c r="J668" s="27" t="s">
        <v>13309</v>
      </c>
      <c r="K668" s="27" t="s">
        <v>15714</v>
      </c>
      <c r="L668" s="27" t="s">
        <v>13309</v>
      </c>
      <c r="N668" s="27" t="s">
        <v>13309</v>
      </c>
      <c r="O668" s="27" t="s">
        <v>15715</v>
      </c>
      <c r="P668" s="27" t="s">
        <v>13309</v>
      </c>
      <c r="T668" s="27" t="s">
        <v>244</v>
      </c>
      <c r="U668" s="27" t="s">
        <v>741</v>
      </c>
      <c r="V668" s="27" t="s">
        <v>1096</v>
      </c>
      <c r="W668" s="27" t="s">
        <v>13379</v>
      </c>
    </row>
    <row r="669" customFormat="false" ht="15" hidden="false" customHeight="true" outlineLevel="0" collapsed="false">
      <c r="A669" s="27" t="s">
        <v>15716</v>
      </c>
      <c r="B669" s="27" t="s">
        <v>1143</v>
      </c>
      <c r="C669" s="27" t="s">
        <v>15176</v>
      </c>
      <c r="E669" s="27" t="s">
        <v>55</v>
      </c>
      <c r="G669" s="27" t="s">
        <v>215</v>
      </c>
      <c r="H669" s="27" t="s">
        <v>15717</v>
      </c>
      <c r="T669" s="27" t="s">
        <v>244</v>
      </c>
      <c r="U669" s="27" t="s">
        <v>245</v>
      </c>
      <c r="V669" s="27" t="s">
        <v>15179</v>
      </c>
      <c r="W669" s="27" t="s">
        <v>14463</v>
      </c>
    </row>
    <row r="670" customFormat="false" ht="15" hidden="false" customHeight="true" outlineLevel="0" collapsed="false">
      <c r="A670" s="27" t="s">
        <v>15718</v>
      </c>
      <c r="B670" s="27" t="s">
        <v>9867</v>
      </c>
      <c r="C670" s="27" t="s">
        <v>3608</v>
      </c>
      <c r="E670" s="27" t="s">
        <v>55</v>
      </c>
      <c r="G670" s="27" t="s">
        <v>215</v>
      </c>
      <c r="H670" s="27" t="s">
        <v>15719</v>
      </c>
      <c r="T670" s="27" t="s">
        <v>244</v>
      </c>
      <c r="U670" s="27" t="s">
        <v>741</v>
      </c>
      <c r="V670" s="27" t="s">
        <v>3609</v>
      </c>
      <c r="W670" s="27" t="s">
        <v>13635</v>
      </c>
    </row>
    <row r="671" customFormat="false" ht="15" hidden="false" customHeight="true" outlineLevel="0" collapsed="false">
      <c r="A671" s="27" t="s">
        <v>15720</v>
      </c>
      <c r="B671" s="27" t="s">
        <v>652</v>
      </c>
      <c r="C671" s="27" t="s">
        <v>15721</v>
      </c>
      <c r="E671" s="27" t="s">
        <v>55</v>
      </c>
      <c r="F671" s="27" t="s">
        <v>1380</v>
      </c>
      <c r="G671" s="27" t="s">
        <v>215</v>
      </c>
      <c r="H671" s="27" t="s">
        <v>15722</v>
      </c>
      <c r="T671" s="27" t="s">
        <v>244</v>
      </c>
      <c r="U671" s="27" t="s">
        <v>245</v>
      </c>
      <c r="V671" s="27" t="s">
        <v>15723</v>
      </c>
      <c r="W671" s="27" t="s">
        <v>13426</v>
      </c>
    </row>
    <row r="672" customFormat="false" ht="15" hidden="false" customHeight="true" outlineLevel="0" collapsed="false">
      <c r="A672" s="27" t="s">
        <v>6346</v>
      </c>
      <c r="B672" s="27" t="s">
        <v>3388</v>
      </c>
      <c r="C672" s="27" t="s">
        <v>15176</v>
      </c>
      <c r="E672" s="27" t="s">
        <v>55</v>
      </c>
      <c r="F672" s="27" t="s">
        <v>15177</v>
      </c>
      <c r="G672" s="27" t="s">
        <v>215</v>
      </c>
      <c r="H672" s="27" t="s">
        <v>15724</v>
      </c>
      <c r="T672" s="27" t="s">
        <v>244</v>
      </c>
      <c r="U672" s="27" t="s">
        <v>245</v>
      </c>
      <c r="V672" s="27" t="s">
        <v>15179</v>
      </c>
      <c r="W672" s="27" t="s">
        <v>14463</v>
      </c>
    </row>
    <row r="673" customFormat="false" ht="15" hidden="false" customHeight="true" outlineLevel="0" collapsed="false">
      <c r="A673" s="27" t="s">
        <v>2176</v>
      </c>
      <c r="B673" s="27" t="s">
        <v>15725</v>
      </c>
      <c r="C673" s="27" t="s">
        <v>2090</v>
      </c>
      <c r="E673" s="27" t="s">
        <v>11355</v>
      </c>
      <c r="G673" s="27" t="s">
        <v>215</v>
      </c>
      <c r="H673" s="27" t="s">
        <v>15726</v>
      </c>
      <c r="I673" s="27" t="s">
        <v>13315</v>
      </c>
      <c r="J673" s="27" t="s">
        <v>13367</v>
      </c>
      <c r="K673" s="27" t="s">
        <v>13315</v>
      </c>
      <c r="L673" s="27" t="s">
        <v>13367</v>
      </c>
      <c r="M673" s="27" t="s">
        <v>13315</v>
      </c>
      <c r="N673" s="27" t="s">
        <v>15542</v>
      </c>
      <c r="O673" s="27" t="s">
        <v>13315</v>
      </c>
      <c r="P673" s="27" t="s">
        <v>13367</v>
      </c>
      <c r="Q673" s="27" t="s">
        <v>13315</v>
      </c>
      <c r="R673" s="27" t="s">
        <v>13367</v>
      </c>
      <c r="T673" s="27" t="s">
        <v>112</v>
      </c>
      <c r="V673" s="27" t="s">
        <v>2091</v>
      </c>
      <c r="W673" s="27" t="s">
        <v>13916</v>
      </c>
    </row>
    <row r="674" customFormat="false" ht="15" hidden="false" customHeight="true" outlineLevel="0" collapsed="false">
      <c r="A674" s="27" t="s">
        <v>15727</v>
      </c>
      <c r="B674" s="27" t="s">
        <v>8467</v>
      </c>
      <c r="C674" s="27" t="s">
        <v>8469</v>
      </c>
      <c r="E674" s="27" t="s">
        <v>11355</v>
      </c>
      <c r="F674" s="27" t="s">
        <v>8470</v>
      </c>
      <c r="G674" s="27" t="s">
        <v>215</v>
      </c>
      <c r="H674" s="27" t="s">
        <v>15728</v>
      </c>
      <c r="T674" s="27" t="s">
        <v>112</v>
      </c>
      <c r="V674" s="27" t="s">
        <v>1317</v>
      </c>
      <c r="W674" s="27" t="s">
        <v>14355</v>
      </c>
    </row>
    <row r="675" customFormat="false" ht="15" hidden="false" customHeight="true" outlineLevel="0" collapsed="false">
      <c r="A675" s="27" t="s">
        <v>15729</v>
      </c>
      <c r="B675" s="27" t="s">
        <v>1479</v>
      </c>
      <c r="C675" s="27" t="s">
        <v>10173</v>
      </c>
      <c r="E675" s="27" t="s">
        <v>55</v>
      </c>
      <c r="F675" s="27" t="s">
        <v>10175</v>
      </c>
      <c r="G675" s="27" t="s">
        <v>215</v>
      </c>
      <c r="H675" s="27" t="s">
        <v>15730</v>
      </c>
      <c r="T675" s="27" t="s">
        <v>112</v>
      </c>
      <c r="V675" s="27" t="s">
        <v>10174</v>
      </c>
      <c r="W675" s="27" t="s">
        <v>13599</v>
      </c>
    </row>
    <row r="676" customFormat="false" ht="15" hidden="false" customHeight="true" outlineLevel="0" collapsed="false">
      <c r="A676" s="27" t="s">
        <v>15731</v>
      </c>
      <c r="B676" s="27" t="s">
        <v>15732</v>
      </c>
      <c r="C676" s="27" t="s">
        <v>15733</v>
      </c>
      <c r="E676" s="27" t="s">
        <v>55</v>
      </c>
      <c r="F676" s="27" t="s">
        <v>15734</v>
      </c>
      <c r="G676" s="27" t="s">
        <v>215</v>
      </c>
      <c r="H676" s="27" t="s">
        <v>15735</v>
      </c>
      <c r="T676" s="27" t="s">
        <v>112</v>
      </c>
      <c r="V676" s="27" t="s">
        <v>9220</v>
      </c>
      <c r="W676" s="27" t="s">
        <v>13661</v>
      </c>
    </row>
    <row r="677" customFormat="false" ht="15" hidden="false" customHeight="true" outlineLevel="0" collapsed="false">
      <c r="A677" s="27" t="s">
        <v>15736</v>
      </c>
      <c r="B677" s="27" t="s">
        <v>875</v>
      </c>
      <c r="C677" s="27" t="s">
        <v>877</v>
      </c>
      <c r="E677" s="27" t="s">
        <v>55</v>
      </c>
      <c r="F677" s="27" t="s">
        <v>879</v>
      </c>
      <c r="G677" s="27" t="s">
        <v>215</v>
      </c>
      <c r="H677" s="27" t="s">
        <v>15737</v>
      </c>
      <c r="T677" s="27" t="s">
        <v>112</v>
      </c>
      <c r="V677" s="27" t="s">
        <v>878</v>
      </c>
      <c r="W677" s="27" t="s">
        <v>14181</v>
      </c>
    </row>
    <row r="678" customFormat="false" ht="15.75" hidden="false" customHeight="true" outlineLevel="0" collapsed="false">
      <c r="A678" s="27" t="s">
        <v>15738</v>
      </c>
      <c r="B678" s="27" t="s">
        <v>15739</v>
      </c>
      <c r="C678" s="27" t="s">
        <v>15740</v>
      </c>
      <c r="E678" s="27" t="s">
        <v>55</v>
      </c>
      <c r="F678" s="27" t="s">
        <v>15741</v>
      </c>
      <c r="G678" s="27" t="s">
        <v>215</v>
      </c>
      <c r="H678" s="27" t="s">
        <v>15742</v>
      </c>
      <c r="T678" s="27" t="s">
        <v>112</v>
      </c>
      <c r="V678" s="27" t="s">
        <v>175</v>
      </c>
      <c r="W678" s="27" t="s">
        <v>13321</v>
      </c>
    </row>
    <row r="679" customFormat="false" ht="15" hidden="false" customHeight="true" outlineLevel="0" collapsed="false">
      <c r="A679" s="27" t="s">
        <v>15743</v>
      </c>
      <c r="B679" s="27" t="s">
        <v>117</v>
      </c>
      <c r="C679" s="27" t="s">
        <v>3118</v>
      </c>
      <c r="E679" s="27" t="s">
        <v>55</v>
      </c>
      <c r="G679" s="27" t="s">
        <v>215</v>
      </c>
      <c r="H679" s="27" t="s">
        <v>15744</v>
      </c>
      <c r="T679" s="27" t="s">
        <v>112</v>
      </c>
      <c r="V679" s="27" t="s">
        <v>1450</v>
      </c>
      <c r="W679" s="27" t="s">
        <v>13661</v>
      </c>
    </row>
    <row r="680" customFormat="false" ht="15" hidden="false" customHeight="true" outlineLevel="0" collapsed="false">
      <c r="A680" s="27" t="s">
        <v>1113</v>
      </c>
      <c r="B680" s="27" t="s">
        <v>2344</v>
      </c>
      <c r="C680" s="27" t="s">
        <v>15745</v>
      </c>
      <c r="E680" s="27" t="s">
        <v>55</v>
      </c>
      <c r="G680" s="27" t="s">
        <v>215</v>
      </c>
      <c r="H680" s="27" t="s">
        <v>15746</v>
      </c>
      <c r="I680" s="27" t="s">
        <v>13315</v>
      </c>
      <c r="J680" s="27" t="s">
        <v>14763</v>
      </c>
      <c r="K680" s="27" t="s">
        <v>13315</v>
      </c>
      <c r="L680" s="27" t="s">
        <v>14763</v>
      </c>
      <c r="M680" s="27" t="s">
        <v>13315</v>
      </c>
      <c r="N680" s="27" t="s">
        <v>13367</v>
      </c>
      <c r="Q680" s="27" t="s">
        <v>14156</v>
      </c>
      <c r="R680" s="27" t="s">
        <v>15747</v>
      </c>
      <c r="T680" s="27" t="s">
        <v>112</v>
      </c>
      <c r="V680" s="27" t="s">
        <v>6959</v>
      </c>
      <c r="W680" s="27" t="s">
        <v>13492</v>
      </c>
    </row>
    <row r="681" customFormat="false" ht="15" hidden="false" customHeight="true" outlineLevel="0" collapsed="false">
      <c r="A681" s="27" t="s">
        <v>15748</v>
      </c>
      <c r="B681" s="27" t="s">
        <v>450</v>
      </c>
      <c r="C681" s="27" t="s">
        <v>10470</v>
      </c>
      <c r="E681" s="27" t="s">
        <v>55</v>
      </c>
      <c r="G681" s="27" t="s">
        <v>215</v>
      </c>
      <c r="H681" s="27" t="s">
        <v>15749</v>
      </c>
      <c r="T681" s="27" t="s">
        <v>112</v>
      </c>
      <c r="V681" s="27" t="s">
        <v>10471</v>
      </c>
      <c r="W681" s="27" t="s">
        <v>13492</v>
      </c>
    </row>
    <row r="682" customFormat="false" ht="15" hidden="false" customHeight="true" outlineLevel="0" collapsed="false">
      <c r="A682" s="27" t="s">
        <v>15750</v>
      </c>
      <c r="B682" s="27" t="s">
        <v>2157</v>
      </c>
      <c r="C682" s="27" t="s">
        <v>2159</v>
      </c>
      <c r="E682" s="27" t="s">
        <v>55</v>
      </c>
      <c r="G682" s="27" t="s">
        <v>215</v>
      </c>
      <c r="H682" s="27" t="s">
        <v>15751</v>
      </c>
      <c r="I682" s="27" t="s">
        <v>13751</v>
      </c>
      <c r="J682" s="27" t="s">
        <v>14581</v>
      </c>
      <c r="K682" s="27" t="s">
        <v>13751</v>
      </c>
      <c r="L682" s="27" t="s">
        <v>14581</v>
      </c>
      <c r="M682" s="27" t="s">
        <v>13751</v>
      </c>
      <c r="N682" s="27" t="s">
        <v>14581</v>
      </c>
      <c r="O682" s="27" t="s">
        <v>13751</v>
      </c>
      <c r="P682" s="27" t="s">
        <v>14581</v>
      </c>
      <c r="Q682" s="27" t="s">
        <v>13751</v>
      </c>
      <c r="R682" s="27" t="s">
        <v>14581</v>
      </c>
      <c r="T682" s="27" t="s">
        <v>112</v>
      </c>
      <c r="V682" s="27" t="s">
        <v>2160</v>
      </c>
      <c r="W682" s="27" t="s">
        <v>13611</v>
      </c>
    </row>
    <row r="683" customFormat="false" ht="15" hidden="false" customHeight="true" outlineLevel="0" collapsed="false">
      <c r="A683" s="27" t="s">
        <v>15752</v>
      </c>
      <c r="B683" s="27" t="s">
        <v>2941</v>
      </c>
      <c r="C683" s="27" t="s">
        <v>3230</v>
      </c>
      <c r="E683" s="27" t="s">
        <v>55</v>
      </c>
      <c r="F683" s="27" t="s">
        <v>3253</v>
      </c>
      <c r="G683" s="27" t="s">
        <v>215</v>
      </c>
      <c r="H683" s="27" t="s">
        <v>15753</v>
      </c>
      <c r="I683" s="27" t="s">
        <v>13307</v>
      </c>
      <c r="J683" s="27" t="s">
        <v>13309</v>
      </c>
      <c r="K683" s="27" t="s">
        <v>13307</v>
      </c>
      <c r="L683" s="27" t="s">
        <v>13309</v>
      </c>
      <c r="M683" s="27" t="s">
        <v>13307</v>
      </c>
      <c r="N683" s="27" t="s">
        <v>15225</v>
      </c>
      <c r="O683" s="27" t="s">
        <v>13307</v>
      </c>
      <c r="P683" s="27" t="s">
        <v>13309</v>
      </c>
      <c r="Q683" s="27" t="s">
        <v>13751</v>
      </c>
      <c r="T683" s="27" t="s">
        <v>112</v>
      </c>
      <c r="V683" s="27" t="s">
        <v>3231</v>
      </c>
      <c r="W683" s="27" t="s">
        <v>13661</v>
      </c>
    </row>
    <row r="684" customFormat="false" ht="15.75" hidden="false" customHeight="true" outlineLevel="0" collapsed="false">
      <c r="A684" s="27" t="s">
        <v>2856</v>
      </c>
      <c r="B684" s="27" t="s">
        <v>1385</v>
      </c>
      <c r="C684" s="27" t="s">
        <v>2717</v>
      </c>
      <c r="E684" s="27" t="s">
        <v>55</v>
      </c>
      <c r="G684" s="27" t="s">
        <v>215</v>
      </c>
      <c r="H684" s="27" t="s">
        <v>15754</v>
      </c>
      <c r="I684" s="27" t="s">
        <v>13307</v>
      </c>
      <c r="J684" s="27" t="s">
        <v>13309</v>
      </c>
      <c r="K684" s="27" t="s">
        <v>15755</v>
      </c>
      <c r="M684" s="27" t="s">
        <v>13307</v>
      </c>
      <c r="N684" s="27" t="s">
        <v>13309</v>
      </c>
      <c r="Q684" s="27" t="s">
        <v>13463</v>
      </c>
      <c r="R684" s="27" t="s">
        <v>13309</v>
      </c>
      <c r="T684" s="27" t="s">
        <v>112</v>
      </c>
      <c r="V684" s="27" t="s">
        <v>2718</v>
      </c>
      <c r="W684" s="27" t="s">
        <v>13508</v>
      </c>
    </row>
    <row r="685" customFormat="false" ht="15" hidden="false" customHeight="true" outlineLevel="0" collapsed="false">
      <c r="A685" s="27" t="s">
        <v>15756</v>
      </c>
      <c r="B685" s="27" t="s">
        <v>15757</v>
      </c>
      <c r="C685" s="27" t="s">
        <v>841</v>
      </c>
      <c r="E685" s="27" t="s">
        <v>55</v>
      </c>
      <c r="F685" s="27" t="s">
        <v>843</v>
      </c>
      <c r="G685" s="27" t="s">
        <v>215</v>
      </c>
      <c r="H685" s="27" t="s">
        <v>15758</v>
      </c>
      <c r="I685" s="27" t="s">
        <v>14157</v>
      </c>
      <c r="J685" s="27" t="s">
        <v>13851</v>
      </c>
      <c r="K685" s="27" t="s">
        <v>14157</v>
      </c>
      <c r="L685" s="27" t="s">
        <v>13851</v>
      </c>
      <c r="M685" s="27" t="s">
        <v>14157</v>
      </c>
      <c r="N685" s="27" t="s">
        <v>13851</v>
      </c>
      <c r="P685" s="27" t="s">
        <v>13851</v>
      </c>
      <c r="Q685" s="27" t="s">
        <v>14157</v>
      </c>
      <c r="R685" s="27" t="s">
        <v>13851</v>
      </c>
      <c r="T685" s="27" t="s">
        <v>112</v>
      </c>
      <c r="V685" s="27" t="s">
        <v>842</v>
      </c>
      <c r="W685" s="27" t="s">
        <v>13592</v>
      </c>
    </row>
    <row r="686" customFormat="false" ht="17.25" hidden="false" customHeight="true" outlineLevel="0" collapsed="false">
      <c r="A686" s="27" t="s">
        <v>15759</v>
      </c>
      <c r="B686" s="27" t="s">
        <v>15595</v>
      </c>
      <c r="C686" s="27" t="s">
        <v>903</v>
      </c>
      <c r="E686" s="27" t="s">
        <v>55</v>
      </c>
      <c r="G686" s="27" t="s">
        <v>215</v>
      </c>
      <c r="H686" s="27" t="s">
        <v>15760</v>
      </c>
      <c r="I686" s="27" t="s">
        <v>13307</v>
      </c>
      <c r="J686" s="27" t="s">
        <v>13310</v>
      </c>
      <c r="K686" s="27" t="s">
        <v>13307</v>
      </c>
      <c r="L686" s="27" t="s">
        <v>13310</v>
      </c>
      <c r="M686" s="27" t="s">
        <v>13307</v>
      </c>
      <c r="N686" s="27" t="s">
        <v>13310</v>
      </c>
      <c r="Q686" s="27" t="s">
        <v>13307</v>
      </c>
      <c r="R686" s="27" t="s">
        <v>13310</v>
      </c>
      <c r="T686" s="27" t="s">
        <v>112</v>
      </c>
      <c r="V686" s="27" t="s">
        <v>904</v>
      </c>
      <c r="W686" s="27" t="s">
        <v>13788</v>
      </c>
    </row>
    <row r="687" customFormat="false" ht="15" hidden="false" customHeight="true" outlineLevel="0" collapsed="false">
      <c r="A687" s="27" t="s">
        <v>15761</v>
      </c>
      <c r="B687" s="27" t="s">
        <v>15762</v>
      </c>
      <c r="C687" s="27" t="s">
        <v>6278</v>
      </c>
      <c r="E687" s="27" t="s">
        <v>55</v>
      </c>
      <c r="F687" s="27" t="s">
        <v>6279</v>
      </c>
      <c r="G687" s="27" t="s">
        <v>215</v>
      </c>
      <c r="H687" s="27" t="s">
        <v>15763</v>
      </c>
      <c r="I687" s="27" t="s">
        <v>14151</v>
      </c>
      <c r="L687" s="27" t="s">
        <v>13309</v>
      </c>
      <c r="N687" s="27" t="s">
        <v>13309</v>
      </c>
      <c r="O687" s="27" t="s">
        <v>14151</v>
      </c>
      <c r="R687" s="27" t="s">
        <v>13309</v>
      </c>
      <c r="T687" s="27" t="s">
        <v>112</v>
      </c>
      <c r="V687" s="27" t="s">
        <v>3677</v>
      </c>
      <c r="W687" s="27" t="s">
        <v>14311</v>
      </c>
    </row>
    <row r="688" customFormat="false" ht="15" hidden="false" customHeight="true" outlineLevel="0" collapsed="false">
      <c r="A688" s="27" t="s">
        <v>5457</v>
      </c>
      <c r="B688" s="27" t="s">
        <v>6117</v>
      </c>
      <c r="C688" s="27" t="s">
        <v>3415</v>
      </c>
      <c r="E688" s="27" t="s">
        <v>55</v>
      </c>
      <c r="F688" s="27" t="s">
        <v>8104</v>
      </c>
      <c r="G688" s="27" t="s">
        <v>215</v>
      </c>
      <c r="H688" s="27" t="s">
        <v>15764</v>
      </c>
      <c r="T688" s="27" t="s">
        <v>112</v>
      </c>
      <c r="V688" s="27" t="s">
        <v>3416</v>
      </c>
      <c r="W688" s="27" t="s">
        <v>13522</v>
      </c>
    </row>
    <row r="689" customFormat="false" ht="15" hidden="false" customHeight="true" outlineLevel="0" collapsed="false">
      <c r="A689" s="27" t="s">
        <v>15765</v>
      </c>
      <c r="B689" s="27" t="s">
        <v>4375</v>
      </c>
      <c r="C689" s="27" t="s">
        <v>15766</v>
      </c>
      <c r="E689" s="27" t="s">
        <v>55</v>
      </c>
      <c r="F689" s="27" t="s">
        <v>14044</v>
      </c>
      <c r="G689" s="27" t="s">
        <v>215</v>
      </c>
      <c r="H689" s="27" t="s">
        <v>15767</v>
      </c>
      <c r="T689" s="27" t="s">
        <v>112</v>
      </c>
      <c r="V689" s="27" t="s">
        <v>15768</v>
      </c>
      <c r="W689" s="27" t="s">
        <v>13348</v>
      </c>
    </row>
    <row r="690" customFormat="false" ht="15" hidden="false" customHeight="true" outlineLevel="0" collapsed="false">
      <c r="A690" s="27" t="s">
        <v>15769</v>
      </c>
      <c r="B690" s="27" t="s">
        <v>15770</v>
      </c>
      <c r="C690" s="27" t="s">
        <v>2243</v>
      </c>
      <c r="E690" s="27" t="s">
        <v>55</v>
      </c>
      <c r="F690" s="27" t="s">
        <v>15771</v>
      </c>
      <c r="G690" s="27" t="s">
        <v>215</v>
      </c>
      <c r="H690" s="27" t="s">
        <v>15772</v>
      </c>
      <c r="I690" s="27" t="s">
        <v>13307</v>
      </c>
      <c r="J690" s="27" t="s">
        <v>13309</v>
      </c>
      <c r="K690" s="27" t="s">
        <v>13307</v>
      </c>
      <c r="L690" s="27" t="s">
        <v>13309</v>
      </c>
      <c r="M690" s="27" t="s">
        <v>13307</v>
      </c>
      <c r="N690" s="27" t="s">
        <v>13309</v>
      </c>
      <c r="O690" s="27" t="s">
        <v>13307</v>
      </c>
      <c r="P690" s="27" t="s">
        <v>13309</v>
      </c>
      <c r="Q690" s="27" t="s">
        <v>13307</v>
      </c>
      <c r="R690" s="27" t="s">
        <v>13309</v>
      </c>
      <c r="T690" s="27" t="s">
        <v>112</v>
      </c>
      <c r="V690" s="27" t="s">
        <v>2244</v>
      </c>
      <c r="W690" s="27" t="s">
        <v>13464</v>
      </c>
    </row>
    <row r="691" customFormat="false" ht="15" hidden="false" customHeight="true" outlineLevel="0" collapsed="false">
      <c r="A691" s="27" t="s">
        <v>4871</v>
      </c>
      <c r="B691" s="27" t="s">
        <v>2496</v>
      </c>
      <c r="C691" s="27" t="s">
        <v>15773</v>
      </c>
      <c r="E691" s="27" t="s">
        <v>55</v>
      </c>
      <c r="F691" s="27" t="s">
        <v>15774</v>
      </c>
      <c r="G691" s="27" t="s">
        <v>215</v>
      </c>
      <c r="H691" s="27" t="s">
        <v>15775</v>
      </c>
      <c r="T691" s="27" t="s">
        <v>112</v>
      </c>
      <c r="V691" s="27" t="s">
        <v>2387</v>
      </c>
      <c r="W691" s="27" t="s">
        <v>15776</v>
      </c>
    </row>
    <row r="692" customFormat="false" ht="15" hidden="false" customHeight="true" outlineLevel="0" collapsed="false">
      <c r="A692" s="27" t="s">
        <v>15777</v>
      </c>
      <c r="B692" s="27" t="s">
        <v>4073</v>
      </c>
      <c r="C692" s="27" t="s">
        <v>3415</v>
      </c>
      <c r="E692" s="27" t="s">
        <v>55</v>
      </c>
      <c r="G692" s="27" t="s">
        <v>215</v>
      </c>
      <c r="H692" s="27" t="s">
        <v>15778</v>
      </c>
      <c r="T692" s="27" t="s">
        <v>112</v>
      </c>
      <c r="V692" s="27" t="s">
        <v>3416</v>
      </c>
      <c r="W692" s="27" t="s">
        <v>13522</v>
      </c>
    </row>
    <row r="693" customFormat="false" ht="15" hidden="false" customHeight="true" outlineLevel="0" collapsed="false">
      <c r="A693" s="27" t="s">
        <v>15779</v>
      </c>
      <c r="B693" s="27" t="s">
        <v>15780</v>
      </c>
      <c r="C693" s="27" t="s">
        <v>3415</v>
      </c>
      <c r="E693" s="27" t="s">
        <v>55</v>
      </c>
      <c r="G693" s="27" t="s">
        <v>215</v>
      </c>
      <c r="H693" s="27" t="s">
        <v>15781</v>
      </c>
      <c r="T693" s="27" t="s">
        <v>112</v>
      </c>
      <c r="V693" s="27" t="s">
        <v>3416</v>
      </c>
      <c r="W693" s="27" t="s">
        <v>13522</v>
      </c>
    </row>
    <row r="694" customFormat="false" ht="15" hidden="false" customHeight="true" outlineLevel="0" collapsed="false">
      <c r="A694" s="27" t="s">
        <v>15782</v>
      </c>
      <c r="B694" s="27" t="s">
        <v>15783</v>
      </c>
      <c r="C694" s="27" t="s">
        <v>15784</v>
      </c>
      <c r="E694" s="27" t="s">
        <v>55</v>
      </c>
      <c r="G694" s="27" t="s">
        <v>215</v>
      </c>
      <c r="H694" s="27" t="s">
        <v>15785</v>
      </c>
      <c r="T694" s="27" t="s">
        <v>112</v>
      </c>
      <c r="V694" s="27" t="s">
        <v>3863</v>
      </c>
      <c r="W694" s="27" t="s">
        <v>14692</v>
      </c>
    </row>
    <row r="695" customFormat="false" ht="15" hidden="false" customHeight="true" outlineLevel="0" collapsed="false">
      <c r="A695" s="27" t="s">
        <v>15786</v>
      </c>
      <c r="B695" s="27" t="s">
        <v>117</v>
      </c>
      <c r="C695" s="27" t="s">
        <v>15787</v>
      </c>
      <c r="E695" s="27" t="s">
        <v>55</v>
      </c>
      <c r="F695" s="27" t="s">
        <v>15788</v>
      </c>
      <c r="G695" s="27" t="s">
        <v>215</v>
      </c>
      <c r="H695" s="27" t="s">
        <v>15789</v>
      </c>
      <c r="T695" s="27" t="s">
        <v>112</v>
      </c>
      <c r="V695" s="27" t="s">
        <v>3537</v>
      </c>
      <c r="W695" s="27" t="s">
        <v>14181</v>
      </c>
    </row>
    <row r="696" customFormat="false" ht="15" hidden="false" customHeight="true" outlineLevel="0" collapsed="false">
      <c r="A696" s="27" t="s">
        <v>15790</v>
      </c>
      <c r="B696" s="27" t="s">
        <v>8183</v>
      </c>
      <c r="C696" s="27" t="s">
        <v>15791</v>
      </c>
      <c r="E696" s="27" t="s">
        <v>55</v>
      </c>
      <c r="F696" s="27" t="s">
        <v>15792</v>
      </c>
      <c r="G696" s="27" t="s">
        <v>215</v>
      </c>
      <c r="H696" s="27" t="s">
        <v>15793</v>
      </c>
      <c r="T696" s="27" t="s">
        <v>112</v>
      </c>
      <c r="V696" s="27" t="s">
        <v>15794</v>
      </c>
      <c r="W696" s="27" t="s">
        <v>13592</v>
      </c>
    </row>
    <row r="697" customFormat="false" ht="15" hidden="false" customHeight="true" outlineLevel="0" collapsed="false">
      <c r="A697" s="27" t="s">
        <v>15795</v>
      </c>
      <c r="B697" s="27" t="s">
        <v>15796</v>
      </c>
      <c r="C697" s="27" t="s">
        <v>3258</v>
      </c>
      <c r="E697" s="27" t="s">
        <v>55</v>
      </c>
      <c r="F697" s="27" t="s">
        <v>7801</v>
      </c>
      <c r="G697" s="27" t="s">
        <v>215</v>
      </c>
      <c r="H697" s="27" t="s">
        <v>15797</v>
      </c>
      <c r="T697" s="27" t="s">
        <v>112</v>
      </c>
      <c r="V697" s="27" t="s">
        <v>3259</v>
      </c>
      <c r="W697" s="27" t="s">
        <v>13592</v>
      </c>
    </row>
    <row r="698" customFormat="false" ht="15" hidden="false" customHeight="true" outlineLevel="0" collapsed="false">
      <c r="A698" s="27" t="s">
        <v>15798</v>
      </c>
      <c r="B698" s="27" t="s">
        <v>2519</v>
      </c>
      <c r="C698" s="27" t="s">
        <v>2521</v>
      </c>
      <c r="E698" s="27" t="s">
        <v>55</v>
      </c>
      <c r="F698" s="27" t="s">
        <v>2522</v>
      </c>
      <c r="G698" s="27" t="s">
        <v>215</v>
      </c>
      <c r="H698" s="27" t="s">
        <v>15799</v>
      </c>
      <c r="I698" s="27" t="s">
        <v>13341</v>
      </c>
      <c r="J698" s="27" t="s">
        <v>13366</v>
      </c>
      <c r="K698" s="27" t="s">
        <v>13341</v>
      </c>
      <c r="L698" s="27" t="s">
        <v>13366</v>
      </c>
      <c r="M698" s="27" t="s">
        <v>14157</v>
      </c>
      <c r="N698" s="27" t="s">
        <v>13851</v>
      </c>
      <c r="T698" s="27" t="s">
        <v>112</v>
      </c>
      <c r="V698" s="27" t="s">
        <v>1002</v>
      </c>
      <c r="W698" s="27" t="s">
        <v>13531</v>
      </c>
    </row>
    <row r="699" customFormat="false" ht="15" hidden="false" customHeight="true" outlineLevel="0" collapsed="false">
      <c r="A699" s="27" t="s">
        <v>15800</v>
      </c>
      <c r="B699" s="27" t="s">
        <v>128</v>
      </c>
      <c r="C699" s="27" t="s">
        <v>8706</v>
      </c>
      <c r="E699" s="27" t="s">
        <v>55</v>
      </c>
      <c r="F699" s="27" t="s">
        <v>14044</v>
      </c>
      <c r="G699" s="27" t="s">
        <v>61</v>
      </c>
      <c r="H699" s="27" t="s">
        <v>15801</v>
      </c>
      <c r="T699" s="27" t="s">
        <v>112</v>
      </c>
      <c r="V699" s="27" t="s">
        <v>8707</v>
      </c>
      <c r="W699" s="27" t="s">
        <v>13348</v>
      </c>
    </row>
    <row r="700" customFormat="false" ht="15" hidden="false" customHeight="true" outlineLevel="0" collapsed="false">
      <c r="A700" s="27" t="s">
        <v>15802</v>
      </c>
      <c r="B700" s="27" t="s">
        <v>2254</v>
      </c>
      <c r="C700" s="27" t="s">
        <v>6278</v>
      </c>
      <c r="E700" s="27" t="s">
        <v>55</v>
      </c>
      <c r="F700" s="27" t="s">
        <v>6279</v>
      </c>
      <c r="G700" s="27" t="s">
        <v>1466</v>
      </c>
      <c r="H700" s="27" t="s">
        <v>15803</v>
      </c>
      <c r="J700" s="27" t="s">
        <v>13309</v>
      </c>
      <c r="L700" s="27" t="s">
        <v>13309</v>
      </c>
      <c r="M700" s="27" t="s">
        <v>14151</v>
      </c>
      <c r="O700" s="27" t="s">
        <v>14151</v>
      </c>
      <c r="R700" s="27" t="s">
        <v>13309</v>
      </c>
      <c r="T700" s="27" t="s">
        <v>112</v>
      </c>
      <c r="V700" s="27" t="s">
        <v>3677</v>
      </c>
      <c r="W700" s="27" t="s">
        <v>14311</v>
      </c>
    </row>
    <row r="701" customFormat="false" ht="15" hidden="false" customHeight="true" outlineLevel="0" collapsed="false">
      <c r="A701" s="27" t="s">
        <v>15804</v>
      </c>
      <c r="B701" s="27" t="s">
        <v>14516</v>
      </c>
      <c r="C701" s="27" t="s">
        <v>15766</v>
      </c>
      <c r="E701" s="27" t="s">
        <v>55</v>
      </c>
      <c r="F701" s="27" t="s">
        <v>14044</v>
      </c>
      <c r="G701" s="27" t="s">
        <v>215</v>
      </c>
      <c r="H701" s="27" t="s">
        <v>15805</v>
      </c>
      <c r="K701" s="27" t="s">
        <v>13315</v>
      </c>
      <c r="L701" s="27" t="s">
        <v>15225</v>
      </c>
      <c r="O701" s="27" t="s">
        <v>13315</v>
      </c>
      <c r="P701" s="27" t="s">
        <v>15225</v>
      </c>
      <c r="Q701" s="27" t="s">
        <v>13501</v>
      </c>
      <c r="T701" s="27" t="s">
        <v>112</v>
      </c>
      <c r="V701" s="27" t="s">
        <v>15768</v>
      </c>
      <c r="W701" s="27" t="s">
        <v>13348</v>
      </c>
    </row>
    <row r="702" customFormat="false" ht="15" hidden="false" customHeight="true" outlineLevel="0" collapsed="false">
      <c r="A702" s="27" t="s">
        <v>15806</v>
      </c>
      <c r="B702" s="27" t="s">
        <v>117</v>
      </c>
      <c r="C702" s="27" t="s">
        <v>15489</v>
      </c>
      <c r="E702" s="27" t="s">
        <v>55</v>
      </c>
      <c r="G702" s="27" t="s">
        <v>98</v>
      </c>
      <c r="H702" s="27" t="s">
        <v>15807</v>
      </c>
      <c r="T702" s="27" t="s">
        <v>112</v>
      </c>
      <c r="V702" s="27" t="s">
        <v>2788</v>
      </c>
      <c r="W702" s="27" t="s">
        <v>13374</v>
      </c>
    </row>
    <row r="703" customFormat="false" ht="15" hidden="false" customHeight="true" outlineLevel="0" collapsed="false">
      <c r="A703" s="27" t="s">
        <v>15808</v>
      </c>
      <c r="B703" s="27" t="s">
        <v>15809</v>
      </c>
      <c r="C703" s="27" t="s">
        <v>15810</v>
      </c>
      <c r="E703" s="27" t="s">
        <v>55</v>
      </c>
      <c r="G703" s="27" t="s">
        <v>215</v>
      </c>
      <c r="H703" s="27" t="s">
        <v>15811</v>
      </c>
      <c r="T703" s="27" t="s">
        <v>112</v>
      </c>
      <c r="V703" s="27" t="s">
        <v>14667</v>
      </c>
      <c r="W703" s="27" t="s">
        <v>13541</v>
      </c>
    </row>
    <row r="704" customFormat="false" ht="15" hidden="false" customHeight="true" outlineLevel="0" collapsed="false">
      <c r="A704" s="27" t="s">
        <v>3462</v>
      </c>
      <c r="B704" s="27" t="s">
        <v>204</v>
      </c>
      <c r="C704" s="27" t="s">
        <v>15812</v>
      </c>
      <c r="E704" s="27" t="s">
        <v>55</v>
      </c>
      <c r="G704" s="27" t="s">
        <v>215</v>
      </c>
      <c r="H704" s="27" t="s">
        <v>15813</v>
      </c>
      <c r="T704" s="27" t="s">
        <v>112</v>
      </c>
      <c r="V704" s="27" t="s">
        <v>4529</v>
      </c>
      <c r="W704" s="27" t="s">
        <v>14400</v>
      </c>
    </row>
    <row r="705" customFormat="false" ht="15" hidden="false" customHeight="true" outlineLevel="0" collapsed="false">
      <c r="A705" s="27" t="s">
        <v>15814</v>
      </c>
      <c r="B705" s="27" t="s">
        <v>1777</v>
      </c>
      <c r="C705" s="27" t="s">
        <v>15815</v>
      </c>
      <c r="E705" s="27" t="s">
        <v>55</v>
      </c>
      <c r="F705" s="27" t="s">
        <v>15816</v>
      </c>
      <c r="G705" s="27" t="s">
        <v>98</v>
      </c>
      <c r="H705" s="27" t="s">
        <v>15817</v>
      </c>
      <c r="T705" s="27" t="s">
        <v>112</v>
      </c>
      <c r="V705" s="27" t="s">
        <v>15818</v>
      </c>
      <c r="W705" s="27" t="s">
        <v>13348</v>
      </c>
    </row>
    <row r="706" customFormat="false" ht="15" hidden="false" customHeight="true" outlineLevel="0" collapsed="false">
      <c r="A706" s="27" t="s">
        <v>15819</v>
      </c>
      <c r="B706" s="27" t="s">
        <v>15820</v>
      </c>
      <c r="C706" s="27" t="s">
        <v>15812</v>
      </c>
      <c r="E706" s="27" t="s">
        <v>55</v>
      </c>
      <c r="F706" s="27" t="s">
        <v>15821</v>
      </c>
      <c r="G706" s="27" t="s">
        <v>215</v>
      </c>
      <c r="H706" s="27" t="s">
        <v>15822</v>
      </c>
      <c r="T706" s="27" t="s">
        <v>112</v>
      </c>
      <c r="V706" s="27" t="s">
        <v>4529</v>
      </c>
      <c r="W706" s="27" t="s">
        <v>14400</v>
      </c>
    </row>
    <row r="707" customFormat="false" ht="15" hidden="false" customHeight="true" outlineLevel="0" collapsed="false">
      <c r="A707" s="27" t="s">
        <v>15823</v>
      </c>
      <c r="B707" s="27" t="s">
        <v>1304</v>
      </c>
      <c r="C707" s="27" t="s">
        <v>1779</v>
      </c>
      <c r="E707" s="27" t="s">
        <v>55</v>
      </c>
      <c r="F707" s="27" t="s">
        <v>1780</v>
      </c>
      <c r="G707" s="27" t="s">
        <v>215</v>
      </c>
      <c r="H707" s="27" t="s">
        <v>15824</v>
      </c>
      <c r="J707" s="27" t="s">
        <v>13309</v>
      </c>
      <c r="K707" s="27" t="s">
        <v>13501</v>
      </c>
      <c r="L707" s="27" t="s">
        <v>13309</v>
      </c>
      <c r="N707" s="27" t="s">
        <v>13309</v>
      </c>
      <c r="O707" s="27" t="s">
        <v>13501</v>
      </c>
      <c r="P707" s="27" t="s">
        <v>13309</v>
      </c>
      <c r="T707" s="27" t="s">
        <v>112</v>
      </c>
      <c r="V707" s="27" t="s">
        <v>1138</v>
      </c>
      <c r="W707" s="27" t="s">
        <v>15825</v>
      </c>
    </row>
    <row r="708" customFormat="false" ht="15" hidden="false" customHeight="true" outlineLevel="0" collapsed="false">
      <c r="A708" s="27" t="s">
        <v>15826</v>
      </c>
      <c r="B708" s="27" t="s">
        <v>1143</v>
      </c>
      <c r="C708" s="27" t="s">
        <v>581</v>
      </c>
      <c r="E708" s="27" t="s">
        <v>11393</v>
      </c>
      <c r="G708" s="27" t="s">
        <v>61</v>
      </c>
      <c r="H708" s="27" t="s">
        <v>15827</v>
      </c>
      <c r="T708" s="27" t="s">
        <v>112</v>
      </c>
      <c r="V708" s="27" t="s">
        <v>80</v>
      </c>
      <c r="W708" s="27" t="s">
        <v>14370</v>
      </c>
    </row>
    <row r="709" customFormat="false" ht="15" hidden="false" customHeight="true" outlineLevel="0" collapsed="false">
      <c r="A709" s="27" t="s">
        <v>15828</v>
      </c>
      <c r="B709" s="27" t="s">
        <v>332</v>
      </c>
      <c r="C709" s="27" t="s">
        <v>14772</v>
      </c>
      <c r="E709" s="27" t="s">
        <v>11393</v>
      </c>
      <c r="F709" s="27" t="s">
        <v>15829</v>
      </c>
      <c r="G709" s="27" t="s">
        <v>61</v>
      </c>
      <c r="H709" s="27" t="s">
        <v>15830</v>
      </c>
      <c r="T709" s="27" t="s">
        <v>112</v>
      </c>
      <c r="V709" s="27" t="s">
        <v>14774</v>
      </c>
      <c r="W709" s="27" t="s">
        <v>13458</v>
      </c>
    </row>
    <row r="710" customFormat="false" ht="15" hidden="false" customHeight="true" outlineLevel="0" collapsed="false">
      <c r="A710" s="27" t="s">
        <v>15831</v>
      </c>
      <c r="B710" s="27" t="s">
        <v>15832</v>
      </c>
      <c r="C710" s="27" t="s">
        <v>1296</v>
      </c>
      <c r="E710" s="27" t="s">
        <v>11393</v>
      </c>
      <c r="G710" s="27" t="s">
        <v>215</v>
      </c>
      <c r="H710" s="27" t="s">
        <v>15833</v>
      </c>
      <c r="I710" s="27" t="s">
        <v>13307</v>
      </c>
      <c r="J710" s="27" t="s">
        <v>13308</v>
      </c>
      <c r="K710" s="27" t="s">
        <v>13307</v>
      </c>
      <c r="L710" s="27" t="s">
        <v>15542</v>
      </c>
      <c r="M710" s="27" t="s">
        <v>13507</v>
      </c>
      <c r="O710" s="27" t="s">
        <v>13307</v>
      </c>
      <c r="P710" s="27" t="s">
        <v>13308</v>
      </c>
      <c r="Q710" s="27" t="s">
        <v>14292</v>
      </c>
      <c r="T710" s="27" t="s">
        <v>112</v>
      </c>
      <c r="V710" s="27" t="s">
        <v>1297</v>
      </c>
      <c r="W710" s="27" t="s">
        <v>14807</v>
      </c>
    </row>
    <row r="711" customFormat="false" ht="15" hidden="false" customHeight="true" outlineLevel="0" collapsed="false">
      <c r="A711" s="27" t="s">
        <v>15834</v>
      </c>
      <c r="B711" s="27" t="s">
        <v>2081</v>
      </c>
      <c r="C711" s="27" t="s">
        <v>15835</v>
      </c>
      <c r="E711" s="27" t="s">
        <v>11393</v>
      </c>
      <c r="F711" s="27" t="s">
        <v>15836</v>
      </c>
      <c r="G711" s="27" t="s">
        <v>215</v>
      </c>
      <c r="H711" s="27" t="s">
        <v>15837</v>
      </c>
      <c r="J711" s="27" t="s">
        <v>13309</v>
      </c>
      <c r="L711" s="27" t="s">
        <v>13309</v>
      </c>
      <c r="P711" s="27" t="s">
        <v>13309</v>
      </c>
      <c r="R711" s="27" t="s">
        <v>13308</v>
      </c>
      <c r="T711" s="27" t="s">
        <v>112</v>
      </c>
      <c r="V711" s="27" t="s">
        <v>4254</v>
      </c>
      <c r="W711" s="27" t="s">
        <v>13492</v>
      </c>
    </row>
    <row r="712" customFormat="false" ht="15.75" hidden="false" customHeight="true" outlineLevel="0" collapsed="false">
      <c r="A712" s="27" t="s">
        <v>15838</v>
      </c>
      <c r="B712" s="27" t="s">
        <v>4073</v>
      </c>
      <c r="C712" s="27" t="s">
        <v>15839</v>
      </c>
      <c r="E712" s="27" t="s">
        <v>55</v>
      </c>
      <c r="F712" s="27" t="s">
        <v>15840</v>
      </c>
      <c r="G712" s="27" t="s">
        <v>215</v>
      </c>
      <c r="H712" s="27" t="s">
        <v>15841</v>
      </c>
      <c r="I712" s="27" t="s">
        <v>13307</v>
      </c>
      <c r="J712" s="27" t="s">
        <v>13309</v>
      </c>
      <c r="K712" s="27" t="s">
        <v>13307</v>
      </c>
      <c r="L712" s="27" t="s">
        <v>13309</v>
      </c>
      <c r="M712" s="27" t="s">
        <v>13307</v>
      </c>
      <c r="N712" s="27" t="s">
        <v>13309</v>
      </c>
      <c r="O712" s="27" t="s">
        <v>13307</v>
      </c>
      <c r="P712" s="27" t="s">
        <v>13309</v>
      </c>
      <c r="Q712" s="27" t="s">
        <v>13307</v>
      </c>
      <c r="R712" s="27" t="s">
        <v>13309</v>
      </c>
      <c r="T712" s="27" t="s">
        <v>112</v>
      </c>
      <c r="V712" s="27" t="s">
        <v>15842</v>
      </c>
      <c r="W712" s="27" t="s">
        <v>13353</v>
      </c>
    </row>
    <row r="713" customFormat="false" ht="15.75" hidden="false" customHeight="true" outlineLevel="0" collapsed="false">
      <c r="A713" s="27" t="s">
        <v>15843</v>
      </c>
      <c r="B713" s="27" t="s">
        <v>1156</v>
      </c>
      <c r="C713" s="27" t="s">
        <v>15839</v>
      </c>
      <c r="E713" s="27" t="s">
        <v>55</v>
      </c>
      <c r="F713" s="27" t="s">
        <v>15844</v>
      </c>
      <c r="G713" s="27" t="s">
        <v>215</v>
      </c>
      <c r="H713" s="27" t="s">
        <v>15845</v>
      </c>
      <c r="K713" s="27" t="s">
        <v>13307</v>
      </c>
      <c r="L713" s="27" t="s">
        <v>13309</v>
      </c>
      <c r="M713" s="27" t="s">
        <v>13307</v>
      </c>
      <c r="N713" s="27" t="s">
        <v>13309</v>
      </c>
      <c r="O713" s="27" t="s">
        <v>13307</v>
      </c>
      <c r="P713" s="27" t="s">
        <v>13309</v>
      </c>
      <c r="Q713" s="27" t="s">
        <v>13307</v>
      </c>
      <c r="R713" s="27" t="s">
        <v>13309</v>
      </c>
      <c r="T713" s="27" t="s">
        <v>112</v>
      </c>
      <c r="V713" s="27" t="s">
        <v>15842</v>
      </c>
      <c r="W713" s="27" t="s">
        <v>13353</v>
      </c>
    </row>
    <row r="714" customFormat="false" ht="15" hidden="false" customHeight="true" outlineLevel="0" collapsed="false">
      <c r="A714" s="27" t="s">
        <v>15846</v>
      </c>
      <c r="B714" s="27" t="s">
        <v>3248</v>
      </c>
      <c r="C714" s="27" t="s">
        <v>2796</v>
      </c>
      <c r="E714" s="27" t="s">
        <v>55</v>
      </c>
      <c r="G714" s="27" t="s">
        <v>215</v>
      </c>
      <c r="H714" s="27" t="s">
        <v>15847</v>
      </c>
      <c r="I714" s="27" t="s">
        <v>13373</v>
      </c>
      <c r="J714" s="27" t="s">
        <v>13309</v>
      </c>
      <c r="K714" s="27" t="s">
        <v>13373</v>
      </c>
      <c r="L714" s="27" t="s">
        <v>13309</v>
      </c>
      <c r="M714" s="27" t="s">
        <v>13373</v>
      </c>
      <c r="N714" s="27" t="s">
        <v>13309</v>
      </c>
      <c r="O714" s="27" t="s">
        <v>13307</v>
      </c>
      <c r="P714" s="27" t="s">
        <v>13367</v>
      </c>
      <c r="Q714" s="27" t="s">
        <v>13373</v>
      </c>
      <c r="R714" s="27" t="s">
        <v>13367</v>
      </c>
      <c r="T714" s="27" t="s">
        <v>112</v>
      </c>
      <c r="V714" s="27" t="s">
        <v>2797</v>
      </c>
      <c r="W714" s="27" t="s">
        <v>13379</v>
      </c>
    </row>
    <row r="715" customFormat="false" ht="15" hidden="false" customHeight="true" outlineLevel="0" collapsed="false">
      <c r="A715" s="27" t="s">
        <v>15848</v>
      </c>
      <c r="B715" s="27" t="s">
        <v>4112</v>
      </c>
      <c r="C715" s="27" t="s">
        <v>15849</v>
      </c>
      <c r="E715" s="27" t="s">
        <v>55</v>
      </c>
      <c r="F715" s="27" t="s">
        <v>15850</v>
      </c>
      <c r="G715" s="27" t="s">
        <v>1466</v>
      </c>
      <c r="H715" s="27" t="s">
        <v>15851</v>
      </c>
      <c r="I715" s="27" t="s">
        <v>13307</v>
      </c>
      <c r="J715" s="27" t="s">
        <v>15225</v>
      </c>
      <c r="K715" s="27" t="s">
        <v>13889</v>
      </c>
      <c r="P715" s="27" t="s">
        <v>15852</v>
      </c>
      <c r="Q715" s="27" t="s">
        <v>15853</v>
      </c>
      <c r="T715" s="27" t="s">
        <v>75</v>
      </c>
      <c r="V715" s="27" t="s">
        <v>6992</v>
      </c>
      <c r="W715" s="27" t="s">
        <v>13492</v>
      </c>
    </row>
    <row r="716" customFormat="false" ht="15" hidden="false" customHeight="true" outlineLevel="0" collapsed="false">
      <c r="A716" s="27" t="s">
        <v>15854</v>
      </c>
      <c r="B716" s="27" t="s">
        <v>15855</v>
      </c>
      <c r="C716" s="27" t="s">
        <v>3362</v>
      </c>
      <c r="E716" s="27" t="s">
        <v>55</v>
      </c>
      <c r="G716" s="27" t="s">
        <v>215</v>
      </c>
      <c r="H716" s="27" t="s">
        <v>15856</v>
      </c>
      <c r="T716" s="27" t="s">
        <v>75</v>
      </c>
      <c r="V716" s="27" t="s">
        <v>1041</v>
      </c>
      <c r="W716" s="27" t="s">
        <v>15621</v>
      </c>
    </row>
    <row r="717" customFormat="false" ht="17.25" hidden="false" customHeight="true" outlineLevel="0" collapsed="false">
      <c r="A717" s="27" t="s">
        <v>15857</v>
      </c>
      <c r="B717" s="27" t="s">
        <v>195</v>
      </c>
      <c r="C717" s="27" t="s">
        <v>3362</v>
      </c>
      <c r="E717" s="27" t="s">
        <v>55</v>
      </c>
      <c r="G717" s="27" t="s">
        <v>215</v>
      </c>
      <c r="H717" s="27" t="s">
        <v>15858</v>
      </c>
      <c r="T717" s="27" t="s">
        <v>75</v>
      </c>
      <c r="V717" s="27" t="s">
        <v>1041</v>
      </c>
      <c r="W717" s="27" t="s">
        <v>15621</v>
      </c>
    </row>
    <row r="718" customFormat="false" ht="15" hidden="false" customHeight="true" outlineLevel="0" collapsed="false">
      <c r="A718" s="27" t="s">
        <v>5457</v>
      </c>
      <c r="B718" s="27" t="s">
        <v>15859</v>
      </c>
      <c r="C718" s="27" t="s">
        <v>3362</v>
      </c>
      <c r="E718" s="27" t="s">
        <v>55</v>
      </c>
      <c r="G718" s="27" t="s">
        <v>98</v>
      </c>
      <c r="H718" s="27" t="s">
        <v>15860</v>
      </c>
      <c r="T718" s="27" t="s">
        <v>75</v>
      </c>
      <c r="V718" s="27" t="s">
        <v>1041</v>
      </c>
      <c r="W718" s="27" t="s">
        <v>15621</v>
      </c>
    </row>
    <row r="719" customFormat="false" ht="15" hidden="false" customHeight="true" outlineLevel="0" collapsed="false">
      <c r="A719" s="27" t="s">
        <v>15861</v>
      </c>
      <c r="B719" s="27" t="s">
        <v>15862</v>
      </c>
      <c r="C719" s="27" t="s">
        <v>3362</v>
      </c>
      <c r="E719" s="27" t="s">
        <v>55</v>
      </c>
      <c r="F719" s="27" t="s">
        <v>1029</v>
      </c>
      <c r="G719" s="27" t="s">
        <v>215</v>
      </c>
      <c r="H719" s="27" t="s">
        <v>15863</v>
      </c>
      <c r="T719" s="27" t="s">
        <v>75</v>
      </c>
      <c r="V719" s="27" t="s">
        <v>1041</v>
      </c>
      <c r="W719" s="27" t="s">
        <v>15621</v>
      </c>
    </row>
    <row r="720" customFormat="false" ht="15.75" hidden="false" customHeight="true" outlineLevel="0" collapsed="false">
      <c r="A720" s="27" t="s">
        <v>15864</v>
      </c>
      <c r="B720" s="27" t="s">
        <v>2640</v>
      </c>
      <c r="C720" s="27" t="s">
        <v>15865</v>
      </c>
      <c r="E720" s="27" t="s">
        <v>55</v>
      </c>
      <c r="F720" s="27" t="s">
        <v>15866</v>
      </c>
      <c r="G720" s="27" t="s">
        <v>61</v>
      </c>
      <c r="H720" s="27" t="s">
        <v>15867</v>
      </c>
      <c r="L720" s="27" t="s">
        <v>14679</v>
      </c>
      <c r="O720" s="27" t="s">
        <v>13307</v>
      </c>
      <c r="P720" s="27" t="s">
        <v>13366</v>
      </c>
      <c r="T720" s="27" t="s">
        <v>75</v>
      </c>
      <c r="V720" s="27" t="s">
        <v>1450</v>
      </c>
      <c r="W720" s="27" t="s">
        <v>13426</v>
      </c>
    </row>
    <row r="721" customFormat="false" ht="15" hidden="false" customHeight="true" outlineLevel="0" collapsed="false">
      <c r="A721" s="27" t="s">
        <v>15868</v>
      </c>
      <c r="B721" s="27" t="s">
        <v>1114</v>
      </c>
      <c r="C721" s="27" t="s">
        <v>7341</v>
      </c>
      <c r="E721" s="27" t="s">
        <v>55</v>
      </c>
      <c r="F721" s="27" t="s">
        <v>15869</v>
      </c>
      <c r="G721" s="27" t="s">
        <v>215</v>
      </c>
      <c r="H721" s="27" t="s">
        <v>15870</v>
      </c>
      <c r="T721" s="27" t="s">
        <v>75</v>
      </c>
      <c r="V721" s="27" t="s">
        <v>3105</v>
      </c>
      <c r="W721" s="27" t="s">
        <v>13454</v>
      </c>
    </row>
    <row r="722" customFormat="false" ht="15" hidden="false" customHeight="true" outlineLevel="0" collapsed="false">
      <c r="A722" s="27" t="s">
        <v>15871</v>
      </c>
      <c r="B722" s="27" t="s">
        <v>4778</v>
      </c>
      <c r="C722" s="27" t="s">
        <v>4780</v>
      </c>
      <c r="E722" s="27" t="s">
        <v>55</v>
      </c>
      <c r="G722" s="27" t="s">
        <v>215</v>
      </c>
      <c r="H722" s="27" t="s">
        <v>15872</v>
      </c>
      <c r="I722" s="27" t="s">
        <v>13307</v>
      </c>
      <c r="O722" s="27" t="s">
        <v>13307</v>
      </c>
      <c r="P722" s="27" t="s">
        <v>14763</v>
      </c>
      <c r="Q722" s="27" t="s">
        <v>13307</v>
      </c>
      <c r="R722" s="27" t="s">
        <v>14763</v>
      </c>
      <c r="T722" s="27" t="s">
        <v>75</v>
      </c>
      <c r="V722" s="27" t="s">
        <v>1340</v>
      </c>
      <c r="W722" s="27" t="s">
        <v>13522</v>
      </c>
    </row>
    <row r="723" customFormat="false" ht="15" hidden="false" customHeight="true" outlineLevel="0" collapsed="false">
      <c r="A723" s="27" t="s">
        <v>15873</v>
      </c>
      <c r="B723" s="27" t="s">
        <v>15874</v>
      </c>
      <c r="C723" s="27" t="s">
        <v>10753</v>
      </c>
      <c r="E723" s="27" t="s">
        <v>55</v>
      </c>
      <c r="F723" s="27" t="s">
        <v>15875</v>
      </c>
      <c r="G723" s="27" t="s">
        <v>215</v>
      </c>
      <c r="H723" s="27" t="s">
        <v>15876</v>
      </c>
      <c r="T723" s="27" t="s">
        <v>75</v>
      </c>
      <c r="V723" s="27" t="s">
        <v>175</v>
      </c>
      <c r="W723" s="27" t="s">
        <v>15040</v>
      </c>
    </row>
    <row r="724" customFormat="false" ht="15" hidden="false" customHeight="true" outlineLevel="0" collapsed="false">
      <c r="A724" s="27" t="s">
        <v>15877</v>
      </c>
      <c r="B724" s="27" t="s">
        <v>15878</v>
      </c>
      <c r="C724" s="27" t="s">
        <v>15879</v>
      </c>
      <c r="E724" s="27" t="s">
        <v>55</v>
      </c>
      <c r="F724" s="27" t="s">
        <v>15880</v>
      </c>
      <c r="G724" s="27" t="s">
        <v>215</v>
      </c>
      <c r="H724" s="27" t="s">
        <v>15881</v>
      </c>
      <c r="T724" s="27" t="s">
        <v>75</v>
      </c>
      <c r="V724" s="27" t="s">
        <v>15882</v>
      </c>
      <c r="W724" s="27" t="s">
        <v>13602</v>
      </c>
    </row>
    <row r="725" customFormat="false" ht="17.25" hidden="false" customHeight="true" outlineLevel="0" collapsed="false">
      <c r="A725" s="27" t="s">
        <v>15883</v>
      </c>
      <c r="B725" s="27" t="s">
        <v>15884</v>
      </c>
      <c r="C725" s="27" t="s">
        <v>1332</v>
      </c>
      <c r="E725" s="27" t="s">
        <v>55</v>
      </c>
      <c r="F725" s="27" t="s">
        <v>15885</v>
      </c>
      <c r="G725" s="27" t="s">
        <v>1466</v>
      </c>
      <c r="H725" s="27" t="s">
        <v>15886</v>
      </c>
      <c r="T725" s="27" t="s">
        <v>75</v>
      </c>
      <c r="V725" s="27" t="s">
        <v>1333</v>
      </c>
      <c r="W725" s="27" t="s">
        <v>13362</v>
      </c>
    </row>
    <row r="726" customFormat="false" ht="15" hidden="false" customHeight="true" outlineLevel="0" collapsed="false">
      <c r="A726" s="27" t="s">
        <v>15887</v>
      </c>
      <c r="B726" s="27" t="s">
        <v>543</v>
      </c>
      <c r="C726" s="27" t="s">
        <v>9106</v>
      </c>
      <c r="E726" s="27" t="s">
        <v>55</v>
      </c>
      <c r="F726" s="27" t="s">
        <v>15888</v>
      </c>
      <c r="G726" s="27" t="s">
        <v>215</v>
      </c>
      <c r="H726" s="27" t="s">
        <v>15889</v>
      </c>
      <c r="T726" s="27" t="s">
        <v>75</v>
      </c>
      <c r="V726" s="27" t="s">
        <v>9107</v>
      </c>
      <c r="W726" s="27" t="s">
        <v>13492</v>
      </c>
    </row>
    <row r="727" customFormat="false" ht="15" hidden="false" customHeight="true" outlineLevel="0" collapsed="false">
      <c r="A727" s="27" t="s">
        <v>15890</v>
      </c>
      <c r="B727" s="27" t="s">
        <v>811</v>
      </c>
      <c r="C727" s="27" t="s">
        <v>15865</v>
      </c>
      <c r="E727" s="27" t="s">
        <v>55</v>
      </c>
      <c r="F727" s="27" t="s">
        <v>8033</v>
      </c>
      <c r="G727" s="27" t="s">
        <v>215</v>
      </c>
      <c r="H727" s="27" t="s">
        <v>15891</v>
      </c>
      <c r="M727" s="27" t="s">
        <v>13307</v>
      </c>
      <c r="N727" s="27" t="s">
        <v>13308</v>
      </c>
      <c r="O727" s="27" t="s">
        <v>15430</v>
      </c>
      <c r="P727" s="27" t="s">
        <v>13308</v>
      </c>
      <c r="Q727" s="27" t="s">
        <v>15892</v>
      </c>
      <c r="R727" s="27" t="s">
        <v>15378</v>
      </c>
      <c r="T727" s="27" t="s">
        <v>75</v>
      </c>
      <c r="V727" s="27" t="s">
        <v>1450</v>
      </c>
      <c r="W727" s="27" t="s">
        <v>13426</v>
      </c>
    </row>
    <row r="728" customFormat="false" ht="15.75" hidden="false" customHeight="true" outlineLevel="0" collapsed="false">
      <c r="A728" s="27" t="s">
        <v>6980</v>
      </c>
      <c r="B728" s="27" t="s">
        <v>1007</v>
      </c>
      <c r="C728" s="27" t="s">
        <v>1792</v>
      </c>
      <c r="E728" s="27" t="s">
        <v>55</v>
      </c>
      <c r="F728" s="27" t="s">
        <v>15893</v>
      </c>
      <c r="G728" s="27" t="s">
        <v>215</v>
      </c>
      <c r="H728" s="27" t="s">
        <v>15894</v>
      </c>
      <c r="J728" s="27" t="s">
        <v>13309</v>
      </c>
      <c r="O728" s="27" t="s">
        <v>13751</v>
      </c>
      <c r="R728" s="27" t="s">
        <v>13309</v>
      </c>
      <c r="T728" s="27" t="s">
        <v>75</v>
      </c>
      <c r="V728" s="27" t="s">
        <v>743</v>
      </c>
      <c r="W728" s="27" t="s">
        <v>14002</v>
      </c>
    </row>
    <row r="729" customFormat="false" ht="17.25" hidden="false" customHeight="true" outlineLevel="0" collapsed="false">
      <c r="A729" s="27" t="s">
        <v>15895</v>
      </c>
      <c r="B729" s="27" t="s">
        <v>1859</v>
      </c>
      <c r="C729" s="27" t="s">
        <v>3362</v>
      </c>
      <c r="E729" s="27" t="s">
        <v>55</v>
      </c>
      <c r="G729" s="27" t="s">
        <v>215</v>
      </c>
      <c r="H729" s="27" t="s">
        <v>15896</v>
      </c>
      <c r="T729" s="27" t="s">
        <v>75</v>
      </c>
      <c r="V729" s="27" t="s">
        <v>1041</v>
      </c>
      <c r="W729" s="27" t="s">
        <v>15621</v>
      </c>
    </row>
    <row r="730" customFormat="false" ht="15" hidden="false" customHeight="true" outlineLevel="0" collapsed="false">
      <c r="A730" s="27" t="s">
        <v>15897</v>
      </c>
      <c r="B730" s="27" t="s">
        <v>15898</v>
      </c>
      <c r="C730" s="27" t="s">
        <v>3362</v>
      </c>
      <c r="E730" s="27" t="s">
        <v>55</v>
      </c>
      <c r="G730" s="27" t="s">
        <v>98</v>
      </c>
      <c r="H730" s="27" t="s">
        <v>15899</v>
      </c>
      <c r="T730" s="27" t="s">
        <v>75</v>
      </c>
      <c r="V730" s="27" t="s">
        <v>1041</v>
      </c>
      <c r="W730" s="27" t="s">
        <v>15621</v>
      </c>
    </row>
    <row r="731" customFormat="false" ht="17.25" hidden="false" customHeight="true" outlineLevel="0" collapsed="false">
      <c r="A731" s="27" t="s">
        <v>15900</v>
      </c>
      <c r="B731" s="27" t="s">
        <v>15901</v>
      </c>
      <c r="C731" s="27" t="s">
        <v>3362</v>
      </c>
      <c r="E731" s="27" t="s">
        <v>55</v>
      </c>
      <c r="G731" s="27" t="s">
        <v>215</v>
      </c>
      <c r="H731" s="27" t="s">
        <v>15902</v>
      </c>
      <c r="T731" s="27" t="s">
        <v>75</v>
      </c>
      <c r="V731" s="27" t="s">
        <v>1041</v>
      </c>
      <c r="W731" s="27" t="s">
        <v>15621</v>
      </c>
    </row>
    <row r="732" customFormat="false" ht="17.25" hidden="false" customHeight="true" outlineLevel="0" collapsed="false">
      <c r="A732" s="27" t="s">
        <v>1837</v>
      </c>
      <c r="B732" s="27" t="s">
        <v>183</v>
      </c>
      <c r="C732" s="27" t="s">
        <v>15865</v>
      </c>
      <c r="E732" s="27" t="s">
        <v>55</v>
      </c>
      <c r="F732" s="27" t="s">
        <v>8033</v>
      </c>
      <c r="G732" s="27" t="s">
        <v>61</v>
      </c>
      <c r="H732" s="27" t="s">
        <v>15903</v>
      </c>
      <c r="T732" s="27" t="s">
        <v>75</v>
      </c>
      <c r="V732" s="27" t="s">
        <v>1450</v>
      </c>
      <c r="W732" s="27" t="s">
        <v>13426</v>
      </c>
    </row>
    <row r="733" customFormat="false" ht="15" hidden="false" customHeight="true" outlineLevel="0" collapsed="false">
      <c r="A733" s="27" t="s">
        <v>14843</v>
      </c>
      <c r="B733" s="27" t="s">
        <v>1007</v>
      </c>
      <c r="C733" s="27" t="s">
        <v>4780</v>
      </c>
      <c r="E733" s="27" t="s">
        <v>55</v>
      </c>
      <c r="F733" s="27" t="s">
        <v>4781</v>
      </c>
      <c r="G733" s="27" t="s">
        <v>215</v>
      </c>
      <c r="H733" s="27" t="s">
        <v>15904</v>
      </c>
      <c r="T733" s="27" t="s">
        <v>75</v>
      </c>
      <c r="V733" s="27" t="s">
        <v>1340</v>
      </c>
      <c r="W733" s="27" t="s">
        <v>13522</v>
      </c>
    </row>
    <row r="734" customFormat="false" ht="17.25" hidden="false" customHeight="true" outlineLevel="0" collapsed="false">
      <c r="A734" s="27" t="s">
        <v>15905</v>
      </c>
      <c r="B734" s="27" t="s">
        <v>15906</v>
      </c>
      <c r="C734" s="27" t="s">
        <v>15865</v>
      </c>
      <c r="E734" s="27" t="s">
        <v>55</v>
      </c>
      <c r="F734" s="27" t="s">
        <v>1029</v>
      </c>
      <c r="G734" s="27" t="s">
        <v>98</v>
      </c>
      <c r="H734" s="27" t="s">
        <v>15907</v>
      </c>
      <c r="T734" s="27" t="s">
        <v>75</v>
      </c>
      <c r="V734" s="27" t="s">
        <v>1450</v>
      </c>
      <c r="W734" s="27" t="s">
        <v>13426</v>
      </c>
    </row>
    <row r="735" customFormat="false" ht="15" hidden="false" customHeight="true" outlineLevel="0" collapsed="false">
      <c r="A735" s="27" t="s">
        <v>15908</v>
      </c>
      <c r="B735" s="27" t="s">
        <v>1007</v>
      </c>
      <c r="C735" s="27" t="s">
        <v>3457</v>
      </c>
      <c r="E735" s="27" t="s">
        <v>55</v>
      </c>
      <c r="F735" s="27" t="s">
        <v>15440</v>
      </c>
      <c r="G735" s="27" t="s">
        <v>215</v>
      </c>
      <c r="H735" s="27" t="s">
        <v>15909</v>
      </c>
      <c r="T735" s="27" t="s">
        <v>75</v>
      </c>
      <c r="V735" s="27" t="s">
        <v>3458</v>
      </c>
      <c r="W735" s="27" t="s">
        <v>13611</v>
      </c>
    </row>
    <row r="736" customFormat="false" ht="15" hidden="false" customHeight="true" outlineLevel="0" collapsed="false">
      <c r="A736" s="27" t="s">
        <v>6060</v>
      </c>
      <c r="B736" s="27" t="s">
        <v>15910</v>
      </c>
      <c r="C736" s="27" t="s">
        <v>3457</v>
      </c>
      <c r="E736" s="27" t="s">
        <v>55</v>
      </c>
      <c r="F736" s="27" t="s">
        <v>4668</v>
      </c>
      <c r="G736" s="27" t="s">
        <v>215</v>
      </c>
      <c r="H736" s="27" t="s">
        <v>15911</v>
      </c>
      <c r="T736" s="27" t="s">
        <v>75</v>
      </c>
      <c r="V736" s="27" t="s">
        <v>3458</v>
      </c>
      <c r="W736" s="27" t="s">
        <v>13611</v>
      </c>
    </row>
    <row r="737" customFormat="false" ht="17.25" hidden="false" customHeight="true" outlineLevel="0" collapsed="false">
      <c r="A737" s="27" t="s">
        <v>15912</v>
      </c>
      <c r="B737" s="27" t="s">
        <v>1114</v>
      </c>
      <c r="C737" s="27" t="s">
        <v>4002</v>
      </c>
      <c r="E737" s="27" t="s">
        <v>55</v>
      </c>
      <c r="G737" s="27" t="s">
        <v>215</v>
      </c>
      <c r="H737" s="27" t="s">
        <v>15913</v>
      </c>
      <c r="T737" s="27" t="s">
        <v>75</v>
      </c>
      <c r="V737" s="27" t="s">
        <v>4003</v>
      </c>
      <c r="W737" s="27" t="s">
        <v>13379</v>
      </c>
    </row>
    <row r="738" customFormat="false" ht="17.25" hidden="false" customHeight="true" outlineLevel="0" collapsed="false">
      <c r="A738" s="27" t="s">
        <v>15914</v>
      </c>
      <c r="B738" s="27" t="s">
        <v>15915</v>
      </c>
      <c r="C738" s="27" t="s">
        <v>15916</v>
      </c>
      <c r="E738" s="27" t="s">
        <v>55</v>
      </c>
      <c r="F738" s="27" t="s">
        <v>15917</v>
      </c>
      <c r="G738" s="27" t="s">
        <v>215</v>
      </c>
      <c r="H738" s="27" t="s">
        <v>15918</v>
      </c>
      <c r="T738" s="27" t="s">
        <v>75</v>
      </c>
      <c r="V738" s="27" t="s">
        <v>15919</v>
      </c>
      <c r="W738" s="27" t="s">
        <v>13345</v>
      </c>
    </row>
    <row r="739" customFormat="false" ht="15" hidden="false" customHeight="true" outlineLevel="0" collapsed="false">
      <c r="A739" s="27" t="s">
        <v>15920</v>
      </c>
      <c r="B739" s="27" t="s">
        <v>7619</v>
      </c>
      <c r="C739" s="27" t="s">
        <v>3457</v>
      </c>
      <c r="E739" s="27" t="s">
        <v>55</v>
      </c>
      <c r="G739" s="27" t="s">
        <v>215</v>
      </c>
      <c r="H739" s="27" t="s">
        <v>15921</v>
      </c>
      <c r="T739" s="27" t="s">
        <v>75</v>
      </c>
      <c r="V739" s="27" t="s">
        <v>3458</v>
      </c>
      <c r="W739" s="27" t="s">
        <v>13611</v>
      </c>
    </row>
    <row r="740" customFormat="false" ht="15" hidden="false" customHeight="true" outlineLevel="0" collapsed="false">
      <c r="A740" s="27" t="s">
        <v>15922</v>
      </c>
      <c r="B740" s="27" t="s">
        <v>4324</v>
      </c>
      <c r="C740" s="27" t="s">
        <v>10066</v>
      </c>
      <c r="E740" s="27" t="s">
        <v>55</v>
      </c>
      <c r="F740" s="27" t="s">
        <v>15923</v>
      </c>
      <c r="G740" s="27" t="s">
        <v>215</v>
      </c>
      <c r="H740" s="27" t="s">
        <v>15924</v>
      </c>
      <c r="K740" s="27" t="s">
        <v>13307</v>
      </c>
      <c r="L740" s="27" t="s">
        <v>13309</v>
      </c>
      <c r="M740" s="27" t="s">
        <v>13307</v>
      </c>
      <c r="N740" s="27" t="s">
        <v>13309</v>
      </c>
      <c r="P740" s="27" t="s">
        <v>15925</v>
      </c>
      <c r="R740" s="27" t="s">
        <v>13309</v>
      </c>
      <c r="T740" s="27" t="s">
        <v>75</v>
      </c>
      <c r="V740" s="27" t="s">
        <v>10067</v>
      </c>
      <c r="W740" s="27" t="s">
        <v>13592</v>
      </c>
    </row>
    <row r="741" customFormat="false" ht="15" hidden="false" customHeight="true" outlineLevel="0" collapsed="false">
      <c r="A741" s="27" t="s">
        <v>15926</v>
      </c>
      <c r="B741" s="27" t="s">
        <v>612</v>
      </c>
      <c r="C741" s="27" t="s">
        <v>8822</v>
      </c>
      <c r="E741" s="27" t="s">
        <v>55</v>
      </c>
      <c r="F741" s="27" t="s">
        <v>15927</v>
      </c>
      <c r="G741" s="27" t="s">
        <v>215</v>
      </c>
      <c r="H741" s="27" t="s">
        <v>15928</v>
      </c>
      <c r="T741" s="27" t="s">
        <v>75</v>
      </c>
      <c r="V741" s="27" t="s">
        <v>5621</v>
      </c>
      <c r="W741" s="27" t="s">
        <v>13957</v>
      </c>
    </row>
    <row r="742" customFormat="false" ht="15" hidden="false" customHeight="true" outlineLevel="0" collapsed="false">
      <c r="A742" s="27" t="s">
        <v>15929</v>
      </c>
      <c r="B742" s="27" t="s">
        <v>15930</v>
      </c>
      <c r="C742" s="27" t="s">
        <v>2362</v>
      </c>
      <c r="E742" s="27" t="s">
        <v>55</v>
      </c>
      <c r="F742" s="27" t="s">
        <v>2364</v>
      </c>
      <c r="G742" s="27" t="s">
        <v>61</v>
      </c>
      <c r="H742" s="27" t="s">
        <v>15931</v>
      </c>
      <c r="T742" s="27" t="s">
        <v>75</v>
      </c>
      <c r="V742" s="27" t="s">
        <v>2363</v>
      </c>
      <c r="W742" s="27" t="s">
        <v>13345</v>
      </c>
    </row>
    <row r="743" customFormat="false" ht="15" hidden="false" customHeight="true" outlineLevel="0" collapsed="false">
      <c r="A743" s="27" t="s">
        <v>15932</v>
      </c>
      <c r="B743" s="27" t="s">
        <v>182</v>
      </c>
      <c r="C743" s="27" t="s">
        <v>14216</v>
      </c>
      <c r="E743" s="27" t="s">
        <v>55</v>
      </c>
      <c r="G743" s="27" t="s">
        <v>215</v>
      </c>
      <c r="H743" s="27" t="s">
        <v>15933</v>
      </c>
      <c r="T743" s="27" t="s">
        <v>75</v>
      </c>
      <c r="V743" s="27" t="s">
        <v>588</v>
      </c>
      <c r="W743" s="27" t="s">
        <v>14219</v>
      </c>
    </row>
    <row r="744" customFormat="false" ht="17.25" hidden="false" customHeight="true" outlineLevel="0" collapsed="false">
      <c r="A744" s="27" t="s">
        <v>2987</v>
      </c>
      <c r="B744" s="27" t="s">
        <v>15934</v>
      </c>
      <c r="C744" s="27" t="s">
        <v>14216</v>
      </c>
      <c r="E744" s="27" t="s">
        <v>55</v>
      </c>
      <c r="G744" s="27" t="s">
        <v>215</v>
      </c>
      <c r="H744" s="27" t="s">
        <v>15935</v>
      </c>
      <c r="T744" s="27" t="s">
        <v>75</v>
      </c>
      <c r="V744" s="27" t="s">
        <v>588</v>
      </c>
      <c r="W744" s="27" t="s">
        <v>14219</v>
      </c>
    </row>
    <row r="745" customFormat="false" ht="17.25" hidden="false" customHeight="true" outlineLevel="0" collapsed="false">
      <c r="A745" s="27" t="s">
        <v>15936</v>
      </c>
      <c r="B745" s="27" t="s">
        <v>231</v>
      </c>
      <c r="C745" s="27" t="s">
        <v>14216</v>
      </c>
      <c r="E745" s="27" t="s">
        <v>55</v>
      </c>
      <c r="F745" s="27" t="s">
        <v>15937</v>
      </c>
      <c r="G745" s="27" t="s">
        <v>215</v>
      </c>
      <c r="H745" s="27" t="s">
        <v>15938</v>
      </c>
      <c r="T745" s="27" t="s">
        <v>75</v>
      </c>
      <c r="V745" s="27" t="s">
        <v>588</v>
      </c>
      <c r="W745" s="27" t="s">
        <v>14219</v>
      </c>
    </row>
    <row r="746" customFormat="false" ht="15" hidden="false" customHeight="true" outlineLevel="0" collapsed="false">
      <c r="A746" s="27" t="s">
        <v>15939</v>
      </c>
      <c r="B746" s="27" t="s">
        <v>8088</v>
      </c>
      <c r="C746" s="27" t="s">
        <v>15940</v>
      </c>
      <c r="E746" s="27" t="s">
        <v>55</v>
      </c>
      <c r="F746" s="27" t="s">
        <v>15941</v>
      </c>
      <c r="G746" s="27" t="s">
        <v>215</v>
      </c>
      <c r="H746" s="27" t="s">
        <v>15942</v>
      </c>
      <c r="T746" s="27" t="s">
        <v>75</v>
      </c>
      <c r="V746" s="27" t="s">
        <v>974</v>
      </c>
      <c r="W746" s="27" t="s">
        <v>15060</v>
      </c>
    </row>
    <row r="747" customFormat="false" ht="17.25" hidden="false" customHeight="true" outlineLevel="0" collapsed="false">
      <c r="A747" s="27" t="s">
        <v>15943</v>
      </c>
      <c r="B747" s="27" t="s">
        <v>15944</v>
      </c>
      <c r="C747" s="27" t="s">
        <v>973</v>
      </c>
      <c r="E747" s="27" t="s">
        <v>55</v>
      </c>
      <c r="F747" s="27" t="s">
        <v>14170</v>
      </c>
      <c r="G747" s="27" t="s">
        <v>215</v>
      </c>
      <c r="H747" s="27" t="s">
        <v>15945</v>
      </c>
      <c r="J747" s="27" t="s">
        <v>13308</v>
      </c>
      <c r="Q747" s="27" t="s">
        <v>15946</v>
      </c>
      <c r="T747" s="27" t="s">
        <v>75</v>
      </c>
      <c r="V747" s="27" t="s">
        <v>974</v>
      </c>
      <c r="W747" s="27" t="s">
        <v>13686</v>
      </c>
    </row>
    <row r="748" customFormat="false" ht="15" hidden="false" customHeight="true" outlineLevel="0" collapsed="false">
      <c r="A748" s="27" t="s">
        <v>15947</v>
      </c>
      <c r="B748" s="27" t="s">
        <v>848</v>
      </c>
      <c r="C748" s="27" t="s">
        <v>973</v>
      </c>
      <c r="E748" s="27" t="s">
        <v>55</v>
      </c>
      <c r="G748" s="27" t="s">
        <v>61</v>
      </c>
      <c r="H748" s="27" t="s">
        <v>15948</v>
      </c>
      <c r="T748" s="27" t="s">
        <v>75</v>
      </c>
      <c r="V748" s="27" t="s">
        <v>974</v>
      </c>
      <c r="W748" s="27" t="s">
        <v>13686</v>
      </c>
    </row>
    <row r="749" customFormat="false" ht="15" hidden="false" customHeight="true" outlineLevel="0" collapsed="false">
      <c r="A749" s="27" t="s">
        <v>15949</v>
      </c>
      <c r="B749" s="27" t="s">
        <v>14712</v>
      </c>
      <c r="C749" s="27" t="s">
        <v>15950</v>
      </c>
      <c r="E749" s="27" t="s">
        <v>55</v>
      </c>
      <c r="G749" s="27" t="s">
        <v>215</v>
      </c>
      <c r="H749" s="27" t="s">
        <v>15951</v>
      </c>
      <c r="K749" s="27" t="s">
        <v>15952</v>
      </c>
      <c r="M749" s="27" t="s">
        <v>14156</v>
      </c>
      <c r="N749" s="27" t="s">
        <v>15352</v>
      </c>
      <c r="O749" s="27" t="s">
        <v>14156</v>
      </c>
      <c r="P749" s="27" t="s">
        <v>15352</v>
      </c>
      <c r="Q749" s="27" t="s">
        <v>15953</v>
      </c>
      <c r="T749" s="27" t="s">
        <v>75</v>
      </c>
      <c r="V749" s="27" t="s">
        <v>15954</v>
      </c>
      <c r="W749" s="27" t="s">
        <v>13592</v>
      </c>
    </row>
    <row r="750" customFormat="false" ht="15" hidden="false" customHeight="true" outlineLevel="0" collapsed="false">
      <c r="A750" s="27" t="s">
        <v>15955</v>
      </c>
      <c r="B750" s="27" t="s">
        <v>2640</v>
      </c>
      <c r="C750" s="27" t="s">
        <v>973</v>
      </c>
      <c r="E750" s="27" t="s">
        <v>55</v>
      </c>
      <c r="F750" s="27" t="s">
        <v>14170</v>
      </c>
      <c r="G750" s="27" t="s">
        <v>61</v>
      </c>
      <c r="H750" s="27" t="s">
        <v>15956</v>
      </c>
      <c r="L750" s="27" t="s">
        <v>13309</v>
      </c>
      <c r="O750" s="27" t="s">
        <v>15957</v>
      </c>
      <c r="R750" s="27" t="s">
        <v>13309</v>
      </c>
      <c r="T750" s="27" t="s">
        <v>75</v>
      </c>
      <c r="V750" s="27" t="s">
        <v>974</v>
      </c>
      <c r="W750" s="27" t="s">
        <v>13686</v>
      </c>
    </row>
    <row r="751" customFormat="false" ht="15" hidden="false" customHeight="true" outlineLevel="0" collapsed="false">
      <c r="A751" s="27" t="s">
        <v>3984</v>
      </c>
      <c r="B751" s="27" t="s">
        <v>3825</v>
      </c>
      <c r="C751" s="27" t="s">
        <v>15958</v>
      </c>
      <c r="E751" s="27" t="s">
        <v>55</v>
      </c>
      <c r="F751" s="27" t="s">
        <v>15959</v>
      </c>
      <c r="G751" s="27" t="s">
        <v>215</v>
      </c>
      <c r="H751" s="27" t="s">
        <v>15960</v>
      </c>
      <c r="K751" s="27" t="s">
        <v>14298</v>
      </c>
      <c r="O751" s="27" t="s">
        <v>13463</v>
      </c>
      <c r="P751" s="27" t="s">
        <v>13367</v>
      </c>
      <c r="R751" s="27" t="s">
        <v>15961</v>
      </c>
      <c r="T751" s="27" t="s">
        <v>75</v>
      </c>
      <c r="V751" s="27" t="s">
        <v>15962</v>
      </c>
      <c r="W751" s="27" t="s">
        <v>13631</v>
      </c>
    </row>
    <row r="752" customFormat="false" ht="15" hidden="false" customHeight="true" outlineLevel="0" collapsed="false">
      <c r="A752" s="27" t="s">
        <v>15963</v>
      </c>
      <c r="B752" s="27" t="s">
        <v>1600</v>
      </c>
      <c r="C752" s="27" t="s">
        <v>917</v>
      </c>
      <c r="E752" s="27" t="s">
        <v>55</v>
      </c>
      <c r="G752" s="27" t="s">
        <v>215</v>
      </c>
      <c r="H752" s="27" t="s">
        <v>15964</v>
      </c>
      <c r="I752" s="27" t="s">
        <v>13463</v>
      </c>
      <c r="J752" s="27" t="s">
        <v>13309</v>
      </c>
      <c r="K752" s="27" t="s">
        <v>13307</v>
      </c>
      <c r="L752" s="27" t="s">
        <v>13367</v>
      </c>
      <c r="M752" s="27" t="s">
        <v>15965</v>
      </c>
      <c r="O752" s="27" t="s">
        <v>13307</v>
      </c>
      <c r="P752" s="27" t="s">
        <v>13367</v>
      </c>
      <c r="Q752" s="27" t="s">
        <v>14100</v>
      </c>
      <c r="R752" s="27" t="s">
        <v>13888</v>
      </c>
      <c r="T752" s="27" t="s">
        <v>75</v>
      </c>
      <c r="V752" s="27" t="s">
        <v>918</v>
      </c>
      <c r="W752" s="27" t="s">
        <v>13788</v>
      </c>
    </row>
    <row r="753" customFormat="false" ht="15" hidden="false" customHeight="true" outlineLevel="0" collapsed="false">
      <c r="A753" s="27" t="s">
        <v>15966</v>
      </c>
      <c r="B753" s="27" t="s">
        <v>685</v>
      </c>
      <c r="C753" s="27" t="s">
        <v>15967</v>
      </c>
      <c r="E753" s="27" t="s">
        <v>55</v>
      </c>
      <c r="G753" s="27" t="s">
        <v>215</v>
      </c>
      <c r="H753" s="27" t="s">
        <v>15968</v>
      </c>
      <c r="T753" s="27" t="s">
        <v>75</v>
      </c>
      <c r="V753" s="27" t="s">
        <v>15969</v>
      </c>
      <c r="W753" s="27" t="s">
        <v>13331</v>
      </c>
    </row>
    <row r="754" customFormat="false" ht="15" hidden="false" customHeight="true" outlineLevel="0" collapsed="false">
      <c r="A754" s="27" t="s">
        <v>15970</v>
      </c>
      <c r="B754" s="27" t="s">
        <v>1007</v>
      </c>
      <c r="C754" s="27" t="s">
        <v>15971</v>
      </c>
      <c r="E754" s="27" t="s">
        <v>55</v>
      </c>
      <c r="F754" s="27" t="s">
        <v>15972</v>
      </c>
      <c r="G754" s="27" t="s">
        <v>215</v>
      </c>
      <c r="H754" s="27" t="s">
        <v>15973</v>
      </c>
      <c r="I754" s="27" t="s">
        <v>14292</v>
      </c>
      <c r="K754" s="27" t="s">
        <v>13751</v>
      </c>
      <c r="L754" s="27" t="s">
        <v>13310</v>
      </c>
      <c r="O754" s="27" t="s">
        <v>13501</v>
      </c>
      <c r="P754" s="27" t="s">
        <v>15974</v>
      </c>
      <c r="Q754" s="27" t="s">
        <v>13501</v>
      </c>
      <c r="T754" s="27" t="s">
        <v>75</v>
      </c>
      <c r="V754" s="27" t="s">
        <v>1687</v>
      </c>
      <c r="W754" s="27" t="s">
        <v>13454</v>
      </c>
    </row>
    <row r="755" customFormat="false" ht="15" hidden="false" customHeight="true" outlineLevel="0" collapsed="false">
      <c r="A755" s="27" t="s">
        <v>15975</v>
      </c>
      <c r="B755" s="27" t="s">
        <v>242</v>
      </c>
      <c r="C755" s="27" t="s">
        <v>15976</v>
      </c>
      <c r="E755" s="27" t="s">
        <v>55</v>
      </c>
      <c r="G755" s="27" t="s">
        <v>1466</v>
      </c>
      <c r="H755" s="27" t="s">
        <v>15977</v>
      </c>
      <c r="T755" s="27" t="s">
        <v>75</v>
      </c>
      <c r="V755" s="27" t="s">
        <v>2982</v>
      </c>
      <c r="W755" s="27" t="s">
        <v>13335</v>
      </c>
    </row>
    <row r="756" customFormat="false" ht="15" hidden="false" customHeight="true" outlineLevel="0" collapsed="false">
      <c r="A756" s="27" t="s">
        <v>8257</v>
      </c>
      <c r="B756" s="27" t="s">
        <v>353</v>
      </c>
      <c r="C756" s="27" t="s">
        <v>14560</v>
      </c>
      <c r="E756" s="27" t="s">
        <v>55</v>
      </c>
      <c r="F756" s="27" t="s">
        <v>14561</v>
      </c>
      <c r="G756" s="27" t="s">
        <v>98</v>
      </c>
      <c r="H756" s="27" t="s">
        <v>15978</v>
      </c>
      <c r="I756" s="27" t="s">
        <v>14135</v>
      </c>
      <c r="J756" s="27" t="s">
        <v>13309</v>
      </c>
      <c r="K756" s="27" t="s">
        <v>14135</v>
      </c>
      <c r="L756" s="27" t="s">
        <v>13309</v>
      </c>
      <c r="M756" s="27" t="s">
        <v>14135</v>
      </c>
      <c r="N756" s="27" t="s">
        <v>14341</v>
      </c>
      <c r="O756" s="27" t="s">
        <v>14135</v>
      </c>
      <c r="P756" s="27" t="s">
        <v>13309</v>
      </c>
      <c r="Q756" s="27" t="s">
        <v>14135</v>
      </c>
      <c r="R756" s="27" t="s">
        <v>13309</v>
      </c>
      <c r="T756" s="27" t="s">
        <v>75</v>
      </c>
      <c r="V756" s="27" t="s">
        <v>14354</v>
      </c>
      <c r="W756" s="27" t="s">
        <v>14563</v>
      </c>
    </row>
    <row r="757" customFormat="false" ht="15" hidden="false" customHeight="true" outlineLevel="0" collapsed="false">
      <c r="A757" s="27" t="s">
        <v>15979</v>
      </c>
      <c r="B757" s="27" t="s">
        <v>15980</v>
      </c>
      <c r="C757" s="27" t="s">
        <v>1861</v>
      </c>
      <c r="E757" s="27" t="s">
        <v>11393</v>
      </c>
      <c r="G757" s="27" t="s">
        <v>215</v>
      </c>
      <c r="H757" s="27" t="s">
        <v>15981</v>
      </c>
      <c r="J757" s="27" t="s">
        <v>13404</v>
      </c>
      <c r="K757" s="27" t="s">
        <v>13307</v>
      </c>
      <c r="L757" s="27" t="s">
        <v>13309</v>
      </c>
      <c r="P757" s="27" t="s">
        <v>15982</v>
      </c>
      <c r="T757" s="27" t="s">
        <v>75</v>
      </c>
      <c r="V757" s="27" t="s">
        <v>1297</v>
      </c>
      <c r="W757" s="27" t="s">
        <v>14219</v>
      </c>
    </row>
    <row r="758" customFormat="false" ht="17.25" hidden="false" customHeight="true" outlineLevel="0" collapsed="false">
      <c r="A758" s="27" t="s">
        <v>3216</v>
      </c>
      <c r="B758" s="27" t="s">
        <v>90</v>
      </c>
      <c r="C758" s="27" t="s">
        <v>14809</v>
      </c>
      <c r="E758" s="27" t="s">
        <v>11393</v>
      </c>
      <c r="F758" s="27" t="s">
        <v>216</v>
      </c>
      <c r="G758" s="27" t="s">
        <v>61</v>
      </c>
      <c r="H758" s="27" t="s">
        <v>15983</v>
      </c>
      <c r="T758" s="27" t="s">
        <v>75</v>
      </c>
      <c r="V758" s="27" t="s">
        <v>80</v>
      </c>
      <c r="W758" s="27" t="s">
        <v>13508</v>
      </c>
    </row>
    <row r="759" customFormat="false" ht="15" hidden="false" customHeight="true" outlineLevel="0" collapsed="false">
      <c r="A759" s="27" t="s">
        <v>15984</v>
      </c>
      <c r="B759" s="27" t="s">
        <v>958</v>
      </c>
      <c r="C759" s="27" t="s">
        <v>1254</v>
      </c>
      <c r="E759" s="27" t="s">
        <v>11393</v>
      </c>
      <c r="G759" s="27" t="s">
        <v>98</v>
      </c>
      <c r="H759" s="27" t="s">
        <v>15985</v>
      </c>
      <c r="T759" s="27" t="s">
        <v>75</v>
      </c>
      <c r="V759" s="27" t="s">
        <v>379</v>
      </c>
      <c r="W759" s="27" t="s">
        <v>13977</v>
      </c>
    </row>
    <row r="760" customFormat="false" ht="17.25" hidden="false" customHeight="true" outlineLevel="0" collapsed="false">
      <c r="A760" s="27" t="s">
        <v>15986</v>
      </c>
      <c r="B760" s="27" t="s">
        <v>182</v>
      </c>
      <c r="C760" s="27" t="s">
        <v>3578</v>
      </c>
      <c r="E760" s="27" t="s">
        <v>11393</v>
      </c>
      <c r="G760" s="27" t="s">
        <v>215</v>
      </c>
      <c r="H760" s="27" t="s">
        <v>15987</v>
      </c>
      <c r="I760" s="27" t="s">
        <v>13463</v>
      </c>
      <c r="J760" s="27" t="s">
        <v>13310</v>
      </c>
      <c r="T760" s="27" t="s">
        <v>75</v>
      </c>
      <c r="V760" s="27" t="s">
        <v>80</v>
      </c>
      <c r="W760" s="27" t="s">
        <v>14437</v>
      </c>
    </row>
    <row r="761" customFormat="false" ht="15" hidden="false" customHeight="true" outlineLevel="0" collapsed="false">
      <c r="A761" s="27" t="s">
        <v>15988</v>
      </c>
      <c r="B761" s="27" t="s">
        <v>652</v>
      </c>
      <c r="C761" s="27" t="s">
        <v>15989</v>
      </c>
      <c r="E761" s="27" t="s">
        <v>11393</v>
      </c>
      <c r="F761" s="27" t="s">
        <v>15990</v>
      </c>
      <c r="G761" s="27" t="s">
        <v>215</v>
      </c>
      <c r="H761" s="27" t="s">
        <v>15991</v>
      </c>
      <c r="T761" s="27" t="s">
        <v>75</v>
      </c>
      <c r="V761" s="27" t="s">
        <v>379</v>
      </c>
      <c r="W761" s="27" t="s">
        <v>14563</v>
      </c>
    </row>
    <row r="762" customFormat="false" ht="17.25" hidden="false" customHeight="true" outlineLevel="0" collapsed="false">
      <c r="A762" s="27" t="s">
        <v>15992</v>
      </c>
      <c r="B762" s="27" t="s">
        <v>7680</v>
      </c>
      <c r="C762" s="27" t="s">
        <v>14809</v>
      </c>
      <c r="E762" s="27" t="s">
        <v>11393</v>
      </c>
      <c r="G762" s="27" t="s">
        <v>215</v>
      </c>
      <c r="H762" s="27" t="s">
        <v>15993</v>
      </c>
      <c r="T762" s="27" t="s">
        <v>75</v>
      </c>
      <c r="V762" s="27" t="s">
        <v>80</v>
      </c>
      <c r="W762" s="27" t="s">
        <v>13508</v>
      </c>
    </row>
    <row r="763" customFormat="false" ht="15" hidden="false" customHeight="true" outlineLevel="0" collapsed="false">
      <c r="A763" s="27" t="s">
        <v>15994</v>
      </c>
      <c r="B763" s="27" t="s">
        <v>15995</v>
      </c>
      <c r="C763" s="27" t="s">
        <v>79</v>
      </c>
      <c r="E763" s="27" t="s">
        <v>11393</v>
      </c>
      <c r="G763" s="27" t="s">
        <v>98</v>
      </c>
      <c r="H763" s="27" t="s">
        <v>15996</v>
      </c>
      <c r="T763" s="27" t="s">
        <v>75</v>
      </c>
      <c r="V763" s="27" t="s">
        <v>80</v>
      </c>
      <c r="W763" s="27" t="s">
        <v>13925</v>
      </c>
    </row>
    <row r="764" customFormat="false" ht="17.25" hidden="false" customHeight="true" outlineLevel="0" collapsed="false">
      <c r="A764" s="27" t="s">
        <v>5051</v>
      </c>
      <c r="B764" s="27" t="s">
        <v>1403</v>
      </c>
      <c r="C764" s="27" t="s">
        <v>5054</v>
      </c>
      <c r="E764" s="27" t="s">
        <v>11393</v>
      </c>
      <c r="F764" s="27" t="s">
        <v>15997</v>
      </c>
      <c r="G764" s="27" t="s">
        <v>215</v>
      </c>
      <c r="H764" s="27" t="s">
        <v>15998</v>
      </c>
      <c r="T764" s="27" t="s">
        <v>75</v>
      </c>
      <c r="V764" s="27" t="s">
        <v>5055</v>
      </c>
      <c r="W764" s="27" t="s">
        <v>15521</v>
      </c>
    </row>
    <row r="765" customFormat="false" ht="15" hidden="false" customHeight="true" outlineLevel="0" collapsed="false">
      <c r="A765" s="27" t="s">
        <v>15363</v>
      </c>
      <c r="B765" s="27" t="s">
        <v>320</v>
      </c>
      <c r="C765" s="27" t="s">
        <v>15112</v>
      </c>
      <c r="E765" s="27" t="s">
        <v>55</v>
      </c>
      <c r="G765" s="27" t="s">
        <v>98</v>
      </c>
      <c r="H765" s="27" t="s">
        <v>15999</v>
      </c>
      <c r="T765" s="27" t="s">
        <v>75</v>
      </c>
      <c r="V765" s="27" t="s">
        <v>15026</v>
      </c>
      <c r="W765" s="27" t="s">
        <v>13335</v>
      </c>
    </row>
    <row r="766" customFormat="false" ht="15" hidden="false" customHeight="true" outlineLevel="0" collapsed="false">
      <c r="A766" s="27" t="s">
        <v>16000</v>
      </c>
      <c r="B766" s="27" t="s">
        <v>16001</v>
      </c>
      <c r="C766" s="27" t="s">
        <v>15112</v>
      </c>
      <c r="E766" s="27" t="s">
        <v>55</v>
      </c>
      <c r="G766" s="27" t="s">
        <v>215</v>
      </c>
      <c r="H766" s="27" t="s">
        <v>16002</v>
      </c>
      <c r="T766" s="27" t="s">
        <v>75</v>
      </c>
      <c r="V766" s="27" t="s">
        <v>15026</v>
      </c>
      <c r="W766" s="27" t="s">
        <v>13335</v>
      </c>
    </row>
    <row r="767" customFormat="false" ht="15" hidden="false" customHeight="true" outlineLevel="0" collapsed="false">
      <c r="A767" s="27" t="s">
        <v>16003</v>
      </c>
      <c r="B767" s="27" t="s">
        <v>151</v>
      </c>
      <c r="C767" s="27" t="s">
        <v>14962</v>
      </c>
      <c r="E767" s="27" t="s">
        <v>55</v>
      </c>
      <c r="F767" s="27" t="s">
        <v>16004</v>
      </c>
      <c r="G767" s="27" t="s">
        <v>215</v>
      </c>
      <c r="H767" s="27" t="s">
        <v>16005</v>
      </c>
      <c r="T767" s="27" t="s">
        <v>75</v>
      </c>
      <c r="V767" s="27" t="s">
        <v>3334</v>
      </c>
      <c r="W767" s="27" t="s">
        <v>13358</v>
      </c>
    </row>
    <row r="768" customFormat="false" ht="15" hidden="false" customHeight="true" outlineLevel="0" collapsed="false">
      <c r="A768" s="27" t="s">
        <v>16006</v>
      </c>
      <c r="B768" s="27" t="s">
        <v>221</v>
      </c>
      <c r="C768" s="27" t="s">
        <v>16007</v>
      </c>
      <c r="E768" s="27" t="s">
        <v>55</v>
      </c>
      <c r="F768" s="27" t="s">
        <v>16008</v>
      </c>
      <c r="G768" s="27" t="s">
        <v>215</v>
      </c>
      <c r="H768" s="27" t="s">
        <v>16009</v>
      </c>
      <c r="T768" s="27" t="s">
        <v>75</v>
      </c>
      <c r="V768" s="27" t="s">
        <v>16010</v>
      </c>
      <c r="W768" s="27" t="s">
        <v>14680</v>
      </c>
    </row>
    <row r="769" customFormat="false" ht="15" hidden="false" customHeight="true" outlineLevel="0" collapsed="false">
      <c r="A769" s="27" t="s">
        <v>16011</v>
      </c>
      <c r="B769" s="27" t="s">
        <v>399</v>
      </c>
      <c r="C769" s="27" t="s">
        <v>14943</v>
      </c>
      <c r="E769" s="27" t="s">
        <v>55</v>
      </c>
      <c r="F769" s="27" t="s">
        <v>16012</v>
      </c>
      <c r="G769" s="27" t="s">
        <v>215</v>
      </c>
      <c r="H769" s="27" t="s">
        <v>16013</v>
      </c>
      <c r="K769" s="27" t="s">
        <v>13341</v>
      </c>
      <c r="L769" s="27" t="s">
        <v>13309</v>
      </c>
      <c r="N769" s="27" t="s">
        <v>13309</v>
      </c>
      <c r="Q769" s="27" t="s">
        <v>13341</v>
      </c>
      <c r="R769" s="27" t="s">
        <v>13309</v>
      </c>
      <c r="T769" s="27" t="s">
        <v>75</v>
      </c>
      <c r="V769" s="27" t="s">
        <v>4514</v>
      </c>
      <c r="W769" s="27" t="s">
        <v>13374</v>
      </c>
    </row>
    <row r="770" customFormat="false" ht="15" hidden="false" customHeight="true" outlineLevel="0" collapsed="false">
      <c r="A770" s="27" t="s">
        <v>16014</v>
      </c>
      <c r="B770" s="27" t="s">
        <v>1130</v>
      </c>
      <c r="C770" s="27" t="s">
        <v>15112</v>
      </c>
      <c r="E770" s="27" t="s">
        <v>55</v>
      </c>
      <c r="G770" s="27" t="s">
        <v>215</v>
      </c>
      <c r="H770" s="27" t="s">
        <v>16015</v>
      </c>
      <c r="T770" s="27" t="s">
        <v>75</v>
      </c>
      <c r="V770" s="27" t="s">
        <v>15026</v>
      </c>
      <c r="W770" s="27" t="s">
        <v>13335</v>
      </c>
    </row>
    <row r="771" customFormat="false" ht="15" hidden="false" customHeight="true" outlineLevel="0" collapsed="false">
      <c r="A771" s="27" t="s">
        <v>16016</v>
      </c>
      <c r="B771" s="27" t="s">
        <v>839</v>
      </c>
      <c r="C771" s="27" t="s">
        <v>16017</v>
      </c>
      <c r="E771" s="27" t="s">
        <v>55</v>
      </c>
      <c r="G771" s="27" t="s">
        <v>98</v>
      </c>
      <c r="H771" s="27" t="s">
        <v>16018</v>
      </c>
      <c r="T771" s="27" t="s">
        <v>75</v>
      </c>
      <c r="V771" s="27" t="s">
        <v>16019</v>
      </c>
      <c r="W771" s="27" t="s">
        <v>13348</v>
      </c>
    </row>
    <row r="772" customFormat="false" ht="15" hidden="false" customHeight="true" outlineLevel="0" collapsed="false">
      <c r="A772" s="27" t="s">
        <v>9030</v>
      </c>
      <c r="B772" s="27" t="s">
        <v>353</v>
      </c>
      <c r="C772" s="27" t="s">
        <v>15112</v>
      </c>
      <c r="E772" s="27" t="s">
        <v>55</v>
      </c>
      <c r="F772" s="27" t="s">
        <v>15113</v>
      </c>
      <c r="G772" s="27" t="s">
        <v>1466</v>
      </c>
      <c r="H772" s="27" t="s">
        <v>16020</v>
      </c>
      <c r="T772" s="27" t="s">
        <v>75</v>
      </c>
      <c r="V772" s="27" t="s">
        <v>15026</v>
      </c>
      <c r="W772" s="27" t="s">
        <v>13335</v>
      </c>
    </row>
    <row r="773" customFormat="false" ht="15" hidden="false" customHeight="true" outlineLevel="0" collapsed="false">
      <c r="A773" s="27" t="s">
        <v>16021</v>
      </c>
      <c r="B773" s="27" t="s">
        <v>1355</v>
      </c>
      <c r="C773" s="27" t="s">
        <v>4418</v>
      </c>
      <c r="E773" s="27" t="s">
        <v>55</v>
      </c>
      <c r="F773" s="27" t="s">
        <v>16022</v>
      </c>
      <c r="G773" s="27" t="s">
        <v>215</v>
      </c>
      <c r="H773" s="27" t="s">
        <v>16023</v>
      </c>
      <c r="T773" s="27" t="s">
        <v>75</v>
      </c>
      <c r="V773" s="27" t="s">
        <v>2804</v>
      </c>
      <c r="W773" s="27" t="s">
        <v>13458</v>
      </c>
    </row>
    <row r="774" customFormat="false" ht="15" hidden="false" customHeight="true" outlineLevel="0" collapsed="false">
      <c r="A774" s="27" t="s">
        <v>16024</v>
      </c>
      <c r="B774" s="27" t="s">
        <v>4169</v>
      </c>
      <c r="C774" s="27" t="s">
        <v>15112</v>
      </c>
      <c r="E774" s="27" t="s">
        <v>55</v>
      </c>
      <c r="G774" s="27" t="s">
        <v>215</v>
      </c>
      <c r="H774" s="27" t="s">
        <v>16025</v>
      </c>
      <c r="T774" s="27" t="s">
        <v>75</v>
      </c>
      <c r="V774" s="27" t="s">
        <v>15026</v>
      </c>
      <c r="W774" s="27" t="s">
        <v>13335</v>
      </c>
    </row>
    <row r="775" customFormat="false" ht="15" hidden="false" customHeight="true" outlineLevel="0" collapsed="false">
      <c r="A775" s="27" t="s">
        <v>16026</v>
      </c>
      <c r="B775" s="27" t="s">
        <v>652</v>
      </c>
      <c r="C775" s="27" t="s">
        <v>1332</v>
      </c>
      <c r="E775" s="27" t="s">
        <v>55</v>
      </c>
      <c r="G775" s="27" t="s">
        <v>215</v>
      </c>
      <c r="H775" s="27" t="s">
        <v>16027</v>
      </c>
      <c r="T775" s="27" t="s">
        <v>268</v>
      </c>
      <c r="V775" s="27" t="s">
        <v>1333</v>
      </c>
      <c r="W775" s="27" t="s">
        <v>13362</v>
      </c>
    </row>
    <row r="776" customFormat="false" ht="15" hidden="false" customHeight="true" outlineLevel="0" collapsed="false">
      <c r="A776" s="27" t="s">
        <v>16028</v>
      </c>
      <c r="B776" s="27" t="s">
        <v>9921</v>
      </c>
      <c r="C776" s="27" t="s">
        <v>7406</v>
      </c>
      <c r="E776" s="27" t="s">
        <v>55</v>
      </c>
      <c r="F776" s="27" t="s">
        <v>16029</v>
      </c>
      <c r="G776" s="27" t="s">
        <v>215</v>
      </c>
      <c r="H776" s="27" t="s">
        <v>16030</v>
      </c>
      <c r="T776" s="27" t="s">
        <v>268</v>
      </c>
      <c r="V776" s="27" t="s">
        <v>175</v>
      </c>
      <c r="W776" s="27" t="s">
        <v>16031</v>
      </c>
    </row>
    <row r="777" customFormat="false" ht="15" hidden="false" customHeight="true" outlineLevel="0" collapsed="false">
      <c r="A777" s="27" t="s">
        <v>16032</v>
      </c>
      <c r="B777" s="27" t="s">
        <v>16033</v>
      </c>
      <c r="C777" s="27" t="s">
        <v>1987</v>
      </c>
      <c r="E777" s="27" t="s">
        <v>55</v>
      </c>
      <c r="F777" s="27" t="s">
        <v>16034</v>
      </c>
      <c r="G777" s="27" t="s">
        <v>98</v>
      </c>
      <c r="H777" s="27" t="s">
        <v>16035</v>
      </c>
      <c r="I777" s="27" t="s">
        <v>16036</v>
      </c>
      <c r="J777" s="27" t="s">
        <v>16037</v>
      </c>
      <c r="K777" s="27" t="s">
        <v>13307</v>
      </c>
      <c r="L777" s="27" t="s">
        <v>13310</v>
      </c>
      <c r="O777" s="27" t="s">
        <v>16038</v>
      </c>
      <c r="P777" s="27" t="s">
        <v>16039</v>
      </c>
      <c r="Q777" s="27" t="s">
        <v>13307</v>
      </c>
      <c r="R777" s="27" t="s">
        <v>13310</v>
      </c>
      <c r="T777" s="27" t="s">
        <v>268</v>
      </c>
      <c r="V777" s="27" t="s">
        <v>1988</v>
      </c>
      <c r="W777" s="27" t="s">
        <v>13617</v>
      </c>
    </row>
    <row r="778" customFormat="false" ht="15" hidden="false" customHeight="true" outlineLevel="0" collapsed="false">
      <c r="A778" s="27" t="s">
        <v>16040</v>
      </c>
      <c r="B778" s="27" t="s">
        <v>593</v>
      </c>
      <c r="C778" s="27" t="s">
        <v>16041</v>
      </c>
      <c r="E778" s="27" t="s">
        <v>55</v>
      </c>
      <c r="G778" s="27" t="s">
        <v>215</v>
      </c>
      <c r="H778" s="27" t="s">
        <v>16042</v>
      </c>
      <c r="T778" s="27" t="s">
        <v>268</v>
      </c>
      <c r="V778" s="27" t="s">
        <v>16043</v>
      </c>
      <c r="W778" s="27" t="s">
        <v>13592</v>
      </c>
    </row>
    <row r="779" customFormat="false" ht="17.25" hidden="false" customHeight="true" outlineLevel="0" collapsed="false">
      <c r="A779" s="27" t="s">
        <v>16044</v>
      </c>
      <c r="B779" s="27" t="s">
        <v>2901</v>
      </c>
      <c r="C779" s="27" t="s">
        <v>16045</v>
      </c>
      <c r="E779" s="27" t="s">
        <v>55</v>
      </c>
      <c r="F779" s="27" t="s">
        <v>16046</v>
      </c>
      <c r="G779" s="27" t="s">
        <v>61</v>
      </c>
      <c r="H779" s="27" t="s">
        <v>16047</v>
      </c>
      <c r="K779" s="27" t="s">
        <v>14100</v>
      </c>
      <c r="L779" s="27" t="s">
        <v>14046</v>
      </c>
      <c r="M779" s="27" t="s">
        <v>14100</v>
      </c>
      <c r="N779" s="27" t="s">
        <v>14046</v>
      </c>
      <c r="O779" s="27" t="s">
        <v>14100</v>
      </c>
      <c r="P779" s="27" t="s">
        <v>14046</v>
      </c>
      <c r="Q779" s="27" t="s">
        <v>14100</v>
      </c>
      <c r="R779" s="27" t="s">
        <v>14046</v>
      </c>
      <c r="T779" s="27" t="s">
        <v>268</v>
      </c>
      <c r="V779" s="27" t="s">
        <v>3058</v>
      </c>
      <c r="W779" s="27" t="s">
        <v>16048</v>
      </c>
    </row>
    <row r="780" customFormat="false" ht="15" hidden="false" customHeight="true" outlineLevel="0" collapsed="false">
      <c r="A780" s="27" t="s">
        <v>16049</v>
      </c>
      <c r="B780" s="27" t="s">
        <v>1438</v>
      </c>
      <c r="C780" s="27" t="s">
        <v>3790</v>
      </c>
      <c r="E780" s="27" t="s">
        <v>55</v>
      </c>
      <c r="F780" s="27" t="s">
        <v>16050</v>
      </c>
      <c r="G780" s="27" t="s">
        <v>61</v>
      </c>
      <c r="H780" s="27" t="s">
        <v>16051</v>
      </c>
      <c r="T780" s="27" t="s">
        <v>268</v>
      </c>
      <c r="V780" s="27" t="s">
        <v>3791</v>
      </c>
      <c r="W780" s="27" t="s">
        <v>13331</v>
      </c>
    </row>
    <row r="781" customFormat="false" ht="15" hidden="false" customHeight="true" outlineLevel="0" collapsed="false">
      <c r="A781" s="27" t="s">
        <v>16052</v>
      </c>
      <c r="B781" s="27" t="s">
        <v>494</v>
      </c>
      <c r="C781" s="27" t="s">
        <v>16053</v>
      </c>
      <c r="E781" s="27" t="s">
        <v>55</v>
      </c>
      <c r="F781" s="27" t="s">
        <v>1019</v>
      </c>
      <c r="G781" s="27" t="s">
        <v>345</v>
      </c>
      <c r="H781" s="27" t="s">
        <v>16054</v>
      </c>
      <c r="T781" s="27" t="s">
        <v>268</v>
      </c>
      <c r="V781" s="27" t="s">
        <v>1018</v>
      </c>
      <c r="W781" s="27" t="s">
        <v>13379</v>
      </c>
    </row>
    <row r="782" customFormat="false" ht="15" hidden="false" customHeight="true" outlineLevel="0" collapsed="false">
      <c r="A782" s="27" t="s">
        <v>16055</v>
      </c>
      <c r="B782" s="27" t="s">
        <v>170</v>
      </c>
      <c r="C782" s="27" t="s">
        <v>9055</v>
      </c>
      <c r="E782" s="27" t="s">
        <v>55</v>
      </c>
      <c r="G782" s="27" t="s">
        <v>215</v>
      </c>
      <c r="H782" s="27" t="s">
        <v>16056</v>
      </c>
      <c r="T782" s="27" t="s">
        <v>268</v>
      </c>
      <c r="V782" s="27" t="s">
        <v>9056</v>
      </c>
      <c r="W782" s="27" t="s">
        <v>13464</v>
      </c>
    </row>
    <row r="783" customFormat="false" ht="15" hidden="false" customHeight="true" outlineLevel="0" collapsed="false">
      <c r="A783" s="27" t="s">
        <v>16057</v>
      </c>
      <c r="B783" s="27" t="s">
        <v>643</v>
      </c>
      <c r="C783" s="27" t="s">
        <v>16058</v>
      </c>
      <c r="E783" s="27" t="s">
        <v>55</v>
      </c>
      <c r="F783" s="27" t="s">
        <v>16059</v>
      </c>
      <c r="G783" s="27" t="s">
        <v>98</v>
      </c>
      <c r="H783" s="27" t="s">
        <v>16060</v>
      </c>
      <c r="K783" s="27" t="s">
        <v>15953</v>
      </c>
      <c r="M783" s="27" t="s">
        <v>15953</v>
      </c>
      <c r="T783" s="27" t="s">
        <v>268</v>
      </c>
      <c r="V783" s="27" t="s">
        <v>16061</v>
      </c>
      <c r="W783" s="27" t="s">
        <v>13464</v>
      </c>
    </row>
    <row r="784" customFormat="false" ht="15" hidden="false" customHeight="true" outlineLevel="0" collapsed="false">
      <c r="A784" s="27" t="s">
        <v>16062</v>
      </c>
      <c r="B784" s="27" t="s">
        <v>7200</v>
      </c>
      <c r="C784" s="27" t="s">
        <v>3617</v>
      </c>
      <c r="E784" s="27" t="s">
        <v>55</v>
      </c>
      <c r="G784" s="27" t="s">
        <v>98</v>
      </c>
      <c r="H784" s="27" t="s">
        <v>16063</v>
      </c>
      <c r="T784" s="27" t="s">
        <v>268</v>
      </c>
      <c r="V784" s="27" t="s">
        <v>3465</v>
      </c>
      <c r="W784" s="27" t="s">
        <v>13599</v>
      </c>
    </row>
    <row r="785" customFormat="false" ht="15" hidden="false" customHeight="true" outlineLevel="0" collapsed="false">
      <c r="A785" s="27" t="s">
        <v>16064</v>
      </c>
      <c r="B785" s="27" t="s">
        <v>1135</v>
      </c>
      <c r="C785" s="27" t="s">
        <v>6265</v>
      </c>
      <c r="E785" s="27" t="s">
        <v>55</v>
      </c>
      <c r="F785" s="27" t="s">
        <v>6266</v>
      </c>
      <c r="G785" s="27" t="s">
        <v>215</v>
      </c>
      <c r="H785" s="27" t="s">
        <v>16065</v>
      </c>
      <c r="I785" s="27" t="s">
        <v>13315</v>
      </c>
      <c r="J785" s="27" t="s">
        <v>14763</v>
      </c>
      <c r="K785" s="27" t="s">
        <v>13315</v>
      </c>
      <c r="L785" s="27" t="s">
        <v>13310</v>
      </c>
      <c r="M785" s="27" t="s">
        <v>13315</v>
      </c>
      <c r="N785" s="27" t="s">
        <v>13310</v>
      </c>
      <c r="T785" s="27" t="s">
        <v>268</v>
      </c>
      <c r="V785" s="27" t="s">
        <v>1340</v>
      </c>
      <c r="W785" s="27" t="s">
        <v>16066</v>
      </c>
    </row>
    <row r="786" customFormat="false" ht="15" hidden="false" customHeight="true" outlineLevel="0" collapsed="false">
      <c r="A786" s="27" t="s">
        <v>16067</v>
      </c>
      <c r="B786" s="27" t="s">
        <v>204</v>
      </c>
      <c r="C786" s="27" t="s">
        <v>16068</v>
      </c>
      <c r="E786" s="27" t="s">
        <v>55</v>
      </c>
      <c r="F786" s="27" t="s">
        <v>16069</v>
      </c>
      <c r="G786" s="27" t="s">
        <v>61</v>
      </c>
      <c r="H786" s="27" t="s">
        <v>16070</v>
      </c>
      <c r="T786" s="27" t="s">
        <v>268</v>
      </c>
      <c r="V786" s="27" t="s">
        <v>1333</v>
      </c>
      <c r="W786" s="27" t="s">
        <v>14037</v>
      </c>
    </row>
    <row r="787" customFormat="false" ht="15" hidden="false" customHeight="true" outlineLevel="0" collapsed="false">
      <c r="A787" s="27" t="s">
        <v>16071</v>
      </c>
      <c r="B787" s="27" t="s">
        <v>16072</v>
      </c>
      <c r="C787" s="27" t="s">
        <v>9161</v>
      </c>
      <c r="E787" s="27" t="s">
        <v>55</v>
      </c>
      <c r="G787" s="27" t="s">
        <v>345</v>
      </c>
      <c r="H787" s="27" t="s">
        <v>16073</v>
      </c>
      <c r="T787" s="27" t="s">
        <v>268</v>
      </c>
      <c r="V787" s="27" t="s">
        <v>9162</v>
      </c>
      <c r="W787" s="27" t="s">
        <v>13353</v>
      </c>
    </row>
    <row r="788" customFormat="false" ht="15" hidden="false" customHeight="true" outlineLevel="0" collapsed="false">
      <c r="A788" s="27" t="s">
        <v>16074</v>
      </c>
      <c r="B788" s="27" t="s">
        <v>16075</v>
      </c>
      <c r="C788" s="27" t="s">
        <v>2418</v>
      </c>
      <c r="E788" s="27" t="s">
        <v>55</v>
      </c>
      <c r="G788" s="27" t="s">
        <v>98</v>
      </c>
      <c r="H788" s="27" t="s">
        <v>16076</v>
      </c>
      <c r="I788" s="27" t="s">
        <v>13315</v>
      </c>
      <c r="J788" s="27" t="s">
        <v>13367</v>
      </c>
      <c r="K788" s="27" t="s">
        <v>13501</v>
      </c>
      <c r="T788" s="27" t="s">
        <v>268</v>
      </c>
      <c r="V788" s="27" t="s">
        <v>2419</v>
      </c>
      <c r="W788" s="27" t="s">
        <v>14447</v>
      </c>
    </row>
    <row r="789" customFormat="false" ht="15" hidden="false" customHeight="true" outlineLevel="0" collapsed="false">
      <c r="A789" s="27" t="s">
        <v>16077</v>
      </c>
      <c r="B789" s="27" t="s">
        <v>160</v>
      </c>
      <c r="C789" s="27" t="s">
        <v>9055</v>
      </c>
      <c r="E789" s="27" t="s">
        <v>55</v>
      </c>
      <c r="F789" s="27" t="s">
        <v>9057</v>
      </c>
      <c r="G789" s="27" t="s">
        <v>215</v>
      </c>
      <c r="H789" s="27" t="s">
        <v>16078</v>
      </c>
      <c r="I789" s="27" t="s">
        <v>13526</v>
      </c>
      <c r="J789" s="27" t="s">
        <v>13888</v>
      </c>
      <c r="K789" s="27" t="s">
        <v>13526</v>
      </c>
      <c r="L789" s="27" t="s">
        <v>13888</v>
      </c>
      <c r="M789" s="27" t="s">
        <v>13526</v>
      </c>
      <c r="N789" s="27" t="s">
        <v>13888</v>
      </c>
      <c r="O789" s="27" t="s">
        <v>13526</v>
      </c>
      <c r="P789" s="27" t="s">
        <v>13888</v>
      </c>
      <c r="Q789" s="27" t="s">
        <v>13526</v>
      </c>
      <c r="R789" s="27" t="s">
        <v>13888</v>
      </c>
      <c r="T789" s="27" t="s">
        <v>268</v>
      </c>
      <c r="V789" s="27" t="s">
        <v>9056</v>
      </c>
      <c r="W789" s="27" t="s">
        <v>13464</v>
      </c>
    </row>
    <row r="790" customFormat="false" ht="15" hidden="false" customHeight="true" outlineLevel="0" collapsed="false">
      <c r="A790" s="27" t="s">
        <v>16079</v>
      </c>
      <c r="B790" s="27" t="s">
        <v>1304</v>
      </c>
      <c r="C790" s="27" t="s">
        <v>16080</v>
      </c>
      <c r="E790" s="27" t="s">
        <v>55</v>
      </c>
      <c r="F790" s="27" t="s">
        <v>16081</v>
      </c>
      <c r="G790" s="27" t="s">
        <v>215</v>
      </c>
      <c r="H790" s="27" t="s">
        <v>16082</v>
      </c>
      <c r="I790" s="27" t="s">
        <v>13307</v>
      </c>
      <c r="J790" s="27" t="s">
        <v>13367</v>
      </c>
      <c r="K790" s="27" t="s">
        <v>13307</v>
      </c>
      <c r="L790" s="27" t="s">
        <v>13367</v>
      </c>
      <c r="T790" s="27" t="s">
        <v>268</v>
      </c>
      <c r="V790" s="27" t="s">
        <v>8286</v>
      </c>
      <c r="W790" s="27" t="s">
        <v>13522</v>
      </c>
    </row>
    <row r="791" customFormat="false" ht="15" hidden="false" customHeight="true" outlineLevel="0" collapsed="false">
      <c r="A791" s="27" t="s">
        <v>10315</v>
      </c>
      <c r="B791" s="27" t="s">
        <v>593</v>
      </c>
      <c r="C791" s="27" t="s">
        <v>3790</v>
      </c>
      <c r="E791" s="27" t="s">
        <v>55</v>
      </c>
      <c r="F791" s="27" t="s">
        <v>3792</v>
      </c>
      <c r="G791" s="27" t="s">
        <v>215</v>
      </c>
      <c r="H791" s="27" t="s">
        <v>16083</v>
      </c>
      <c r="T791" s="27" t="s">
        <v>268</v>
      </c>
      <c r="V791" s="27" t="s">
        <v>3791</v>
      </c>
      <c r="W791" s="27" t="s">
        <v>13331</v>
      </c>
    </row>
    <row r="792" customFormat="false" ht="15" hidden="false" customHeight="true" outlineLevel="0" collapsed="false">
      <c r="A792" s="27" t="s">
        <v>16084</v>
      </c>
      <c r="B792" s="27" t="s">
        <v>13607</v>
      </c>
      <c r="C792" s="27" t="s">
        <v>3104</v>
      </c>
      <c r="E792" s="27" t="s">
        <v>55</v>
      </c>
      <c r="F792" s="27" t="s">
        <v>16085</v>
      </c>
      <c r="G792" s="27" t="s">
        <v>215</v>
      </c>
      <c r="H792" s="27" t="s">
        <v>16086</v>
      </c>
      <c r="K792" s="27" t="s">
        <v>16087</v>
      </c>
      <c r="L792" s="27" t="s">
        <v>13445</v>
      </c>
      <c r="Q792" s="27" t="s">
        <v>16087</v>
      </c>
      <c r="R792" s="27" t="s">
        <v>13445</v>
      </c>
      <c r="T792" s="27" t="s">
        <v>268</v>
      </c>
      <c r="V792" s="27" t="s">
        <v>3105</v>
      </c>
      <c r="W792" s="27" t="s">
        <v>13348</v>
      </c>
    </row>
    <row r="793" customFormat="false" ht="15" hidden="false" customHeight="true" outlineLevel="0" collapsed="false">
      <c r="A793" s="27" t="s">
        <v>16088</v>
      </c>
      <c r="B793" s="27" t="s">
        <v>16089</v>
      </c>
      <c r="C793" s="27" t="s">
        <v>13954</v>
      </c>
      <c r="E793" s="27" t="s">
        <v>55</v>
      </c>
      <c r="G793" s="27" t="s">
        <v>215</v>
      </c>
      <c r="H793" s="27" t="s">
        <v>16090</v>
      </c>
      <c r="T793" s="27" t="s">
        <v>268</v>
      </c>
      <c r="V793" s="27" t="s">
        <v>1900</v>
      </c>
      <c r="W793" s="27" t="s">
        <v>13957</v>
      </c>
    </row>
    <row r="794" customFormat="false" ht="15" hidden="false" customHeight="true" outlineLevel="0" collapsed="false">
      <c r="A794" s="27" t="s">
        <v>16091</v>
      </c>
      <c r="B794" s="27" t="s">
        <v>16092</v>
      </c>
      <c r="C794" s="27" t="s">
        <v>6201</v>
      </c>
      <c r="E794" s="27" t="s">
        <v>55</v>
      </c>
      <c r="F794" s="27" t="s">
        <v>6203</v>
      </c>
      <c r="G794" s="27" t="s">
        <v>61</v>
      </c>
      <c r="H794" s="27" t="s">
        <v>16093</v>
      </c>
      <c r="I794" s="27" t="s">
        <v>13307</v>
      </c>
      <c r="J794" s="27" t="s">
        <v>13308</v>
      </c>
      <c r="K794" s="27" t="s">
        <v>13307</v>
      </c>
      <c r="L794" s="27" t="s">
        <v>15225</v>
      </c>
      <c r="O794" s="27" t="s">
        <v>13307</v>
      </c>
      <c r="P794" s="27" t="s">
        <v>13308</v>
      </c>
      <c r="T794" s="27" t="s">
        <v>268</v>
      </c>
      <c r="V794" s="27" t="s">
        <v>6202</v>
      </c>
      <c r="W794" s="27" t="s">
        <v>13570</v>
      </c>
    </row>
    <row r="795" customFormat="false" ht="15" hidden="false" customHeight="true" outlineLevel="0" collapsed="false">
      <c r="A795" s="27" t="s">
        <v>16094</v>
      </c>
      <c r="B795" s="27" t="s">
        <v>195</v>
      </c>
      <c r="C795" s="27" t="s">
        <v>6201</v>
      </c>
      <c r="E795" s="27" t="s">
        <v>55</v>
      </c>
      <c r="G795" s="27" t="s">
        <v>61</v>
      </c>
      <c r="H795" s="27" t="s">
        <v>16095</v>
      </c>
      <c r="T795" s="27" t="s">
        <v>268</v>
      </c>
      <c r="V795" s="27" t="s">
        <v>6202</v>
      </c>
      <c r="W795" s="27" t="s">
        <v>13570</v>
      </c>
    </row>
    <row r="796" customFormat="false" ht="15" hidden="false" customHeight="true" outlineLevel="0" collapsed="false">
      <c r="A796" s="27" t="s">
        <v>16096</v>
      </c>
      <c r="B796" s="27" t="s">
        <v>16097</v>
      </c>
      <c r="C796" s="27" t="s">
        <v>14138</v>
      </c>
      <c r="E796" s="27" t="s">
        <v>55</v>
      </c>
      <c r="F796" s="27" t="s">
        <v>14139</v>
      </c>
      <c r="G796" s="27" t="s">
        <v>215</v>
      </c>
      <c r="H796" s="27" t="s">
        <v>16098</v>
      </c>
      <c r="T796" s="27" t="s">
        <v>268</v>
      </c>
      <c r="V796" s="27" t="s">
        <v>2387</v>
      </c>
      <c r="W796" s="27" t="s">
        <v>13957</v>
      </c>
    </row>
    <row r="797" customFormat="false" ht="15" hidden="false" customHeight="true" outlineLevel="0" collapsed="false">
      <c r="A797" s="27" t="s">
        <v>16099</v>
      </c>
      <c r="B797" s="27" t="s">
        <v>16100</v>
      </c>
      <c r="C797" s="27" t="s">
        <v>973</v>
      </c>
      <c r="E797" s="27" t="s">
        <v>55</v>
      </c>
      <c r="F797" s="27" t="s">
        <v>16101</v>
      </c>
      <c r="G797" s="27" t="s">
        <v>61</v>
      </c>
      <c r="H797" s="27" t="s">
        <v>16102</v>
      </c>
      <c r="I797" s="27" t="s">
        <v>14029</v>
      </c>
      <c r="J797" s="27" t="s">
        <v>13833</v>
      </c>
      <c r="T797" s="27" t="s">
        <v>268</v>
      </c>
      <c r="V797" s="27" t="s">
        <v>974</v>
      </c>
      <c r="W797" s="27" t="s">
        <v>13686</v>
      </c>
    </row>
    <row r="798" customFormat="false" ht="15" hidden="false" customHeight="true" outlineLevel="0" collapsed="false">
      <c r="A798" s="27" t="s">
        <v>16103</v>
      </c>
      <c r="B798" s="27" t="s">
        <v>142</v>
      </c>
      <c r="C798" s="27" t="s">
        <v>16104</v>
      </c>
      <c r="E798" s="27" t="s">
        <v>55</v>
      </c>
      <c r="F798" s="27" t="s">
        <v>16105</v>
      </c>
      <c r="G798" s="27" t="s">
        <v>215</v>
      </c>
      <c r="H798" s="27" t="s">
        <v>16106</v>
      </c>
      <c r="T798" s="27" t="s">
        <v>268</v>
      </c>
      <c r="V798" s="27" t="s">
        <v>852</v>
      </c>
      <c r="W798" s="27" t="s">
        <v>16107</v>
      </c>
    </row>
    <row r="799" customFormat="false" ht="15" hidden="false" customHeight="true" outlineLevel="0" collapsed="false">
      <c r="A799" s="27" t="s">
        <v>5337</v>
      </c>
      <c r="B799" s="27" t="s">
        <v>332</v>
      </c>
      <c r="C799" s="27" t="s">
        <v>8839</v>
      </c>
      <c r="E799" s="27" t="s">
        <v>55</v>
      </c>
      <c r="F799" s="27" t="s">
        <v>16108</v>
      </c>
      <c r="G799" s="27" t="s">
        <v>215</v>
      </c>
      <c r="H799" s="27" t="s">
        <v>16109</v>
      </c>
      <c r="J799" s="27" t="s">
        <v>14679</v>
      </c>
      <c r="M799" s="27" t="s">
        <v>14678</v>
      </c>
      <c r="O799" s="27" t="s">
        <v>14436</v>
      </c>
      <c r="Q799" s="27" t="s">
        <v>13341</v>
      </c>
      <c r="R799" s="27" t="s">
        <v>13366</v>
      </c>
      <c r="T799" s="27" t="s">
        <v>268</v>
      </c>
      <c r="V799" s="27" t="s">
        <v>852</v>
      </c>
      <c r="W799" s="27" t="s">
        <v>16110</v>
      </c>
    </row>
    <row r="800" customFormat="false" ht="15" hidden="false" customHeight="true" outlineLevel="0" collapsed="false">
      <c r="A800" s="27" t="s">
        <v>16111</v>
      </c>
      <c r="B800" s="27" t="s">
        <v>16112</v>
      </c>
      <c r="C800" s="27" t="s">
        <v>16113</v>
      </c>
      <c r="E800" s="27" t="s">
        <v>55</v>
      </c>
      <c r="G800" s="27" t="s">
        <v>61</v>
      </c>
      <c r="H800" s="27" t="s">
        <v>16114</v>
      </c>
      <c r="T800" s="27" t="s">
        <v>268</v>
      </c>
      <c r="V800" s="27" t="s">
        <v>16115</v>
      </c>
      <c r="W800" s="27" t="s">
        <v>13957</v>
      </c>
    </row>
    <row r="801" customFormat="false" ht="15" hidden="false" customHeight="true" outlineLevel="0" collapsed="false">
      <c r="A801" s="27" t="s">
        <v>16116</v>
      </c>
      <c r="B801" s="27" t="s">
        <v>16117</v>
      </c>
      <c r="C801" s="27" t="s">
        <v>973</v>
      </c>
      <c r="E801" s="27" t="s">
        <v>55</v>
      </c>
      <c r="F801" s="27" t="s">
        <v>16101</v>
      </c>
      <c r="G801" s="27" t="s">
        <v>215</v>
      </c>
      <c r="H801" s="27" t="s">
        <v>16118</v>
      </c>
      <c r="K801" s="27" t="s">
        <v>13315</v>
      </c>
      <c r="L801" s="27" t="s">
        <v>13520</v>
      </c>
      <c r="O801" s="27" t="s">
        <v>13315</v>
      </c>
      <c r="P801" s="27" t="s">
        <v>13520</v>
      </c>
      <c r="T801" s="27" t="s">
        <v>268</v>
      </c>
      <c r="V801" s="27" t="s">
        <v>974</v>
      </c>
      <c r="W801" s="27" t="s">
        <v>13686</v>
      </c>
    </row>
    <row r="802" customFormat="false" ht="15" hidden="false" customHeight="true" outlineLevel="0" collapsed="false">
      <c r="A802" s="27" t="s">
        <v>16119</v>
      </c>
      <c r="B802" s="27" t="s">
        <v>16120</v>
      </c>
      <c r="C802" s="27" t="s">
        <v>8522</v>
      </c>
      <c r="E802" s="27" t="s">
        <v>55</v>
      </c>
      <c r="G802" s="27" t="s">
        <v>215</v>
      </c>
      <c r="H802" s="27" t="s">
        <v>16121</v>
      </c>
      <c r="T802" s="27" t="s">
        <v>268</v>
      </c>
      <c r="V802" s="27" t="s">
        <v>833</v>
      </c>
      <c r="W802" s="27" t="s">
        <v>13379</v>
      </c>
    </row>
    <row r="803" customFormat="false" ht="17.25" hidden="false" customHeight="true" outlineLevel="0" collapsed="false">
      <c r="A803" s="27" t="s">
        <v>16122</v>
      </c>
      <c r="B803" s="27" t="s">
        <v>593</v>
      </c>
      <c r="C803" s="27" t="s">
        <v>825</v>
      </c>
      <c r="E803" s="27" t="s">
        <v>55</v>
      </c>
      <c r="G803" s="27" t="s">
        <v>215</v>
      </c>
      <c r="H803" s="27" t="s">
        <v>16123</v>
      </c>
      <c r="T803" s="27" t="s">
        <v>268</v>
      </c>
      <c r="V803" s="27" t="s">
        <v>826</v>
      </c>
      <c r="W803" s="27" t="s">
        <v>13592</v>
      </c>
    </row>
    <row r="804" customFormat="false" ht="15" hidden="false" customHeight="true" outlineLevel="0" collapsed="false">
      <c r="A804" s="27" t="s">
        <v>16124</v>
      </c>
      <c r="B804" s="27" t="s">
        <v>16125</v>
      </c>
      <c r="C804" s="27" t="s">
        <v>16126</v>
      </c>
      <c r="E804" s="27" t="s">
        <v>55</v>
      </c>
      <c r="G804" s="27" t="s">
        <v>98</v>
      </c>
      <c r="H804" s="27" t="s">
        <v>16127</v>
      </c>
      <c r="T804" s="27" t="s">
        <v>268</v>
      </c>
      <c r="V804" s="27" t="s">
        <v>16128</v>
      </c>
      <c r="W804" s="27" t="s">
        <v>13492</v>
      </c>
    </row>
    <row r="805" customFormat="false" ht="15" hidden="false" customHeight="true" outlineLevel="0" collapsed="false">
      <c r="A805" s="27" t="s">
        <v>16129</v>
      </c>
      <c r="B805" s="27" t="s">
        <v>1084</v>
      </c>
      <c r="C805" s="27" t="s">
        <v>3094</v>
      </c>
      <c r="E805" s="27" t="s">
        <v>55</v>
      </c>
      <c r="F805" s="27" t="s">
        <v>16130</v>
      </c>
      <c r="G805" s="27" t="s">
        <v>215</v>
      </c>
      <c r="H805" s="27" t="s">
        <v>16131</v>
      </c>
      <c r="T805" s="27" t="s">
        <v>268</v>
      </c>
      <c r="V805" s="27" t="s">
        <v>3095</v>
      </c>
      <c r="W805" s="27" t="s">
        <v>13592</v>
      </c>
    </row>
    <row r="806" customFormat="false" ht="17.25" hidden="false" customHeight="true" outlineLevel="0" collapsed="false">
      <c r="A806" s="27" t="s">
        <v>16132</v>
      </c>
      <c r="B806" s="27" t="s">
        <v>3825</v>
      </c>
      <c r="C806" s="27" t="s">
        <v>825</v>
      </c>
      <c r="E806" s="27" t="s">
        <v>55</v>
      </c>
      <c r="F806" s="27" t="s">
        <v>15565</v>
      </c>
      <c r="G806" s="27" t="s">
        <v>215</v>
      </c>
      <c r="H806" s="27" t="s">
        <v>16133</v>
      </c>
      <c r="T806" s="27" t="s">
        <v>268</v>
      </c>
      <c r="V806" s="27" t="s">
        <v>826</v>
      </c>
      <c r="W806" s="27" t="s">
        <v>13592</v>
      </c>
    </row>
    <row r="807" customFormat="false" ht="17.25" hidden="false" customHeight="true" outlineLevel="0" collapsed="false">
      <c r="A807" s="27" t="s">
        <v>16134</v>
      </c>
      <c r="B807" s="27" t="s">
        <v>9354</v>
      </c>
      <c r="C807" s="27" t="s">
        <v>825</v>
      </c>
      <c r="E807" s="27" t="s">
        <v>55</v>
      </c>
      <c r="F807" s="27" t="s">
        <v>15565</v>
      </c>
      <c r="G807" s="27" t="s">
        <v>215</v>
      </c>
      <c r="H807" s="27" t="s">
        <v>16135</v>
      </c>
      <c r="K807" s="27" t="s">
        <v>13526</v>
      </c>
      <c r="L807" s="27" t="s">
        <v>13888</v>
      </c>
      <c r="M807" s="27" t="s">
        <v>13526</v>
      </c>
      <c r="N807" s="27" t="s">
        <v>13888</v>
      </c>
      <c r="O807" s="27" t="s">
        <v>13526</v>
      </c>
      <c r="P807" s="27" t="s">
        <v>13888</v>
      </c>
      <c r="Q807" s="27" t="s">
        <v>13526</v>
      </c>
      <c r="R807" s="27" t="s">
        <v>13888</v>
      </c>
      <c r="T807" s="27" t="s">
        <v>268</v>
      </c>
      <c r="V807" s="27" t="s">
        <v>826</v>
      </c>
      <c r="W807" s="27" t="s">
        <v>13592</v>
      </c>
    </row>
    <row r="808" customFormat="false" ht="15" hidden="false" customHeight="true" outlineLevel="0" collapsed="false">
      <c r="A808" s="27" t="s">
        <v>16136</v>
      </c>
      <c r="B808" s="27" t="s">
        <v>16137</v>
      </c>
      <c r="C808" s="27" t="s">
        <v>825</v>
      </c>
      <c r="E808" s="27" t="s">
        <v>55</v>
      </c>
      <c r="F808" s="27" t="s">
        <v>15565</v>
      </c>
      <c r="G808" s="27" t="s">
        <v>215</v>
      </c>
      <c r="H808" s="27" t="s">
        <v>16138</v>
      </c>
      <c r="T808" s="27" t="s">
        <v>268</v>
      </c>
      <c r="V808" s="27" t="s">
        <v>826</v>
      </c>
      <c r="W808" s="27" t="s">
        <v>13592</v>
      </c>
    </row>
    <row r="809" customFormat="false" ht="17.25" hidden="false" customHeight="true" outlineLevel="0" collapsed="false">
      <c r="A809" s="27" t="s">
        <v>16139</v>
      </c>
      <c r="B809" s="27" t="s">
        <v>951</v>
      </c>
      <c r="C809" s="27" t="s">
        <v>16140</v>
      </c>
      <c r="E809" s="27" t="s">
        <v>55</v>
      </c>
      <c r="F809" s="27" t="s">
        <v>8890</v>
      </c>
      <c r="G809" s="27" t="s">
        <v>215</v>
      </c>
      <c r="H809" s="27" t="s">
        <v>16141</v>
      </c>
      <c r="T809" s="27" t="s">
        <v>268</v>
      </c>
      <c r="V809" s="27" t="s">
        <v>6906</v>
      </c>
      <c r="W809" s="27" t="s">
        <v>13788</v>
      </c>
    </row>
    <row r="810" customFormat="false" ht="17.25" hidden="false" customHeight="true" outlineLevel="0" collapsed="false">
      <c r="A810" s="27" t="s">
        <v>16142</v>
      </c>
      <c r="B810" s="27" t="s">
        <v>16143</v>
      </c>
      <c r="C810" s="27" t="s">
        <v>825</v>
      </c>
      <c r="E810" s="27" t="s">
        <v>55</v>
      </c>
      <c r="F810" s="27" t="s">
        <v>15565</v>
      </c>
      <c r="G810" s="27" t="s">
        <v>215</v>
      </c>
      <c r="H810" s="27" t="s">
        <v>16144</v>
      </c>
      <c r="T810" s="27" t="s">
        <v>268</v>
      </c>
      <c r="V810" s="27" t="s">
        <v>826</v>
      </c>
      <c r="W810" s="27" t="s">
        <v>13592</v>
      </c>
    </row>
    <row r="811" customFormat="false" ht="15" hidden="false" customHeight="true" outlineLevel="0" collapsed="false">
      <c r="A811" s="27" t="s">
        <v>16145</v>
      </c>
      <c r="B811" s="27" t="s">
        <v>7757</v>
      </c>
      <c r="C811" s="27" t="s">
        <v>16146</v>
      </c>
      <c r="E811" s="27" t="s">
        <v>55</v>
      </c>
      <c r="F811" s="27" t="s">
        <v>8890</v>
      </c>
      <c r="G811" s="27" t="s">
        <v>215</v>
      </c>
      <c r="H811" s="27" t="s">
        <v>16147</v>
      </c>
      <c r="T811" s="27" t="s">
        <v>268</v>
      </c>
      <c r="V811" s="27" t="s">
        <v>64</v>
      </c>
      <c r="W811" s="27" t="s">
        <v>13570</v>
      </c>
    </row>
    <row r="812" customFormat="false" ht="15" hidden="false" customHeight="true" outlineLevel="0" collapsed="false">
      <c r="A812" s="27" t="s">
        <v>16148</v>
      </c>
      <c r="B812" s="27" t="s">
        <v>1385</v>
      </c>
      <c r="C812" s="27" t="s">
        <v>825</v>
      </c>
      <c r="E812" s="27" t="s">
        <v>55</v>
      </c>
      <c r="F812" s="27" t="s">
        <v>15565</v>
      </c>
      <c r="G812" s="27" t="s">
        <v>215</v>
      </c>
      <c r="H812" s="27" t="s">
        <v>16149</v>
      </c>
      <c r="T812" s="27" t="s">
        <v>268</v>
      </c>
      <c r="V812" s="27" t="s">
        <v>826</v>
      </c>
      <c r="W812" s="27" t="s">
        <v>13592</v>
      </c>
    </row>
    <row r="813" customFormat="false" ht="15" hidden="false" customHeight="true" outlineLevel="0" collapsed="false">
      <c r="A813" s="27" t="s">
        <v>16150</v>
      </c>
      <c r="B813" s="27" t="s">
        <v>142</v>
      </c>
      <c r="C813" s="27" t="s">
        <v>14809</v>
      </c>
      <c r="E813" s="27" t="s">
        <v>11393</v>
      </c>
      <c r="F813" s="27" t="s">
        <v>16151</v>
      </c>
      <c r="G813" s="27" t="s">
        <v>215</v>
      </c>
      <c r="H813" s="27" t="s">
        <v>16152</v>
      </c>
      <c r="T813" s="27" t="s">
        <v>268</v>
      </c>
      <c r="V813" s="27" t="s">
        <v>80</v>
      </c>
      <c r="W813" s="27" t="s">
        <v>13508</v>
      </c>
    </row>
    <row r="814" customFormat="false" ht="15" hidden="false" customHeight="true" outlineLevel="0" collapsed="false">
      <c r="A814" s="27" t="s">
        <v>16153</v>
      </c>
      <c r="B814" s="27" t="s">
        <v>8661</v>
      </c>
      <c r="C814" s="27" t="s">
        <v>581</v>
      </c>
      <c r="E814" s="27" t="s">
        <v>11393</v>
      </c>
      <c r="F814" s="27" t="s">
        <v>14768</v>
      </c>
      <c r="G814" s="27" t="s">
        <v>215</v>
      </c>
      <c r="H814" s="27" t="s">
        <v>16154</v>
      </c>
      <c r="T814" s="27" t="s">
        <v>268</v>
      </c>
      <c r="V814" s="27" t="s">
        <v>80</v>
      </c>
      <c r="W814" s="27" t="s">
        <v>14370</v>
      </c>
    </row>
    <row r="815" customFormat="false" ht="15" hidden="false" customHeight="true" outlineLevel="0" collapsed="false">
      <c r="A815" s="27" t="s">
        <v>3199</v>
      </c>
      <c r="B815" s="27" t="s">
        <v>643</v>
      </c>
      <c r="C815" s="27" t="s">
        <v>15053</v>
      </c>
      <c r="E815" s="27" t="s">
        <v>55</v>
      </c>
      <c r="F815" s="27" t="s">
        <v>16155</v>
      </c>
      <c r="G815" s="27" t="s">
        <v>215</v>
      </c>
      <c r="H815" s="27" t="s">
        <v>16156</v>
      </c>
      <c r="T815" s="27" t="s">
        <v>268</v>
      </c>
      <c r="V815" s="27" t="s">
        <v>15056</v>
      </c>
      <c r="W815" s="27" t="s">
        <v>14680</v>
      </c>
    </row>
    <row r="816" customFormat="false" ht="15" hidden="false" customHeight="true" outlineLevel="0" collapsed="false">
      <c r="A816" s="27" t="s">
        <v>16157</v>
      </c>
      <c r="B816" s="27" t="s">
        <v>883</v>
      </c>
      <c r="C816" s="27" t="s">
        <v>7382</v>
      </c>
      <c r="E816" s="27" t="s">
        <v>55</v>
      </c>
      <c r="G816" s="27" t="s">
        <v>215</v>
      </c>
      <c r="H816" s="27" t="s">
        <v>16158</v>
      </c>
      <c r="T816" s="27" t="s">
        <v>268</v>
      </c>
      <c r="V816" s="27" t="s">
        <v>7383</v>
      </c>
      <c r="W816" s="27" t="s">
        <v>13496</v>
      </c>
    </row>
    <row r="817" customFormat="false" ht="15.75" hidden="false" customHeight="true" outlineLevel="0" collapsed="false">
      <c r="A817" s="27" t="s">
        <v>16159</v>
      </c>
      <c r="B817" s="27" t="s">
        <v>643</v>
      </c>
      <c r="C817" s="27" t="s">
        <v>16160</v>
      </c>
      <c r="E817" s="27" t="s">
        <v>55</v>
      </c>
      <c r="F817" s="27" t="s">
        <v>16161</v>
      </c>
      <c r="G817" s="27" t="s">
        <v>61</v>
      </c>
      <c r="H817" s="27" t="s">
        <v>16162</v>
      </c>
      <c r="I817" s="27" t="s">
        <v>15430</v>
      </c>
      <c r="J817" s="27" t="s">
        <v>13309</v>
      </c>
      <c r="K817" s="27" t="s">
        <v>15430</v>
      </c>
      <c r="L817" s="27" t="s">
        <v>13309</v>
      </c>
      <c r="M817" s="27" t="s">
        <v>15430</v>
      </c>
      <c r="N817" s="27" t="s">
        <v>13309</v>
      </c>
      <c r="T817" s="27" t="s">
        <v>268</v>
      </c>
      <c r="V817" s="27" t="s">
        <v>16163</v>
      </c>
      <c r="W817" s="27" t="s">
        <v>13635</v>
      </c>
    </row>
    <row r="818" customFormat="false" ht="17.25" hidden="false" customHeight="true" outlineLevel="0" collapsed="false">
      <c r="A818" s="27" t="s">
        <v>16164</v>
      </c>
      <c r="B818" s="27" t="s">
        <v>10963</v>
      </c>
      <c r="C818" s="27" t="s">
        <v>10970</v>
      </c>
      <c r="E818" s="27" t="s">
        <v>55</v>
      </c>
      <c r="F818" s="27" t="s">
        <v>10971</v>
      </c>
      <c r="G818" s="27" t="s">
        <v>215</v>
      </c>
      <c r="H818" s="27" t="s">
        <v>16165</v>
      </c>
      <c r="T818" s="27" t="s">
        <v>268</v>
      </c>
      <c r="U818" s="27" t="s">
        <v>172</v>
      </c>
      <c r="V818" s="27" t="s">
        <v>2883</v>
      </c>
      <c r="W818" s="27" t="s">
        <v>13617</v>
      </c>
    </row>
    <row r="819" customFormat="false" ht="17.25" hidden="false" customHeight="true" outlineLevel="0" collapsed="false">
      <c r="A819" s="27" t="s">
        <v>10632</v>
      </c>
      <c r="B819" s="27" t="s">
        <v>5952</v>
      </c>
      <c r="C819" s="27" t="s">
        <v>8968</v>
      </c>
      <c r="E819" s="27" t="s">
        <v>55</v>
      </c>
      <c r="F819" s="27" t="s">
        <v>8970</v>
      </c>
      <c r="G819" s="27" t="s">
        <v>98</v>
      </c>
      <c r="H819" s="27" t="s">
        <v>16166</v>
      </c>
      <c r="T819" s="27" t="s">
        <v>268</v>
      </c>
      <c r="U819" s="27" t="s">
        <v>172</v>
      </c>
      <c r="V819" s="27" t="s">
        <v>8969</v>
      </c>
      <c r="W819" s="27" t="s">
        <v>13414</v>
      </c>
    </row>
    <row r="820" customFormat="false" ht="17.25" hidden="false" customHeight="true" outlineLevel="0" collapsed="false">
      <c r="A820" s="27" t="s">
        <v>16167</v>
      </c>
      <c r="B820" s="27" t="s">
        <v>593</v>
      </c>
      <c r="C820" s="27" t="s">
        <v>16168</v>
      </c>
      <c r="E820" s="27" t="s">
        <v>55</v>
      </c>
      <c r="F820" s="27" t="s">
        <v>16169</v>
      </c>
      <c r="G820" s="27" t="s">
        <v>98</v>
      </c>
      <c r="H820" s="27" t="s">
        <v>16170</v>
      </c>
      <c r="T820" s="27" t="s">
        <v>268</v>
      </c>
      <c r="U820" s="27" t="s">
        <v>172</v>
      </c>
      <c r="V820" s="27" t="s">
        <v>16171</v>
      </c>
      <c r="W820" s="27" t="s">
        <v>13764</v>
      </c>
    </row>
    <row r="821" customFormat="false" ht="17.25" hidden="false" customHeight="true" outlineLevel="0" collapsed="false">
      <c r="A821" s="27" t="s">
        <v>16172</v>
      </c>
      <c r="B821" s="27" t="s">
        <v>353</v>
      </c>
      <c r="C821" s="27" t="s">
        <v>9601</v>
      </c>
      <c r="E821" s="27" t="s">
        <v>55</v>
      </c>
      <c r="F821" s="27" t="s">
        <v>16173</v>
      </c>
      <c r="H821" s="27" t="s">
        <v>16174</v>
      </c>
      <c r="T821" s="27" t="s">
        <v>268</v>
      </c>
      <c r="U821" s="27" t="s">
        <v>172</v>
      </c>
      <c r="V821" s="27" t="s">
        <v>2804</v>
      </c>
      <c r="W821" s="27" t="s">
        <v>14002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4140625" defaultRowHeight="13.5" zeroHeight="false" outlineLevelRow="0" outlineLevelCol="0"/>
  <cols>
    <col collapsed="false" customWidth="true" hidden="false" outlineLevel="0" max="1" min="1" style="27" width="48.63"/>
    <col collapsed="false" customWidth="true" hidden="false" outlineLevel="0" max="2" min="2" style="27" width="77.86"/>
    <col collapsed="false" customWidth="true" hidden="false" outlineLevel="0" max="3" min="3" style="27" width="37.98"/>
    <col collapsed="false" customWidth="false" hidden="false" outlineLevel="0" max="16384" min="4" style="27" width="16.41"/>
  </cols>
  <sheetData>
    <row r="1" customFormat="false" ht="24" hidden="false" customHeight="true" outlineLevel="0" collapsed="false">
      <c r="A1" s="76" t="s">
        <v>10506</v>
      </c>
      <c r="B1" s="77" t="s">
        <v>16175</v>
      </c>
    </row>
    <row r="2" customFormat="false" ht="15" hidden="false" customHeight="true" outlineLevel="0" collapsed="false">
      <c r="A2" s="78" t="s">
        <v>4483</v>
      </c>
      <c r="B2" s="27" t="s">
        <v>16176</v>
      </c>
      <c r="C2" s="27" t="s">
        <v>16177</v>
      </c>
    </row>
    <row r="3" customFormat="false" ht="15" hidden="false" customHeight="true" outlineLevel="0" collapsed="false">
      <c r="A3" s="78" t="s">
        <v>2267</v>
      </c>
      <c r="B3" s="77" t="s">
        <v>16178</v>
      </c>
      <c r="C3" s="27" t="s">
        <v>16179</v>
      </c>
    </row>
    <row r="4" customFormat="false" ht="17.25" hidden="false" customHeight="true" outlineLevel="0" collapsed="false">
      <c r="A4" s="78" t="s">
        <v>12853</v>
      </c>
      <c r="B4" s="77" t="s">
        <v>16180</v>
      </c>
    </row>
    <row r="5" customFormat="false" ht="17.25" hidden="false" customHeight="true" outlineLevel="0" collapsed="false">
      <c r="A5" s="78" t="s">
        <v>2362</v>
      </c>
      <c r="B5" s="77" t="s">
        <v>16181</v>
      </c>
      <c r="C5" s="27" t="s">
        <v>16182</v>
      </c>
    </row>
    <row r="6" customFormat="false" ht="15" hidden="false" customHeight="true" outlineLevel="0" collapsed="false">
      <c r="A6" s="78" t="s">
        <v>1124</v>
      </c>
      <c r="B6" s="77" t="s">
        <v>1123</v>
      </c>
      <c r="C6" s="27" t="s">
        <v>16183</v>
      </c>
    </row>
    <row r="7" customFormat="false" ht="15" hidden="false" customHeight="true" outlineLevel="0" collapsed="false">
      <c r="A7" s="78" t="s">
        <v>1935</v>
      </c>
      <c r="B7" s="79" t="s">
        <v>16184</v>
      </c>
      <c r="C7" s="27" t="s">
        <v>16183</v>
      </c>
    </row>
    <row r="8" customFormat="false" ht="15" hidden="false" customHeight="true" outlineLevel="0" collapsed="false">
      <c r="A8" s="78" t="s">
        <v>4002</v>
      </c>
      <c r="B8" s="77" t="s">
        <v>16185</v>
      </c>
      <c r="C8" s="77" t="s">
        <v>16186</v>
      </c>
    </row>
    <row r="9" customFormat="false" ht="22.5" hidden="false" customHeight="true" outlineLevel="0" collapsed="false">
      <c r="A9" s="78" t="s">
        <v>16187</v>
      </c>
      <c r="B9" s="79" t="s">
        <v>16188</v>
      </c>
    </row>
    <row r="10" customFormat="false" ht="15" hidden="false" customHeight="true" outlineLevel="0" collapsed="false">
      <c r="A10" s="78" t="s">
        <v>553</v>
      </c>
      <c r="B10" s="77" t="s">
        <v>16189</v>
      </c>
    </row>
    <row r="11" customFormat="false" ht="15" hidden="false" customHeight="true" outlineLevel="0" collapsed="false">
      <c r="A11" s="78" t="s">
        <v>3457</v>
      </c>
      <c r="B11" s="77" t="s">
        <v>16185</v>
      </c>
    </row>
    <row r="12" customFormat="false" ht="15" hidden="false" customHeight="true" outlineLevel="0" collapsed="false">
      <c r="A12" s="78" t="s">
        <v>235</v>
      </c>
      <c r="B12" s="77" t="s">
        <v>16190</v>
      </c>
      <c r="C12" s="27" t="s">
        <v>16191</v>
      </c>
    </row>
    <row r="13" customFormat="false" ht="17.25" hidden="false" customHeight="true" outlineLevel="0" collapsed="false">
      <c r="A13" s="78" t="s">
        <v>1529</v>
      </c>
      <c r="B13" s="77" t="s">
        <v>16192</v>
      </c>
    </row>
    <row r="14" customFormat="false" ht="15" hidden="false" customHeight="true" outlineLevel="0" collapsed="false">
      <c r="A14" s="78" t="s">
        <v>4144</v>
      </c>
      <c r="B14" s="77" t="s">
        <v>16193</v>
      </c>
    </row>
    <row r="15" customFormat="false" ht="15" hidden="false" customHeight="true" outlineLevel="0" collapsed="false">
      <c r="A15" s="78" t="s">
        <v>1586</v>
      </c>
      <c r="B15" s="77" t="s">
        <v>16194</v>
      </c>
      <c r="C15" s="27" t="s">
        <v>16195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3.0546875" defaultRowHeight="12.75" zeroHeight="false" outlineLevelRow="0" outlineLevelCol="0"/>
  <cols>
    <col collapsed="false" customWidth="false" hidden="false" outlineLevel="0" max="1" min="1" style="80" width="13.05"/>
    <col collapsed="false" customWidth="true" hidden="false" outlineLevel="0" max="2" min="2" style="80" width="19.72"/>
    <col collapsed="false" customWidth="true" hidden="false" outlineLevel="0" max="3" min="3" style="80" width="15.94"/>
    <col collapsed="false" customWidth="true" hidden="false" outlineLevel="0" max="4" min="4" style="80" width="5.15"/>
    <col collapsed="false" customWidth="false" hidden="false" outlineLevel="0" max="1024" min="5" style="80" width="13.05"/>
  </cols>
  <sheetData>
    <row r="1" customFormat="false" ht="13.5" hidden="false" customHeight="true" outlineLevel="0" collapsed="false">
      <c r="A1" s="32" t="s">
        <v>13</v>
      </c>
      <c r="B1" s="32" t="s">
        <v>13303</v>
      </c>
      <c r="C1" s="32" t="s">
        <v>16196</v>
      </c>
      <c r="D1" s="32" t="s">
        <v>16197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customFormat="false" ht="13.5" hidden="false" customHeight="true" outlineLevel="0" collapsed="false">
      <c r="A2" s="32" t="n">
        <v>75007</v>
      </c>
      <c r="B2" s="32" t="s">
        <v>16198</v>
      </c>
      <c r="C2" s="32" t="s">
        <v>16199</v>
      </c>
      <c r="D2" s="32" t="n">
        <v>6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  <c r="AMI2" s="32"/>
      <c r="AMJ2" s="32"/>
    </row>
    <row r="3" customFormat="false" ht="13.5" hidden="false" customHeight="true" outlineLevel="0" collapsed="false">
      <c r="A3" s="32" t="n">
        <v>75008</v>
      </c>
      <c r="B3" s="32" t="s">
        <v>16198</v>
      </c>
      <c r="C3" s="32" t="s">
        <v>16200</v>
      </c>
      <c r="D3" s="32" t="n">
        <v>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  <c r="AMI3" s="32"/>
      <c r="AMJ3" s="32"/>
    </row>
    <row r="4" customFormat="false" ht="13.5" hidden="false" customHeight="true" outlineLevel="0" collapsed="false">
      <c r="A4" s="32" t="n">
        <v>75015</v>
      </c>
      <c r="B4" s="32" t="s">
        <v>16198</v>
      </c>
      <c r="C4" s="32" t="s">
        <v>16201</v>
      </c>
      <c r="D4" s="32" t="n">
        <v>4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  <c r="AMI4" s="32"/>
      <c r="AMJ4" s="32"/>
    </row>
    <row r="5" customFormat="false" ht="13.5" hidden="false" customHeight="true" outlineLevel="0" collapsed="false">
      <c r="A5" s="32" t="n">
        <v>75016</v>
      </c>
      <c r="B5" s="32" t="s">
        <v>16198</v>
      </c>
      <c r="C5" s="32" t="s">
        <v>16202</v>
      </c>
      <c r="D5" s="32" t="n">
        <v>4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  <c r="AMI5" s="32"/>
      <c r="AMJ5" s="32"/>
    </row>
    <row r="6" customFormat="false" ht="13.5" hidden="false" customHeight="true" outlineLevel="0" collapsed="false">
      <c r="A6" s="32" t="n">
        <v>75116</v>
      </c>
      <c r="B6" s="32" t="s">
        <v>16198</v>
      </c>
      <c r="C6" s="32" t="s">
        <v>16202</v>
      </c>
      <c r="D6" s="32" t="n">
        <v>4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  <c r="AMI6" s="32"/>
      <c r="AMJ6" s="32"/>
    </row>
    <row r="7" customFormat="false" ht="13.5" hidden="false" customHeight="true" outlineLevel="0" collapsed="false">
      <c r="A7" s="32" t="n">
        <v>75017</v>
      </c>
      <c r="B7" s="32" t="s">
        <v>16198</v>
      </c>
      <c r="C7" s="32" t="s">
        <v>16203</v>
      </c>
      <c r="D7" s="32" t="n">
        <v>4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  <c r="AMI7" s="32"/>
      <c r="AMJ7" s="32"/>
    </row>
    <row r="8" customFormat="false" ht="13.5" hidden="false" customHeight="true" outlineLevel="0" collapsed="false">
      <c r="A8" s="32" t="n">
        <v>92200</v>
      </c>
      <c r="B8" s="32" t="s">
        <v>16204</v>
      </c>
      <c r="C8" s="32" t="s">
        <v>16205</v>
      </c>
      <c r="D8" s="32" t="n">
        <v>4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  <c r="AMI8" s="32"/>
      <c r="AMJ8" s="32"/>
    </row>
    <row r="9" customFormat="false" ht="13.5" hidden="false" customHeight="true" outlineLevel="0" collapsed="false">
      <c r="A9" s="32" t="n">
        <v>92300</v>
      </c>
      <c r="B9" s="32" t="s">
        <v>16206</v>
      </c>
      <c r="C9" s="32" t="s">
        <v>16207</v>
      </c>
      <c r="D9" s="32" t="n">
        <v>4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  <c r="AMI9" s="32"/>
      <c r="AMJ9" s="32"/>
    </row>
    <row r="10" customFormat="false" ht="13.5" hidden="false" customHeight="true" outlineLevel="0" collapsed="false">
      <c r="A10" s="32" t="n">
        <v>92100</v>
      </c>
      <c r="B10" s="32" t="s">
        <v>16208</v>
      </c>
      <c r="C10" s="32" t="s">
        <v>16209</v>
      </c>
      <c r="D10" s="32" t="n">
        <v>4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  <c r="AMI10" s="32"/>
      <c r="AMJ10" s="32"/>
    </row>
    <row r="11" customFormat="false" ht="13.5" hidden="false" customHeight="true" outlineLevel="0" collapsed="false"/>
    <row r="14" customFormat="false" ht="15" hidden="false" customHeight="true" outlineLevel="0" collapsed="false"/>
    <row r="21" customFormat="false" ht="15" hidden="false" customHeight="true" outlineLevel="0" collapsed="false"/>
    <row r="23" customFormat="false" ht="15" hidden="false" customHeight="true" outlineLevel="0" collapsed="false"/>
    <row r="29" customFormat="false" ht="1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E4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6.4140625" defaultRowHeight="15" zeroHeight="false" outlineLevelRow="0" outlineLevelCol="0"/>
  <cols>
    <col collapsed="false" customWidth="true" hidden="false" outlineLevel="0" max="1" min="1" style="0" width="73.29"/>
    <col collapsed="false" customWidth="true" hidden="false" outlineLevel="0" max="3" min="2" style="0" width="37.46"/>
    <col collapsed="false" customWidth="true" hidden="false" outlineLevel="0" max="4" min="4" style="0" width="19.63"/>
    <col collapsed="false" customWidth="true" hidden="false" outlineLevel="0" max="5" min="5" style="0" width="151.91"/>
  </cols>
  <sheetData>
    <row r="1" customFormat="false" ht="15" hidden="false" customHeight="false" outlineLevel="0" collapsed="false">
      <c r="A1" s="74" t="s">
        <v>16210</v>
      </c>
      <c r="B1" s="74" t="s">
        <v>0</v>
      </c>
      <c r="C1" s="74" t="s">
        <v>1</v>
      </c>
      <c r="D1" s="74" t="s">
        <v>30</v>
      </c>
      <c r="E1" s="74" t="s">
        <v>31</v>
      </c>
    </row>
    <row r="2" customFormat="false" ht="15" hidden="true" customHeight="false" outlineLevel="0" collapsed="false">
      <c r="A2" s="0" t="s">
        <v>11235</v>
      </c>
      <c r="B2" s="0" t="s">
        <v>11234</v>
      </c>
      <c r="C2" s="0" t="s">
        <v>560</v>
      </c>
      <c r="D2" s="81" t="n">
        <v>45105.625</v>
      </c>
    </row>
    <row r="3" customFormat="false" ht="15" hidden="true" customHeight="false" outlineLevel="0" collapsed="false">
      <c r="A3" s="0" t="s">
        <v>16211</v>
      </c>
      <c r="B3" s="0" t="s">
        <v>11591</v>
      </c>
      <c r="C3" s="0" t="s">
        <v>11591</v>
      </c>
      <c r="D3" s="81" t="n">
        <v>45105.6666666667</v>
      </c>
    </row>
    <row r="4" customFormat="false" ht="15" hidden="true" customHeight="false" outlineLevel="0" collapsed="false">
      <c r="A4" s="0" t="s">
        <v>16212</v>
      </c>
      <c r="B4" s="0" t="s">
        <v>16213</v>
      </c>
      <c r="C4" s="0" t="s">
        <v>16214</v>
      </c>
      <c r="D4" s="81" t="n">
        <v>45105.6666666667</v>
      </c>
    </row>
    <row r="5" customFormat="false" ht="15" hidden="true" customHeight="false" outlineLevel="0" collapsed="false">
      <c r="A5" s="0" t="s">
        <v>1227</v>
      </c>
      <c r="B5" s="0" t="s">
        <v>1225</v>
      </c>
      <c r="C5" s="0" t="s">
        <v>1226</v>
      </c>
      <c r="D5" s="81" t="n">
        <v>45106.3958333333</v>
      </c>
    </row>
    <row r="6" customFormat="false" ht="15" hidden="true" customHeight="false" outlineLevel="0" collapsed="false">
      <c r="A6" s="0" t="s">
        <v>7015</v>
      </c>
      <c r="B6" s="0" t="s">
        <v>7014</v>
      </c>
      <c r="C6" s="0" t="s">
        <v>2794</v>
      </c>
      <c r="D6" s="81" t="n">
        <v>45106.6041666667</v>
      </c>
    </row>
    <row r="7" customFormat="false" ht="15" hidden="true" customHeight="false" outlineLevel="0" collapsed="false">
      <c r="A7" s="0" t="s">
        <v>3979</v>
      </c>
      <c r="B7" s="0" t="s">
        <v>3977</v>
      </c>
      <c r="C7" s="0" t="s">
        <v>3978</v>
      </c>
      <c r="D7" s="81" t="n">
        <v>45107.5</v>
      </c>
    </row>
    <row r="8" customFormat="false" ht="15" hidden="true" customHeight="false" outlineLevel="0" collapsed="false">
      <c r="A8" s="0" t="s">
        <v>1634</v>
      </c>
      <c r="B8" s="0" t="s">
        <v>1633</v>
      </c>
      <c r="C8" s="0" t="s">
        <v>142</v>
      </c>
      <c r="D8" s="81" t="n">
        <v>45107.5833333333</v>
      </c>
    </row>
    <row r="9" customFormat="false" ht="15" hidden="true" customHeight="false" outlineLevel="0" collapsed="false">
      <c r="A9" s="0" t="s">
        <v>2961</v>
      </c>
      <c r="B9" s="0" t="s">
        <v>2960</v>
      </c>
      <c r="C9" s="0" t="s">
        <v>578</v>
      </c>
      <c r="D9" s="81" t="n">
        <v>45110.4791666667</v>
      </c>
    </row>
    <row r="10" customFormat="false" ht="15" hidden="true" customHeight="false" outlineLevel="0" collapsed="false">
      <c r="A10" s="0" t="s">
        <v>3297</v>
      </c>
      <c r="B10" s="0" t="s">
        <v>3296</v>
      </c>
      <c r="C10" s="0" t="s">
        <v>332</v>
      </c>
      <c r="D10" s="81" t="n">
        <v>45110.5833333333</v>
      </c>
    </row>
    <row r="11" customFormat="false" ht="15" hidden="true" customHeight="false" outlineLevel="0" collapsed="false">
      <c r="A11" s="0" t="s">
        <v>6722</v>
      </c>
      <c r="B11" s="0" t="s">
        <v>6721</v>
      </c>
      <c r="C11" s="0" t="s">
        <v>195</v>
      </c>
      <c r="D11" s="81" t="n">
        <v>45110.6458333333</v>
      </c>
    </row>
    <row r="12" customFormat="false" ht="15" hidden="true" customHeight="false" outlineLevel="0" collapsed="false">
      <c r="A12" s="0" t="s">
        <v>2434</v>
      </c>
      <c r="B12" s="0" t="s">
        <v>2432</v>
      </c>
      <c r="C12" s="0" t="s">
        <v>2433</v>
      </c>
      <c r="D12" s="81" t="n">
        <v>45111.4375</v>
      </c>
    </row>
    <row r="13" customFormat="false" ht="15" hidden="true" customHeight="false" outlineLevel="0" collapsed="false">
      <c r="A13" s="0" t="s">
        <v>205</v>
      </c>
      <c r="B13" s="0" t="s">
        <v>203</v>
      </c>
      <c r="C13" s="0" t="s">
        <v>204</v>
      </c>
      <c r="D13" s="81" t="n">
        <v>45111.6458333333</v>
      </c>
    </row>
    <row r="14" customFormat="false" ht="15" hidden="true" customHeight="false" outlineLevel="0" collapsed="false">
      <c r="A14" s="0" t="s">
        <v>804</v>
      </c>
      <c r="B14" s="0" t="s">
        <v>802</v>
      </c>
      <c r="C14" s="0" t="s">
        <v>803</v>
      </c>
      <c r="D14" s="81" t="n">
        <v>45112.4375</v>
      </c>
    </row>
    <row r="15" customFormat="false" ht="15" hidden="true" customHeight="false" outlineLevel="0" collapsed="false">
      <c r="A15" s="0" t="s">
        <v>5265</v>
      </c>
      <c r="B15" s="0" t="s">
        <v>3754</v>
      </c>
      <c r="C15" s="0" t="s">
        <v>399</v>
      </c>
      <c r="D15" s="81" t="n">
        <v>45118.5</v>
      </c>
    </row>
    <row r="16" customFormat="false" ht="15" hidden="true" customHeight="false" outlineLevel="0" collapsed="false">
      <c r="A16" s="0" t="s">
        <v>1397</v>
      </c>
      <c r="B16" s="0" t="s">
        <v>1396</v>
      </c>
      <c r="C16" s="0" t="s">
        <v>399</v>
      </c>
      <c r="D16" s="81" t="n">
        <v>45118.5833333333</v>
      </c>
    </row>
    <row r="17" customFormat="false" ht="15" hidden="true" customHeight="false" outlineLevel="0" collapsed="false">
      <c r="A17" s="0" t="s">
        <v>4736</v>
      </c>
      <c r="B17" s="0" t="s">
        <v>4734</v>
      </c>
      <c r="C17" s="0" t="s">
        <v>4735</v>
      </c>
      <c r="D17" s="81" t="n">
        <v>45119.6666666667</v>
      </c>
    </row>
    <row r="18" customFormat="false" ht="15" hidden="true" customHeight="false" outlineLevel="0" collapsed="false">
      <c r="A18" s="0" t="s">
        <v>3546</v>
      </c>
      <c r="B18" s="0" t="s">
        <v>3545</v>
      </c>
      <c r="C18" s="0" t="s">
        <v>332</v>
      </c>
      <c r="D18" s="81" t="n">
        <v>45120.6041666667</v>
      </c>
    </row>
    <row r="19" customFormat="false" ht="15" hidden="true" customHeight="false" outlineLevel="0" collapsed="false">
      <c r="A19" s="0" t="s">
        <v>161</v>
      </c>
      <c r="B19" s="0" t="s">
        <v>159</v>
      </c>
      <c r="C19" s="0" t="s">
        <v>160</v>
      </c>
      <c r="D19" s="81" t="n">
        <v>45124.4791666667</v>
      </c>
    </row>
    <row r="20" customFormat="false" ht="15" hidden="true" customHeight="false" outlineLevel="0" collapsed="false">
      <c r="A20" s="0" t="s">
        <v>959</v>
      </c>
      <c r="B20" s="0" t="s">
        <v>957</v>
      </c>
      <c r="C20" s="0" t="s">
        <v>958</v>
      </c>
      <c r="D20" s="81" t="n">
        <v>45125.6041666667</v>
      </c>
    </row>
    <row r="21" customFormat="false" ht="15" hidden="true" customHeight="false" outlineLevel="0" collapsed="false">
      <c r="A21" s="0" t="s">
        <v>16215</v>
      </c>
      <c r="B21" s="0" t="s">
        <v>16216</v>
      </c>
      <c r="C21" s="0" t="s">
        <v>15142</v>
      </c>
      <c r="D21" s="81" t="n">
        <v>45125.7083333333</v>
      </c>
    </row>
    <row r="22" customFormat="false" ht="15" hidden="true" customHeight="false" outlineLevel="0" collapsed="false">
      <c r="A22" s="0" t="s">
        <v>6305</v>
      </c>
      <c r="B22" s="0" t="s">
        <v>6304</v>
      </c>
      <c r="C22" s="0" t="s">
        <v>3690</v>
      </c>
      <c r="D22" s="81" t="n">
        <v>45126.4375</v>
      </c>
    </row>
    <row r="23" customFormat="false" ht="15" hidden="true" customHeight="false" outlineLevel="0" collapsed="false">
      <c r="A23" s="0" t="s">
        <v>1651</v>
      </c>
      <c r="B23" s="0" t="s">
        <v>1650</v>
      </c>
      <c r="C23" s="0" t="s">
        <v>332</v>
      </c>
      <c r="D23" s="81" t="n">
        <v>45126.5208333333</v>
      </c>
    </row>
    <row r="24" customFormat="false" ht="15" hidden="true" customHeight="false" outlineLevel="0" collapsed="false">
      <c r="A24" s="0" t="s">
        <v>8224</v>
      </c>
      <c r="B24" s="0" t="s">
        <v>7257</v>
      </c>
      <c r="C24" s="0" t="s">
        <v>3763</v>
      </c>
      <c r="D24" s="81" t="n">
        <v>45126.6041666667</v>
      </c>
    </row>
    <row r="25" customFormat="false" ht="15" hidden="true" customHeight="false" outlineLevel="0" collapsed="false">
      <c r="A25" s="0" t="s">
        <v>16217</v>
      </c>
      <c r="B25" s="0" t="s">
        <v>12038</v>
      </c>
      <c r="C25" s="0" t="s">
        <v>12038</v>
      </c>
      <c r="D25" s="81" t="n">
        <v>45127.4333333333</v>
      </c>
    </row>
    <row r="26" customFormat="false" ht="15" hidden="true" customHeight="false" outlineLevel="0" collapsed="false">
      <c r="A26" s="0" t="s">
        <v>16218</v>
      </c>
      <c r="B26" s="0" t="s">
        <v>11495</v>
      </c>
      <c r="C26" s="0" t="s">
        <v>11495</v>
      </c>
      <c r="D26" s="81" t="n">
        <v>45127.5833333333</v>
      </c>
    </row>
    <row r="27" customFormat="false" ht="15" hidden="true" customHeight="false" outlineLevel="0" collapsed="false">
      <c r="A27" s="0" t="s">
        <v>2235</v>
      </c>
      <c r="B27" s="0" t="s">
        <v>2233</v>
      </c>
      <c r="C27" s="0" t="s">
        <v>2234</v>
      </c>
      <c r="D27" s="81" t="n">
        <v>45128.4722222222</v>
      </c>
      <c r="E27" s="82" t="s">
        <v>2240</v>
      </c>
    </row>
    <row r="28" customFormat="false" ht="15" hidden="true" customHeight="false" outlineLevel="0" collapsed="false">
      <c r="A28" s="0" t="s">
        <v>520</v>
      </c>
      <c r="B28" s="0" t="s">
        <v>519</v>
      </c>
      <c r="C28" s="0" t="s">
        <v>195</v>
      </c>
      <c r="D28" s="81" t="n">
        <v>45128.5416666667</v>
      </c>
    </row>
    <row r="29" customFormat="false" ht="15" hidden="true" customHeight="false" outlineLevel="0" collapsed="false">
      <c r="A29" s="0" t="s">
        <v>118</v>
      </c>
      <c r="B29" s="0" t="s">
        <v>116</v>
      </c>
      <c r="C29" s="0" t="s">
        <v>117</v>
      </c>
      <c r="D29" s="81" t="n">
        <v>45128.5833333333</v>
      </c>
    </row>
    <row r="30" customFormat="false" ht="15" hidden="true" customHeight="false" outlineLevel="0" collapsed="false">
      <c r="A30" s="0" t="s">
        <v>16219</v>
      </c>
      <c r="B30" s="0" t="s">
        <v>12125</v>
      </c>
      <c r="C30" s="0" t="s">
        <v>12125</v>
      </c>
      <c r="D30" s="81" t="n">
        <v>45131.4583333333</v>
      </c>
    </row>
    <row r="31" customFormat="false" ht="15" hidden="true" customHeight="false" outlineLevel="0" collapsed="false">
      <c r="A31" s="0" t="s">
        <v>196</v>
      </c>
      <c r="B31" s="0" t="s">
        <v>194</v>
      </c>
      <c r="C31" s="0" t="s">
        <v>195</v>
      </c>
      <c r="D31" s="81" t="n">
        <v>45131.6041666667</v>
      </c>
    </row>
    <row r="32" customFormat="false" ht="15" hidden="true" customHeight="false" outlineLevel="0" collapsed="false">
      <c r="A32" s="0" t="s">
        <v>8264</v>
      </c>
      <c r="B32" s="0" t="s">
        <v>8262</v>
      </c>
      <c r="C32" s="0" t="s">
        <v>8263</v>
      </c>
      <c r="D32" s="81" t="n">
        <v>45132.4791666667</v>
      </c>
    </row>
    <row r="33" customFormat="false" ht="15" hidden="true" customHeight="false" outlineLevel="0" collapsed="false">
      <c r="A33" s="0" t="s">
        <v>16220</v>
      </c>
      <c r="B33" s="0" t="s">
        <v>11891</v>
      </c>
      <c r="C33" s="0" t="s">
        <v>11891</v>
      </c>
      <c r="D33" s="81" t="n">
        <v>45133.6666666667</v>
      </c>
      <c r="E33" s="82" t="s">
        <v>16221</v>
      </c>
    </row>
    <row r="34" customFormat="false" ht="15" hidden="true" customHeight="false" outlineLevel="0" collapsed="false">
      <c r="A34" s="0" t="s">
        <v>343</v>
      </c>
      <c r="B34" s="0" t="s">
        <v>341</v>
      </c>
      <c r="C34" s="0" t="s">
        <v>342</v>
      </c>
      <c r="D34" s="81" t="n">
        <v>45134.4375</v>
      </c>
    </row>
    <row r="35" customFormat="false" ht="15" hidden="true" customHeight="false" outlineLevel="0" collapsed="false">
      <c r="A35" s="0" t="s">
        <v>373</v>
      </c>
      <c r="B35" s="0" t="s">
        <v>371</v>
      </c>
      <c r="C35" s="0" t="s">
        <v>372</v>
      </c>
      <c r="D35" s="81" t="n">
        <v>45134.6458333333</v>
      </c>
    </row>
    <row r="36" customFormat="false" ht="15" hidden="true" customHeight="false" outlineLevel="0" collapsed="false">
      <c r="A36" s="0" t="s">
        <v>2224</v>
      </c>
      <c r="B36" s="0" t="s">
        <v>2223</v>
      </c>
      <c r="C36" s="0" t="s">
        <v>1143</v>
      </c>
      <c r="D36" s="81" t="n">
        <v>45135.4583333333</v>
      </c>
    </row>
    <row r="37" customFormat="false" ht="15" hidden="true" customHeight="false" outlineLevel="0" collapsed="false">
      <c r="A37" s="0" t="s">
        <v>16222</v>
      </c>
      <c r="B37" s="0" t="s">
        <v>13015</v>
      </c>
      <c r="C37" s="0" t="s">
        <v>13015</v>
      </c>
      <c r="D37" s="81" t="n">
        <v>45168.7083333333</v>
      </c>
    </row>
    <row r="38" customFormat="false" ht="15" hidden="true" customHeight="false" outlineLevel="0" collapsed="false">
      <c r="A38" s="0" t="s">
        <v>16223</v>
      </c>
      <c r="B38" s="0" t="s">
        <v>16224</v>
      </c>
      <c r="C38" s="0" t="s">
        <v>16225</v>
      </c>
      <c r="D38" s="81" t="n">
        <v>45169.625</v>
      </c>
    </row>
    <row r="39" customFormat="false" ht="15" hidden="true" customHeight="false" outlineLevel="0" collapsed="false">
      <c r="A39" s="0" t="s">
        <v>2056</v>
      </c>
      <c r="B39" s="0" t="s">
        <v>2055</v>
      </c>
      <c r="C39" s="0" t="s">
        <v>376</v>
      </c>
      <c r="D39" s="81" t="n">
        <v>45170.5</v>
      </c>
    </row>
    <row r="40" customFormat="false" ht="15" hidden="true" customHeight="false" outlineLevel="0" collapsed="false">
      <c r="A40" s="0" t="s">
        <v>16226</v>
      </c>
      <c r="B40" s="0" t="s">
        <v>12557</v>
      </c>
      <c r="C40" s="0" t="s">
        <v>12557</v>
      </c>
      <c r="D40" s="81" t="n">
        <v>45170.6458333333</v>
      </c>
    </row>
    <row r="41" customFormat="false" ht="15" hidden="true" customHeight="false" outlineLevel="0" collapsed="false">
      <c r="A41" s="0" t="s">
        <v>3571</v>
      </c>
      <c r="B41" s="0" t="s">
        <v>3569</v>
      </c>
      <c r="C41" s="0" t="s">
        <v>3570</v>
      </c>
      <c r="D41" s="81" t="n">
        <v>45176.6875</v>
      </c>
      <c r="E41" s="82" t="s">
        <v>3573</v>
      </c>
    </row>
    <row r="42" customFormat="false" ht="15" hidden="true" customHeight="false" outlineLevel="0" collapsed="false">
      <c r="A42" s="0" t="s">
        <v>2009</v>
      </c>
      <c r="B42" s="0" t="s">
        <v>2008</v>
      </c>
      <c r="C42" s="0" t="s">
        <v>560</v>
      </c>
      <c r="D42" s="81" t="n">
        <v>45177.4375</v>
      </c>
    </row>
    <row r="43" customFormat="false" ht="15" hidden="true" customHeight="false" outlineLevel="0" collapsed="false">
      <c r="A43" s="0" t="s">
        <v>467</v>
      </c>
      <c r="B43" s="0" t="s">
        <v>465</v>
      </c>
      <c r="C43" s="0" t="s">
        <v>466</v>
      </c>
      <c r="D43" s="81" t="n">
        <v>45180.5833333333</v>
      </c>
      <c r="E43" s="82" t="s">
        <v>473</v>
      </c>
    </row>
    <row r="44" customFormat="false" ht="15" hidden="true" customHeight="false" outlineLevel="0" collapsed="false">
      <c r="A44" s="0" t="s">
        <v>551</v>
      </c>
      <c r="B44" s="0" t="s">
        <v>550</v>
      </c>
      <c r="C44" s="0" t="s">
        <v>142</v>
      </c>
      <c r="D44" s="81" t="n">
        <v>45180.6666666667</v>
      </c>
      <c r="E44" s="82" t="s">
        <v>558</v>
      </c>
    </row>
    <row r="45" customFormat="false" ht="15" hidden="true" customHeight="false" outlineLevel="0" collapsed="false">
      <c r="A45" s="0" t="s">
        <v>97</v>
      </c>
      <c r="B45" s="0" t="s">
        <v>95</v>
      </c>
      <c r="C45" s="0" t="s">
        <v>96</v>
      </c>
      <c r="D45" s="81" t="n">
        <v>45181.3958333333</v>
      </c>
      <c r="E45" s="82" t="s">
        <v>105</v>
      </c>
    </row>
    <row r="46" customFormat="false" ht="15" hidden="true" customHeight="false" outlineLevel="0" collapsed="false">
      <c r="A46" s="0" t="s">
        <v>5358</v>
      </c>
      <c r="B46" s="0" t="s">
        <v>5357</v>
      </c>
      <c r="C46" s="0" t="s">
        <v>3270</v>
      </c>
      <c r="D46" s="81" t="n">
        <v>45181.5833333333</v>
      </c>
    </row>
    <row r="47" customFormat="false" ht="15" hidden="true" customHeight="false" outlineLevel="0" collapsed="false">
      <c r="A47" s="0" t="s">
        <v>5363</v>
      </c>
      <c r="B47" s="0" t="s">
        <v>59</v>
      </c>
      <c r="C47" s="0" t="s">
        <v>2640</v>
      </c>
      <c r="D47" s="81" t="n">
        <v>45181.6666666667</v>
      </c>
    </row>
    <row r="48" customFormat="false" ht="15" hidden="true" customHeight="false" outlineLevel="0" collapsed="false">
      <c r="A48" s="0" t="s">
        <v>2751</v>
      </c>
      <c r="B48" s="0" t="s">
        <v>2749</v>
      </c>
      <c r="C48" s="0" t="s">
        <v>2750</v>
      </c>
      <c r="D48" s="81" t="n">
        <v>45182.5</v>
      </c>
      <c r="E48" s="82" t="s">
        <v>2757</v>
      </c>
    </row>
    <row r="49" customFormat="false" ht="15" hidden="true" customHeight="false" outlineLevel="0" collapsed="false">
      <c r="A49" s="0" t="s">
        <v>16227</v>
      </c>
      <c r="B49" s="0" t="s">
        <v>11449</v>
      </c>
      <c r="C49" s="0" t="s">
        <v>11449</v>
      </c>
      <c r="D49" s="81" t="n">
        <v>45182.6041666667</v>
      </c>
    </row>
    <row r="50" customFormat="false" ht="15" hidden="true" customHeight="false" outlineLevel="0" collapsed="false">
      <c r="A50" s="0" t="s">
        <v>8338</v>
      </c>
      <c r="B50" s="0" t="s">
        <v>8336</v>
      </c>
      <c r="C50" s="0" t="s">
        <v>8337</v>
      </c>
      <c r="D50" s="81" t="n">
        <v>45183.4166666667</v>
      </c>
    </row>
    <row r="51" customFormat="false" ht="15" hidden="true" customHeight="false" outlineLevel="0" collapsed="false">
      <c r="A51" s="0" t="s">
        <v>1582</v>
      </c>
      <c r="B51" s="0" t="s">
        <v>1580</v>
      </c>
      <c r="C51" s="0" t="s">
        <v>1581</v>
      </c>
      <c r="D51" s="81" t="n">
        <v>45183.4791666667</v>
      </c>
    </row>
    <row r="52" customFormat="false" ht="15" hidden="true" customHeight="false" outlineLevel="0" collapsed="false">
      <c r="A52" s="0" t="s">
        <v>7800</v>
      </c>
      <c r="B52" s="0" t="s">
        <v>7798</v>
      </c>
      <c r="C52" s="0" t="s">
        <v>7799</v>
      </c>
      <c r="D52" s="81" t="n">
        <v>45183.5833333333</v>
      </c>
    </row>
    <row r="53" customFormat="false" ht="15" hidden="true" customHeight="false" outlineLevel="0" collapsed="false">
      <c r="A53" s="0" t="s">
        <v>1338</v>
      </c>
      <c r="B53" s="0" t="s">
        <v>1337</v>
      </c>
      <c r="C53" s="0" t="s">
        <v>560</v>
      </c>
      <c r="D53" s="81" t="n">
        <v>45183.6666666667</v>
      </c>
      <c r="E53" s="82" t="s">
        <v>1344</v>
      </c>
    </row>
    <row r="54" customFormat="false" ht="15" hidden="true" customHeight="false" outlineLevel="0" collapsed="false">
      <c r="A54" s="0" t="s">
        <v>928</v>
      </c>
      <c r="B54" s="0" t="s">
        <v>926</v>
      </c>
      <c r="C54" s="0" t="s">
        <v>927</v>
      </c>
      <c r="D54" s="81" t="n">
        <v>45184.4791666667</v>
      </c>
    </row>
    <row r="55" customFormat="false" ht="15" hidden="true" customHeight="false" outlineLevel="0" collapsed="false">
      <c r="A55" s="0" t="s">
        <v>1929</v>
      </c>
      <c r="B55" s="0" t="s">
        <v>1927</v>
      </c>
      <c r="C55" s="0" t="s">
        <v>1928</v>
      </c>
      <c r="D55" s="81" t="n">
        <v>45184.6041666667</v>
      </c>
    </row>
    <row r="56" customFormat="false" ht="15" hidden="true" customHeight="false" outlineLevel="0" collapsed="false">
      <c r="A56" s="0" t="s">
        <v>613</v>
      </c>
      <c r="B56" s="0" t="s">
        <v>611</v>
      </c>
      <c r="C56" s="0" t="s">
        <v>612</v>
      </c>
      <c r="D56" s="81" t="n">
        <v>45184.6666666667</v>
      </c>
    </row>
    <row r="57" customFormat="false" ht="15" hidden="true" customHeight="false" outlineLevel="0" collapsed="false">
      <c r="A57" s="0" t="s">
        <v>2477</v>
      </c>
      <c r="B57" s="0" t="s">
        <v>2476</v>
      </c>
      <c r="C57" s="0" t="s">
        <v>829</v>
      </c>
      <c r="D57" s="81" t="n">
        <v>45187.6458333333</v>
      </c>
    </row>
    <row r="58" customFormat="false" ht="15" hidden="true" customHeight="false" outlineLevel="0" collapsed="false">
      <c r="A58" s="0" t="s">
        <v>4131</v>
      </c>
      <c r="B58" s="0" t="s">
        <v>4102</v>
      </c>
      <c r="C58" s="0" t="s">
        <v>3825</v>
      </c>
      <c r="D58" s="81" t="n">
        <v>45188.5625</v>
      </c>
    </row>
    <row r="59" customFormat="false" ht="15" hidden="true" customHeight="false" outlineLevel="0" collapsed="false">
      <c r="A59" s="0" t="s">
        <v>6049</v>
      </c>
      <c r="B59" s="0" t="s">
        <v>6047</v>
      </c>
      <c r="C59" s="0" t="s">
        <v>6048</v>
      </c>
      <c r="D59" s="81" t="n">
        <v>45188.625</v>
      </c>
    </row>
    <row r="60" customFormat="false" ht="15" hidden="true" customHeight="false" outlineLevel="0" collapsed="false">
      <c r="A60" s="0" t="s">
        <v>16228</v>
      </c>
      <c r="B60" s="0" t="s">
        <v>16229</v>
      </c>
      <c r="C60" s="0" t="s">
        <v>16229</v>
      </c>
      <c r="D60" s="81" t="n">
        <v>45188.6875</v>
      </c>
    </row>
    <row r="61" customFormat="false" ht="15" hidden="true" customHeight="false" outlineLevel="0" collapsed="false">
      <c r="A61" s="0" t="s">
        <v>5691</v>
      </c>
      <c r="B61" s="0" t="s">
        <v>578</v>
      </c>
      <c r="C61" s="0" t="s">
        <v>419</v>
      </c>
      <c r="D61" s="81" t="n">
        <v>45189.4895833333</v>
      </c>
    </row>
    <row r="62" customFormat="false" ht="15" hidden="true" customHeight="false" outlineLevel="0" collapsed="false">
      <c r="A62" s="0" t="s">
        <v>7692</v>
      </c>
      <c r="B62" s="0" t="s">
        <v>6697</v>
      </c>
      <c r="C62" s="0" t="s">
        <v>6347</v>
      </c>
      <c r="D62" s="81" t="n">
        <v>45190.4166666667</v>
      </c>
      <c r="E62" s="82" t="s">
        <v>7698</v>
      </c>
    </row>
    <row r="63" customFormat="false" ht="15" hidden="true" customHeight="false" outlineLevel="0" collapsed="false">
      <c r="A63" s="0" t="s">
        <v>8302</v>
      </c>
      <c r="B63" s="0" t="s">
        <v>8301</v>
      </c>
      <c r="C63" s="0" t="s">
        <v>3633</v>
      </c>
      <c r="D63" s="81" t="n">
        <v>45190.4791666667</v>
      </c>
    </row>
    <row r="64" customFormat="false" ht="15" hidden="true" customHeight="false" outlineLevel="0" collapsed="false">
      <c r="A64" s="0" t="s">
        <v>2049</v>
      </c>
      <c r="B64" s="0" t="s">
        <v>2047</v>
      </c>
      <c r="C64" s="0" t="s">
        <v>2048</v>
      </c>
      <c r="D64" s="81" t="n">
        <v>45190.625</v>
      </c>
    </row>
    <row r="65" customFormat="false" ht="15" hidden="true" customHeight="false" outlineLevel="0" collapsed="false">
      <c r="A65" s="0" t="s">
        <v>2606</v>
      </c>
      <c r="B65" s="0" t="s">
        <v>2604</v>
      </c>
      <c r="C65" s="0" t="s">
        <v>2605</v>
      </c>
      <c r="D65" s="81" t="n">
        <v>45191.4166666667</v>
      </c>
    </row>
    <row r="66" customFormat="false" ht="15" hidden="true" customHeight="false" outlineLevel="0" collapsed="false">
      <c r="A66" s="0" t="s">
        <v>7690</v>
      </c>
      <c r="B66" s="0" t="s">
        <v>7689</v>
      </c>
      <c r="C66" s="0" t="s">
        <v>399</v>
      </c>
      <c r="D66" s="81" t="n">
        <v>45191.4791666667</v>
      </c>
    </row>
    <row r="67" customFormat="false" ht="15" hidden="true" customHeight="false" outlineLevel="0" collapsed="false">
      <c r="A67" s="0" t="s">
        <v>1803</v>
      </c>
      <c r="B67" s="0" t="s">
        <v>1801</v>
      </c>
      <c r="C67" s="0" t="s">
        <v>1802</v>
      </c>
      <c r="D67" s="81" t="n">
        <v>45191.5833333333</v>
      </c>
    </row>
    <row r="68" customFormat="false" ht="15" hidden="true" customHeight="false" outlineLevel="0" collapsed="false">
      <c r="A68" s="0" t="s">
        <v>16230</v>
      </c>
      <c r="B68" s="0" t="s">
        <v>13078</v>
      </c>
      <c r="C68" s="0" t="s">
        <v>13078</v>
      </c>
      <c r="D68" s="81" t="n">
        <v>45195.6666666667</v>
      </c>
    </row>
    <row r="69" customFormat="false" ht="15" hidden="true" customHeight="false" outlineLevel="0" collapsed="false">
      <c r="A69" s="0" t="s">
        <v>812</v>
      </c>
      <c r="B69" s="0" t="s">
        <v>810</v>
      </c>
      <c r="C69" s="0" t="s">
        <v>811</v>
      </c>
      <c r="D69" s="81" t="n">
        <v>45196.4166666667</v>
      </c>
    </row>
    <row r="70" customFormat="false" ht="15" hidden="true" customHeight="false" outlineLevel="0" collapsed="false">
      <c r="A70" s="0" t="s">
        <v>1595</v>
      </c>
      <c r="B70" s="0" t="s">
        <v>1594</v>
      </c>
      <c r="C70" s="0" t="s">
        <v>128</v>
      </c>
      <c r="D70" s="81" t="n">
        <v>45198.4166666667</v>
      </c>
    </row>
    <row r="71" customFormat="false" ht="15" hidden="true" customHeight="false" outlineLevel="0" collapsed="false">
      <c r="A71" s="0" t="s">
        <v>6848</v>
      </c>
      <c r="B71" s="0" t="s">
        <v>6847</v>
      </c>
      <c r="C71" s="0" t="s">
        <v>4227</v>
      </c>
      <c r="D71" s="81" t="n">
        <v>45198.4791666667</v>
      </c>
    </row>
    <row r="72" customFormat="false" ht="15" hidden="true" customHeight="false" outlineLevel="0" collapsed="false">
      <c r="A72" s="0" t="s">
        <v>2296</v>
      </c>
      <c r="B72" s="0" t="s">
        <v>2295</v>
      </c>
      <c r="C72" s="0" t="s">
        <v>495</v>
      </c>
      <c r="D72" s="81" t="n">
        <v>45201.3958333333</v>
      </c>
    </row>
    <row r="73" customFormat="false" ht="15" hidden="true" customHeight="false" outlineLevel="0" collapsed="false">
      <c r="A73" s="0" t="s">
        <v>2513</v>
      </c>
      <c r="B73" s="0" t="s">
        <v>2512</v>
      </c>
      <c r="C73" s="0" t="s">
        <v>1584</v>
      </c>
      <c r="D73" s="81" t="n">
        <v>45201.4791666667</v>
      </c>
    </row>
    <row r="74" customFormat="false" ht="15" hidden="true" customHeight="false" outlineLevel="0" collapsed="false">
      <c r="A74" s="0" t="s">
        <v>2002</v>
      </c>
      <c r="B74" s="0" t="s">
        <v>2000</v>
      </c>
      <c r="C74" s="0" t="s">
        <v>2001</v>
      </c>
      <c r="D74" s="81" t="n">
        <v>45201.5625</v>
      </c>
    </row>
    <row r="75" customFormat="false" ht="15" hidden="true" customHeight="false" outlineLevel="0" collapsed="false">
      <c r="A75" s="0" t="s">
        <v>4207</v>
      </c>
      <c r="B75" s="0" t="s">
        <v>4205</v>
      </c>
      <c r="C75" s="0" t="s">
        <v>4206</v>
      </c>
      <c r="D75" s="81" t="n">
        <v>45201.625</v>
      </c>
    </row>
    <row r="76" customFormat="false" ht="15" hidden="true" customHeight="false" outlineLevel="0" collapsed="false">
      <c r="A76" s="0" t="s">
        <v>8510</v>
      </c>
      <c r="B76" s="0" t="s">
        <v>3270</v>
      </c>
      <c r="C76" s="0" t="s">
        <v>5648</v>
      </c>
      <c r="D76" s="81" t="n">
        <v>45202.5</v>
      </c>
    </row>
    <row r="77" customFormat="false" ht="15" hidden="true" customHeight="false" outlineLevel="0" collapsed="false">
      <c r="A77" s="0" t="s">
        <v>496</v>
      </c>
      <c r="B77" s="0" t="s">
        <v>494</v>
      </c>
      <c r="C77" s="0" t="s">
        <v>495</v>
      </c>
      <c r="D77" s="81" t="n">
        <v>45202.5625</v>
      </c>
    </row>
    <row r="78" customFormat="false" ht="15" hidden="true" customHeight="false" outlineLevel="0" collapsed="false">
      <c r="A78" s="0" t="s">
        <v>8205</v>
      </c>
      <c r="B78" s="0" t="s">
        <v>8204</v>
      </c>
      <c r="C78" s="0" t="s">
        <v>1837</v>
      </c>
      <c r="D78" s="81" t="n">
        <v>45203.5416666667</v>
      </c>
    </row>
    <row r="79" customFormat="false" ht="15" hidden="true" customHeight="false" outlineLevel="0" collapsed="false">
      <c r="A79" s="0" t="s">
        <v>7859</v>
      </c>
      <c r="B79" s="0" t="s">
        <v>7858</v>
      </c>
      <c r="C79" s="0" t="s">
        <v>2481</v>
      </c>
      <c r="D79" s="81" t="n">
        <v>45203.6666666667</v>
      </c>
    </row>
    <row r="80" customFormat="false" ht="15" hidden="true" customHeight="false" outlineLevel="0" collapsed="false">
      <c r="A80" s="0" t="s">
        <v>2242</v>
      </c>
      <c r="B80" s="0" t="s">
        <v>2241</v>
      </c>
      <c r="C80" s="0" t="s">
        <v>1007</v>
      </c>
      <c r="D80" s="81" t="n">
        <v>45204.4791666667</v>
      </c>
    </row>
    <row r="81" customFormat="false" ht="15" hidden="true" customHeight="false" outlineLevel="0" collapsed="false">
      <c r="A81" s="0" t="s">
        <v>2687</v>
      </c>
      <c r="B81" s="0" t="s">
        <v>2686</v>
      </c>
      <c r="C81" s="0" t="s">
        <v>1584</v>
      </c>
      <c r="D81" s="81" t="n">
        <v>45204.5625</v>
      </c>
    </row>
    <row r="82" customFormat="false" ht="15" hidden="true" customHeight="false" outlineLevel="0" collapsed="false">
      <c r="A82" s="0" t="s">
        <v>1743</v>
      </c>
      <c r="B82" s="0" t="s">
        <v>1741</v>
      </c>
      <c r="C82" s="0" t="s">
        <v>1742</v>
      </c>
      <c r="D82" s="81" t="n">
        <v>45204.625</v>
      </c>
    </row>
    <row r="83" customFormat="false" ht="15" hidden="true" customHeight="false" outlineLevel="0" collapsed="false">
      <c r="A83" s="0" t="s">
        <v>4521</v>
      </c>
      <c r="B83" s="0" t="s">
        <v>4519</v>
      </c>
      <c r="C83" s="0" t="s">
        <v>4520</v>
      </c>
      <c r="D83" s="81" t="n">
        <v>45204.6875</v>
      </c>
    </row>
    <row r="84" customFormat="false" ht="15" hidden="true" customHeight="false" outlineLevel="0" collapsed="false">
      <c r="A84" s="0" t="s">
        <v>8955</v>
      </c>
      <c r="B84" s="0" t="s">
        <v>8954</v>
      </c>
      <c r="C84" s="0" t="s">
        <v>450</v>
      </c>
      <c r="D84" s="81" t="n">
        <v>45205.4583333333</v>
      </c>
    </row>
    <row r="85" customFormat="false" ht="15" hidden="true" customHeight="false" outlineLevel="0" collapsed="false">
      <c r="A85" s="0" t="s">
        <v>10614</v>
      </c>
      <c r="B85" s="0" t="s">
        <v>10613</v>
      </c>
      <c r="C85" s="0" t="s">
        <v>170</v>
      </c>
      <c r="D85" s="81" t="n">
        <v>45205.5208333333</v>
      </c>
    </row>
    <row r="86" customFormat="false" ht="15" hidden="true" customHeight="false" outlineLevel="0" collapsed="false">
      <c r="A86" s="0" t="s">
        <v>8103</v>
      </c>
      <c r="B86" s="0" t="s">
        <v>8102</v>
      </c>
      <c r="C86" s="0" t="s">
        <v>1460</v>
      </c>
      <c r="D86" s="81" t="n">
        <v>45205.6458333333</v>
      </c>
    </row>
    <row r="87" customFormat="false" ht="15" hidden="true" customHeight="false" outlineLevel="0" collapsed="false">
      <c r="A87" s="0" t="s">
        <v>3921</v>
      </c>
      <c r="B87" s="0" t="s">
        <v>3919</v>
      </c>
      <c r="C87" s="0" t="s">
        <v>3920</v>
      </c>
      <c r="D87" s="81" t="n">
        <v>45205.7083333333</v>
      </c>
    </row>
    <row r="88" customFormat="false" ht="15" hidden="true" customHeight="false" outlineLevel="0" collapsed="false">
      <c r="A88" s="0" t="s">
        <v>2696</v>
      </c>
      <c r="B88" s="0" t="s">
        <v>2695</v>
      </c>
      <c r="C88" s="0" t="s">
        <v>2217</v>
      </c>
      <c r="D88" s="81" t="n">
        <v>45208.4791666667</v>
      </c>
    </row>
    <row r="89" customFormat="false" ht="15" hidden="true" customHeight="false" outlineLevel="0" collapsed="false">
      <c r="A89" s="0" t="s">
        <v>8568</v>
      </c>
      <c r="B89" s="0" t="s">
        <v>8567</v>
      </c>
      <c r="C89" s="0" t="s">
        <v>4191</v>
      </c>
      <c r="D89" s="81" t="n">
        <v>45208.5625</v>
      </c>
    </row>
    <row r="90" customFormat="false" ht="15" hidden="true" customHeight="false" outlineLevel="0" collapsed="false">
      <c r="A90" s="0" t="s">
        <v>5957</v>
      </c>
      <c r="B90" s="0" t="s">
        <v>2947</v>
      </c>
      <c r="C90" s="0" t="s">
        <v>183</v>
      </c>
      <c r="D90" s="81" t="n">
        <v>45208.6458333333</v>
      </c>
    </row>
    <row r="91" customFormat="false" ht="15" hidden="true" customHeight="false" outlineLevel="0" collapsed="false">
      <c r="A91" s="0" t="s">
        <v>6753</v>
      </c>
      <c r="B91" s="0" t="s">
        <v>6751</v>
      </c>
      <c r="C91" s="0" t="s">
        <v>6752</v>
      </c>
      <c r="D91" s="81" t="n">
        <v>45209.3958333333</v>
      </c>
    </row>
    <row r="92" customFormat="false" ht="15" hidden="true" customHeight="false" outlineLevel="0" collapsed="false">
      <c r="A92" s="0" t="s">
        <v>1830</v>
      </c>
      <c r="B92" s="0" t="s">
        <v>1828</v>
      </c>
      <c r="C92" s="0" t="s">
        <v>1829</v>
      </c>
      <c r="D92" s="81" t="n">
        <v>45209.5625</v>
      </c>
    </row>
    <row r="93" customFormat="false" ht="15" hidden="true" customHeight="false" outlineLevel="0" collapsed="false">
      <c r="A93" s="0" t="s">
        <v>4618</v>
      </c>
      <c r="B93" s="0" t="s">
        <v>4616</v>
      </c>
      <c r="C93" s="0" t="s">
        <v>4617</v>
      </c>
      <c r="D93" s="81" t="n">
        <v>45209.6458333333</v>
      </c>
    </row>
    <row r="94" customFormat="false" ht="15" hidden="true" customHeight="false" outlineLevel="0" collapsed="false">
      <c r="A94" s="0" t="s">
        <v>16231</v>
      </c>
      <c r="B94" s="0" t="s">
        <v>16232</v>
      </c>
      <c r="C94" s="0" t="s">
        <v>1432</v>
      </c>
      <c r="D94" s="81" t="n">
        <v>45209.7083333333</v>
      </c>
    </row>
    <row r="95" customFormat="false" ht="15" hidden="true" customHeight="false" outlineLevel="0" collapsed="false">
      <c r="A95" s="0" t="s">
        <v>9959</v>
      </c>
      <c r="B95" s="0" t="s">
        <v>9957</v>
      </c>
      <c r="C95" s="0" t="s">
        <v>9958</v>
      </c>
      <c r="D95" s="81" t="n">
        <v>45210.3958333333</v>
      </c>
    </row>
    <row r="96" customFormat="false" ht="15" hidden="true" customHeight="false" outlineLevel="0" collapsed="false">
      <c r="A96" s="0" t="s">
        <v>7493</v>
      </c>
      <c r="B96" s="0" t="s">
        <v>7491</v>
      </c>
      <c r="C96" s="0" t="s">
        <v>7492</v>
      </c>
      <c r="D96" s="81" t="n">
        <v>45210.5</v>
      </c>
    </row>
    <row r="97" customFormat="false" ht="15" hidden="true" customHeight="false" outlineLevel="0" collapsed="false">
      <c r="A97" s="0" t="s">
        <v>1410</v>
      </c>
      <c r="B97" s="0" t="s">
        <v>1408</v>
      </c>
      <c r="C97" s="0" t="s">
        <v>1409</v>
      </c>
      <c r="D97" s="81" t="n">
        <v>45210.5625</v>
      </c>
    </row>
    <row r="98" customFormat="false" ht="15" hidden="true" customHeight="false" outlineLevel="0" collapsed="false">
      <c r="A98" s="0" t="s">
        <v>2482</v>
      </c>
      <c r="B98" s="0" t="s">
        <v>2480</v>
      </c>
      <c r="C98" s="0" t="s">
        <v>2481</v>
      </c>
      <c r="D98" s="81" t="n">
        <v>45210.6458333333</v>
      </c>
    </row>
    <row r="99" customFormat="false" ht="15" hidden="true" customHeight="false" outlineLevel="0" collapsed="false">
      <c r="A99" s="0" t="s">
        <v>16233</v>
      </c>
      <c r="B99" s="0" t="s">
        <v>11467</v>
      </c>
      <c r="C99" s="0" t="s">
        <v>11467</v>
      </c>
      <c r="D99" s="81" t="n">
        <v>45210.7083333333</v>
      </c>
    </row>
    <row r="100" customFormat="false" ht="15" hidden="true" customHeight="false" outlineLevel="0" collapsed="false">
      <c r="A100" s="0" t="s">
        <v>5045</v>
      </c>
      <c r="B100" s="0" t="s">
        <v>5044</v>
      </c>
      <c r="C100" s="0" t="s">
        <v>829</v>
      </c>
      <c r="D100" s="81" t="n">
        <v>45211.4166666667</v>
      </c>
    </row>
    <row r="101" customFormat="false" ht="15" hidden="true" customHeight="false" outlineLevel="0" collapsed="false">
      <c r="A101" s="0" t="s">
        <v>8680</v>
      </c>
      <c r="B101" s="0" t="s">
        <v>8679</v>
      </c>
      <c r="C101" s="0" t="s">
        <v>3724</v>
      </c>
      <c r="D101" s="81" t="n">
        <v>45215.5</v>
      </c>
    </row>
    <row r="102" customFormat="false" ht="15" hidden="true" customHeight="false" outlineLevel="0" collapsed="false">
      <c r="A102" s="0" t="s">
        <v>1081</v>
      </c>
      <c r="B102" s="0" t="s">
        <v>1080</v>
      </c>
      <c r="C102" s="0" t="s">
        <v>353</v>
      </c>
      <c r="D102" s="81" t="n">
        <v>45215.5625</v>
      </c>
    </row>
    <row r="103" customFormat="false" ht="15" hidden="true" customHeight="false" outlineLevel="0" collapsed="false">
      <c r="A103" s="0" t="s">
        <v>701</v>
      </c>
      <c r="B103" s="0" t="s">
        <v>699</v>
      </c>
      <c r="C103" s="0" t="s">
        <v>700</v>
      </c>
      <c r="D103" s="81" t="n">
        <v>45216.5625</v>
      </c>
    </row>
    <row r="104" customFormat="false" ht="15" hidden="true" customHeight="false" outlineLevel="0" collapsed="false">
      <c r="A104" s="0" t="s">
        <v>2376</v>
      </c>
      <c r="B104" s="0" t="s">
        <v>2223</v>
      </c>
      <c r="C104" s="0" t="s">
        <v>231</v>
      </c>
      <c r="D104" s="81" t="n">
        <v>45216.6458333333</v>
      </c>
      <c r="E104" s="82" t="s">
        <v>2383</v>
      </c>
    </row>
    <row r="105" customFormat="false" ht="15" hidden="true" customHeight="false" outlineLevel="0" collapsed="false">
      <c r="A105" s="0" t="s">
        <v>3316</v>
      </c>
      <c r="B105" s="0" t="s">
        <v>3315</v>
      </c>
      <c r="C105" s="0" t="s">
        <v>3281</v>
      </c>
      <c r="D105" s="81" t="n">
        <v>45218.5625</v>
      </c>
    </row>
    <row r="106" customFormat="false" ht="15" hidden="true" customHeight="false" outlineLevel="0" collapsed="false">
      <c r="A106" s="0" t="s">
        <v>4949</v>
      </c>
      <c r="B106" s="0" t="s">
        <v>4947</v>
      </c>
      <c r="C106" s="0" t="s">
        <v>4948</v>
      </c>
      <c r="D106" s="81" t="n">
        <v>45218.625</v>
      </c>
    </row>
    <row r="107" customFormat="false" ht="15" hidden="true" customHeight="false" outlineLevel="0" collapsed="false">
      <c r="A107" s="0" t="s">
        <v>720</v>
      </c>
      <c r="B107" s="0" t="s">
        <v>719</v>
      </c>
      <c r="C107" s="0" t="s">
        <v>59</v>
      </c>
      <c r="D107" s="81" t="n">
        <v>45219.3958333333</v>
      </c>
    </row>
    <row r="108" customFormat="false" ht="15" hidden="true" customHeight="false" outlineLevel="0" collapsed="false">
      <c r="A108" s="0" t="s">
        <v>152</v>
      </c>
      <c r="B108" s="0" t="s">
        <v>150</v>
      </c>
      <c r="C108" s="0" t="s">
        <v>151</v>
      </c>
      <c r="D108" s="81" t="n">
        <v>45219.4791666667</v>
      </c>
      <c r="E108" s="82" t="s">
        <v>155</v>
      </c>
    </row>
    <row r="109" customFormat="false" ht="15" hidden="true" customHeight="false" outlineLevel="0" collapsed="false">
      <c r="A109" s="0" t="s">
        <v>817</v>
      </c>
      <c r="B109" s="0" t="s">
        <v>816</v>
      </c>
      <c r="C109" s="0" t="s">
        <v>231</v>
      </c>
      <c r="D109" s="81" t="n">
        <v>45219.5416666667</v>
      </c>
    </row>
    <row r="110" customFormat="false" ht="15" hidden="true" customHeight="false" outlineLevel="0" collapsed="false">
      <c r="A110" s="0" t="s">
        <v>1480</v>
      </c>
      <c r="B110" s="0" t="s">
        <v>1478</v>
      </c>
      <c r="C110" s="0" t="s">
        <v>1479</v>
      </c>
      <c r="D110" s="81" t="n">
        <v>45219.6041666667</v>
      </c>
    </row>
    <row r="111" customFormat="false" ht="15" hidden="true" customHeight="false" outlineLevel="0" collapsed="false">
      <c r="A111" s="0" t="s">
        <v>16234</v>
      </c>
      <c r="B111" s="0" t="s">
        <v>16235</v>
      </c>
      <c r="C111" s="0" t="s">
        <v>1837</v>
      </c>
      <c r="D111" s="81" t="n">
        <v>45222.4166666667</v>
      </c>
    </row>
    <row r="112" customFormat="false" ht="15" hidden="true" customHeight="false" outlineLevel="0" collapsed="false">
      <c r="A112" s="0" t="s">
        <v>2133</v>
      </c>
      <c r="B112" s="0" t="s">
        <v>2131</v>
      </c>
      <c r="C112" s="0" t="s">
        <v>2132</v>
      </c>
      <c r="D112" s="81" t="n">
        <v>45222.5</v>
      </c>
    </row>
    <row r="113" customFormat="false" ht="15" hidden="true" customHeight="false" outlineLevel="0" collapsed="false">
      <c r="A113" s="0" t="s">
        <v>1075</v>
      </c>
      <c r="B113" s="0" t="s">
        <v>1073</v>
      </c>
      <c r="C113" s="0" t="s">
        <v>1074</v>
      </c>
      <c r="D113" s="81" t="n">
        <v>45222.5833333333</v>
      </c>
    </row>
    <row r="114" customFormat="false" ht="15" hidden="true" customHeight="false" outlineLevel="0" collapsed="false">
      <c r="A114" s="0" t="s">
        <v>2590</v>
      </c>
      <c r="B114" s="0" t="s">
        <v>2588</v>
      </c>
      <c r="C114" s="0" t="s">
        <v>2589</v>
      </c>
      <c r="D114" s="81" t="n">
        <v>45222.6666666667</v>
      </c>
    </row>
    <row r="115" customFormat="false" ht="15" hidden="true" customHeight="false" outlineLevel="0" collapsed="false">
      <c r="A115" s="0" t="s">
        <v>16236</v>
      </c>
      <c r="B115" s="0" t="s">
        <v>16237</v>
      </c>
      <c r="C115" s="0" t="s">
        <v>2217</v>
      </c>
      <c r="D115" s="81" t="n">
        <v>45223.4791666667</v>
      </c>
    </row>
    <row r="116" customFormat="false" ht="15" hidden="true" customHeight="false" outlineLevel="0" collapsed="false">
      <c r="A116" s="0" t="s">
        <v>3288</v>
      </c>
      <c r="B116" s="0" t="s">
        <v>3287</v>
      </c>
      <c r="C116" s="0" t="s">
        <v>839</v>
      </c>
      <c r="D116" s="81" t="n">
        <v>45223.5625</v>
      </c>
    </row>
    <row r="117" customFormat="false" ht="15" hidden="true" customHeight="false" outlineLevel="0" collapsed="false">
      <c r="A117" s="0" t="s">
        <v>2586</v>
      </c>
      <c r="B117" s="0" t="s">
        <v>2584</v>
      </c>
      <c r="C117" s="0" t="s">
        <v>2585</v>
      </c>
      <c r="D117" s="81" t="n">
        <v>45223.6458333333</v>
      </c>
    </row>
    <row r="118" customFormat="false" ht="15" hidden="true" customHeight="false" outlineLevel="0" collapsed="false">
      <c r="A118" s="0" t="s">
        <v>2124</v>
      </c>
      <c r="B118" s="0" t="s">
        <v>2122</v>
      </c>
      <c r="C118" s="0" t="s">
        <v>2123</v>
      </c>
      <c r="D118" s="81" t="n">
        <v>45223.7083333333</v>
      </c>
    </row>
    <row r="119" customFormat="false" ht="15" hidden="true" customHeight="false" outlineLevel="0" collapsed="false">
      <c r="A119" s="0" t="s">
        <v>16238</v>
      </c>
      <c r="B119" s="0" t="s">
        <v>16239</v>
      </c>
      <c r="C119" s="0" t="s">
        <v>183</v>
      </c>
      <c r="D119" s="81" t="n">
        <v>45224.4375</v>
      </c>
    </row>
    <row r="120" customFormat="false" ht="15" hidden="true" customHeight="false" outlineLevel="0" collapsed="false">
      <c r="A120" s="0" t="s">
        <v>16240</v>
      </c>
      <c r="B120" s="0" t="s">
        <v>12690</v>
      </c>
      <c r="C120" s="0" t="s">
        <v>12690</v>
      </c>
      <c r="D120" s="81" t="n">
        <v>45224.4375</v>
      </c>
    </row>
    <row r="121" customFormat="false" ht="15" hidden="true" customHeight="false" outlineLevel="0" collapsed="false">
      <c r="A121" s="0" t="s">
        <v>16241</v>
      </c>
      <c r="B121" s="0" t="s">
        <v>13130</v>
      </c>
      <c r="C121" s="0" t="s">
        <v>13130</v>
      </c>
      <c r="D121" s="81" t="n">
        <v>45224.5208333333</v>
      </c>
    </row>
    <row r="122" customFormat="false" ht="15" hidden="true" customHeight="false" outlineLevel="0" collapsed="false">
      <c r="A122" s="0" t="s">
        <v>1620</v>
      </c>
      <c r="B122" s="0" t="s">
        <v>1619</v>
      </c>
      <c r="C122" s="0" t="s">
        <v>643</v>
      </c>
      <c r="D122" s="81" t="n">
        <v>45224.6458333333</v>
      </c>
    </row>
    <row r="123" customFormat="false" ht="15" hidden="true" customHeight="false" outlineLevel="0" collapsed="false">
      <c r="A123" s="0" t="s">
        <v>1591</v>
      </c>
      <c r="B123" s="0" t="s">
        <v>1589</v>
      </c>
      <c r="C123" s="0" t="s">
        <v>1590</v>
      </c>
      <c r="D123" s="81" t="n">
        <v>45224.7083333333</v>
      </c>
    </row>
    <row r="124" customFormat="false" ht="15" hidden="true" customHeight="false" outlineLevel="0" collapsed="false">
      <c r="A124" s="0" t="s">
        <v>5395</v>
      </c>
      <c r="B124" s="0" t="s">
        <v>5394</v>
      </c>
      <c r="C124" s="0" t="s">
        <v>2901</v>
      </c>
      <c r="D124" s="81" t="n">
        <v>45225.4583333333</v>
      </c>
    </row>
    <row r="125" customFormat="false" ht="15" hidden="true" customHeight="false" outlineLevel="0" collapsed="false">
      <c r="A125" s="0" t="s">
        <v>16242</v>
      </c>
      <c r="B125" s="0" t="s">
        <v>15348</v>
      </c>
      <c r="C125" s="0" t="s">
        <v>15349</v>
      </c>
      <c r="D125" s="81" t="n">
        <v>45226.3958333333</v>
      </c>
    </row>
    <row r="126" customFormat="false" ht="15" hidden="true" customHeight="false" outlineLevel="0" collapsed="false">
      <c r="A126" s="0" t="s">
        <v>3730</v>
      </c>
      <c r="B126" s="0" t="s">
        <v>3729</v>
      </c>
      <c r="C126" s="0" t="s">
        <v>1859</v>
      </c>
      <c r="D126" s="81" t="n">
        <v>45226.6666666667</v>
      </c>
    </row>
    <row r="127" customFormat="false" ht="15" hidden="true" customHeight="false" outlineLevel="0" collapsed="false">
      <c r="A127" s="0" t="s">
        <v>16243</v>
      </c>
      <c r="B127" s="0" t="s">
        <v>11514</v>
      </c>
      <c r="C127" s="0" t="s">
        <v>11514</v>
      </c>
      <c r="D127" s="81" t="n">
        <v>45232.4166666667</v>
      </c>
    </row>
    <row r="128" customFormat="false" ht="15" hidden="true" customHeight="false" outlineLevel="0" collapsed="false">
      <c r="A128" s="0" t="s">
        <v>2117</v>
      </c>
      <c r="B128" s="0" t="s">
        <v>2116</v>
      </c>
      <c r="C128" s="0" t="s">
        <v>320</v>
      </c>
      <c r="D128" s="81" t="n">
        <v>45232.4583333333</v>
      </c>
    </row>
    <row r="129" customFormat="false" ht="15" hidden="true" customHeight="false" outlineLevel="0" collapsed="false">
      <c r="A129" s="0" t="s">
        <v>1188</v>
      </c>
      <c r="B129" s="0" t="s">
        <v>1186</v>
      </c>
      <c r="C129" s="0" t="s">
        <v>1187</v>
      </c>
      <c r="D129" s="81" t="n">
        <v>45232.5</v>
      </c>
    </row>
    <row r="130" customFormat="false" ht="15" hidden="true" customHeight="false" outlineLevel="0" collapsed="false">
      <c r="A130" s="0" t="s">
        <v>16244</v>
      </c>
      <c r="B130" s="0" t="s">
        <v>13855</v>
      </c>
      <c r="C130" s="0" t="s">
        <v>6837</v>
      </c>
      <c r="D130" s="81" t="n">
        <v>45232.6041666667</v>
      </c>
    </row>
    <row r="131" customFormat="false" ht="15" hidden="true" customHeight="false" outlineLevel="0" collapsed="false">
      <c r="A131" s="0" t="s">
        <v>3064</v>
      </c>
      <c r="B131" s="0" t="s">
        <v>3062</v>
      </c>
      <c r="C131" s="0" t="s">
        <v>3063</v>
      </c>
      <c r="D131" s="81" t="n">
        <v>45232.6666666667</v>
      </c>
    </row>
    <row r="132" customFormat="false" ht="15" hidden="true" customHeight="false" outlineLevel="0" collapsed="false">
      <c r="A132" s="0" t="s">
        <v>16245</v>
      </c>
      <c r="B132" s="0" t="s">
        <v>16246</v>
      </c>
      <c r="C132" s="0" t="s">
        <v>170</v>
      </c>
      <c r="D132" s="81" t="n">
        <v>45233.4166666667</v>
      </c>
    </row>
    <row r="133" customFormat="false" ht="15" hidden="true" customHeight="false" outlineLevel="0" collapsed="false">
      <c r="A133" s="0" t="s">
        <v>2735</v>
      </c>
      <c r="B133" s="0" t="s">
        <v>2733</v>
      </c>
      <c r="C133" s="0" t="s">
        <v>2734</v>
      </c>
      <c r="D133" s="81" t="n">
        <v>45233.4583333333</v>
      </c>
    </row>
    <row r="134" customFormat="false" ht="15" hidden="true" customHeight="false" outlineLevel="0" collapsed="false">
      <c r="A134" s="0" t="s">
        <v>16247</v>
      </c>
      <c r="B134" s="0" t="s">
        <v>4829</v>
      </c>
      <c r="C134" s="0" t="s">
        <v>1510</v>
      </c>
      <c r="D134" s="81" t="n">
        <v>45233.5208333333</v>
      </c>
    </row>
    <row r="135" customFormat="false" ht="15" hidden="true" customHeight="false" outlineLevel="0" collapsed="false">
      <c r="A135" s="0" t="s">
        <v>4844</v>
      </c>
      <c r="B135" s="0" t="s">
        <v>4842</v>
      </c>
      <c r="C135" s="0" t="s">
        <v>4843</v>
      </c>
      <c r="D135" s="81" t="n">
        <v>45233.6041666667</v>
      </c>
    </row>
    <row r="136" customFormat="false" ht="15" hidden="true" customHeight="false" outlineLevel="0" collapsed="false">
      <c r="A136" s="0" t="s">
        <v>1911</v>
      </c>
      <c r="B136" s="0" t="s">
        <v>1909</v>
      </c>
      <c r="C136" s="0" t="s">
        <v>1910</v>
      </c>
      <c r="D136" s="81" t="n">
        <v>45233.6666666667</v>
      </c>
    </row>
    <row r="137" customFormat="false" ht="15" hidden="true" customHeight="false" outlineLevel="0" collapsed="false">
      <c r="A137" s="0" t="s">
        <v>9686</v>
      </c>
      <c r="B137" s="0" t="s">
        <v>9684</v>
      </c>
      <c r="C137" s="0" t="s">
        <v>9685</v>
      </c>
      <c r="D137" s="81" t="n">
        <v>45236.4375</v>
      </c>
    </row>
    <row r="138" customFormat="false" ht="15" hidden="true" customHeight="false" outlineLevel="0" collapsed="false">
      <c r="A138" s="0" t="s">
        <v>3671</v>
      </c>
      <c r="B138" s="0" t="s">
        <v>3669</v>
      </c>
      <c r="C138" s="0" t="s">
        <v>3670</v>
      </c>
      <c r="D138" s="81" t="n">
        <v>45236.5208333333</v>
      </c>
    </row>
    <row r="139" customFormat="false" ht="15" hidden="true" customHeight="false" outlineLevel="0" collapsed="false">
      <c r="A139" s="0" t="s">
        <v>2772</v>
      </c>
      <c r="B139" s="0" t="s">
        <v>2771</v>
      </c>
      <c r="C139" s="0" t="s">
        <v>2481</v>
      </c>
      <c r="D139" s="81" t="n">
        <v>45236.625</v>
      </c>
    </row>
    <row r="140" customFormat="false" ht="15" hidden="true" customHeight="false" outlineLevel="0" collapsed="false">
      <c r="A140" s="0" t="s">
        <v>16248</v>
      </c>
      <c r="B140" s="0" t="s">
        <v>16249</v>
      </c>
      <c r="C140" s="0" t="s">
        <v>16250</v>
      </c>
      <c r="D140" s="81" t="n">
        <v>45236.6875</v>
      </c>
    </row>
    <row r="141" customFormat="false" ht="15" hidden="true" customHeight="false" outlineLevel="0" collapsed="false">
      <c r="A141" s="0" t="s">
        <v>16251</v>
      </c>
      <c r="B141" s="0" t="s">
        <v>509</v>
      </c>
      <c r="C141" s="0" t="s">
        <v>1584</v>
      </c>
      <c r="D141" s="81" t="n">
        <v>45238.3958333333</v>
      </c>
    </row>
    <row r="142" customFormat="false" ht="15" hidden="true" customHeight="false" outlineLevel="0" collapsed="false">
      <c r="A142" s="0" t="s">
        <v>16252</v>
      </c>
      <c r="B142" s="0" t="s">
        <v>16253</v>
      </c>
      <c r="C142" s="0" t="s">
        <v>10084</v>
      </c>
      <c r="D142" s="81" t="n">
        <v>45238.5</v>
      </c>
    </row>
    <row r="143" customFormat="false" ht="15" hidden="true" customHeight="false" outlineLevel="0" collapsed="false">
      <c r="A143" s="0" t="s">
        <v>16254</v>
      </c>
      <c r="B143" s="0" t="s">
        <v>11535</v>
      </c>
      <c r="C143" s="0" t="s">
        <v>11535</v>
      </c>
      <c r="D143" s="81" t="n">
        <v>45238.5</v>
      </c>
      <c r="E143" s="82" t="s">
        <v>16255</v>
      </c>
    </row>
    <row r="144" customFormat="false" ht="15" hidden="true" customHeight="false" outlineLevel="0" collapsed="false">
      <c r="A144" s="0" t="s">
        <v>16256</v>
      </c>
      <c r="B144" s="0" t="s">
        <v>11770</v>
      </c>
      <c r="C144" s="0" t="s">
        <v>11770</v>
      </c>
      <c r="D144" s="81" t="n">
        <v>45238.625</v>
      </c>
    </row>
    <row r="145" customFormat="false" ht="15" hidden="true" customHeight="false" outlineLevel="0" collapsed="false">
      <c r="A145" s="0" t="s">
        <v>16257</v>
      </c>
      <c r="B145" s="0" t="s">
        <v>8051</v>
      </c>
      <c r="C145" s="0" t="s">
        <v>15098</v>
      </c>
      <c r="D145" s="81" t="n">
        <v>45238.625</v>
      </c>
    </row>
    <row r="146" customFormat="false" ht="15" hidden="true" customHeight="false" outlineLevel="0" collapsed="false">
      <c r="A146" s="0" t="s">
        <v>4732</v>
      </c>
      <c r="B146" s="0" t="s">
        <v>4731</v>
      </c>
      <c r="C146" s="0" t="s">
        <v>231</v>
      </c>
      <c r="D146" s="81" t="n">
        <v>45239.5</v>
      </c>
    </row>
    <row r="147" customFormat="false" ht="15" hidden="true" customHeight="false" outlineLevel="0" collapsed="false">
      <c r="A147" s="0" t="s">
        <v>2165</v>
      </c>
      <c r="B147" s="0" t="s">
        <v>2163</v>
      </c>
      <c r="C147" s="0" t="s">
        <v>2164</v>
      </c>
      <c r="D147" s="81" t="n">
        <v>45240.5833333333</v>
      </c>
    </row>
    <row r="148" customFormat="false" ht="15" hidden="true" customHeight="false" outlineLevel="0" collapsed="false">
      <c r="A148" s="0" t="s">
        <v>5215</v>
      </c>
      <c r="B148" s="0" t="s">
        <v>5214</v>
      </c>
      <c r="C148" s="0" t="s">
        <v>1928</v>
      </c>
      <c r="D148" s="81" t="n">
        <v>45240.6458333333</v>
      </c>
    </row>
    <row r="149" customFormat="false" ht="15" hidden="true" customHeight="false" outlineLevel="0" collapsed="false">
      <c r="A149" s="0" t="s">
        <v>3069</v>
      </c>
      <c r="B149" s="0" t="s">
        <v>3068</v>
      </c>
      <c r="C149" s="0" t="s">
        <v>1174</v>
      </c>
      <c r="D149" s="81" t="n">
        <v>45243.4375</v>
      </c>
    </row>
    <row r="150" customFormat="false" ht="15" hidden="true" customHeight="false" outlineLevel="0" collapsed="false">
      <c r="A150" s="0" t="s">
        <v>3505</v>
      </c>
      <c r="B150" s="0" t="s">
        <v>3504</v>
      </c>
      <c r="C150" s="0" t="s">
        <v>1218</v>
      </c>
      <c r="D150" s="81" t="n">
        <v>45243.5208333333</v>
      </c>
    </row>
    <row r="151" customFormat="false" ht="15" hidden="true" customHeight="false" outlineLevel="0" collapsed="false">
      <c r="A151" s="0" t="s">
        <v>4197</v>
      </c>
      <c r="B151" s="0" t="s">
        <v>4196</v>
      </c>
      <c r="C151" s="0" t="s">
        <v>2254</v>
      </c>
      <c r="D151" s="81" t="n">
        <v>45243.5833333333</v>
      </c>
    </row>
    <row r="152" customFormat="false" ht="15" hidden="true" customHeight="false" outlineLevel="0" collapsed="false">
      <c r="A152" s="0" t="s">
        <v>4277</v>
      </c>
      <c r="B152" s="0" t="s">
        <v>4276</v>
      </c>
      <c r="C152" s="0" t="s">
        <v>3439</v>
      </c>
      <c r="D152" s="81" t="n">
        <v>45243.6666666667</v>
      </c>
    </row>
    <row r="153" customFormat="false" ht="15" hidden="true" customHeight="false" outlineLevel="0" collapsed="false">
      <c r="A153" s="0" t="s">
        <v>16258</v>
      </c>
      <c r="B153" s="0" t="s">
        <v>15617</v>
      </c>
      <c r="C153" s="0" t="s">
        <v>1275</v>
      </c>
      <c r="D153" s="81" t="n">
        <v>45244.4375</v>
      </c>
    </row>
    <row r="154" customFormat="false" ht="15" hidden="true" customHeight="false" outlineLevel="0" collapsed="false">
      <c r="A154" s="0" t="s">
        <v>16259</v>
      </c>
      <c r="B154" s="0" t="s">
        <v>16260</v>
      </c>
      <c r="C154" s="0" t="s">
        <v>353</v>
      </c>
      <c r="D154" s="81" t="n">
        <v>45244.4791666667</v>
      </c>
    </row>
    <row r="155" customFormat="false" ht="15" hidden="true" customHeight="false" outlineLevel="0" collapsed="false">
      <c r="A155" s="0" t="s">
        <v>16261</v>
      </c>
      <c r="B155" s="0" t="s">
        <v>16262</v>
      </c>
      <c r="C155" s="0" t="s">
        <v>9426</v>
      </c>
      <c r="D155" s="81" t="n">
        <v>45244.4791666667</v>
      </c>
    </row>
    <row r="156" customFormat="false" ht="15" hidden="true" customHeight="false" outlineLevel="0" collapsed="false">
      <c r="A156" s="0" t="s">
        <v>4888</v>
      </c>
      <c r="B156" s="0" t="s">
        <v>4887</v>
      </c>
      <c r="C156" s="0" t="s">
        <v>1270</v>
      </c>
      <c r="D156" s="81" t="n">
        <v>45245.3958333333</v>
      </c>
    </row>
    <row r="157" customFormat="false" ht="15" hidden="true" customHeight="false" outlineLevel="0" collapsed="false">
      <c r="A157" s="0" t="s">
        <v>16263</v>
      </c>
      <c r="B157" s="0" t="s">
        <v>9287</v>
      </c>
      <c r="C157" s="0" t="s">
        <v>1777</v>
      </c>
      <c r="D157" s="81" t="n">
        <v>45245.5416666667</v>
      </c>
    </row>
    <row r="158" customFormat="false" ht="15" hidden="true" customHeight="false" outlineLevel="0" collapsed="false">
      <c r="A158" s="0" t="s">
        <v>1565</v>
      </c>
      <c r="B158" s="0" t="s">
        <v>1563</v>
      </c>
      <c r="C158" s="0" t="s">
        <v>1564</v>
      </c>
      <c r="D158" s="81" t="n">
        <v>45245.625</v>
      </c>
    </row>
    <row r="159" customFormat="false" ht="15" hidden="true" customHeight="false" outlineLevel="0" collapsed="false">
      <c r="A159" s="0" t="s">
        <v>4771</v>
      </c>
      <c r="B159" s="0" t="s">
        <v>4769</v>
      </c>
      <c r="C159" s="0" t="s">
        <v>4770</v>
      </c>
      <c r="D159" s="81" t="n">
        <v>45246.3958333333</v>
      </c>
    </row>
    <row r="160" customFormat="false" ht="15" hidden="true" customHeight="false" outlineLevel="0" collapsed="false">
      <c r="A160" s="0" t="s">
        <v>1089</v>
      </c>
      <c r="B160" s="0" t="s">
        <v>1087</v>
      </c>
      <c r="C160" s="0" t="s">
        <v>1088</v>
      </c>
      <c r="D160" s="81" t="n">
        <v>45246.4166666667</v>
      </c>
    </row>
    <row r="161" customFormat="false" ht="15" hidden="true" customHeight="false" outlineLevel="0" collapsed="false">
      <c r="A161" s="0" t="s">
        <v>16264</v>
      </c>
      <c r="B161" s="0" t="s">
        <v>16265</v>
      </c>
      <c r="C161" s="0" t="s">
        <v>2880</v>
      </c>
      <c r="D161" s="81" t="n">
        <v>45246.4375</v>
      </c>
    </row>
    <row r="162" customFormat="false" ht="15" hidden="true" customHeight="false" outlineLevel="0" collapsed="false">
      <c r="A162" s="0" t="s">
        <v>16266</v>
      </c>
      <c r="B162" s="0" t="s">
        <v>11354</v>
      </c>
      <c r="C162" s="0" t="s">
        <v>11354</v>
      </c>
      <c r="D162" s="81" t="n">
        <v>45246.4375</v>
      </c>
    </row>
    <row r="163" customFormat="false" ht="15" hidden="true" customHeight="false" outlineLevel="0" collapsed="false">
      <c r="A163" s="0" t="s">
        <v>4851</v>
      </c>
      <c r="B163" s="0" t="s">
        <v>4850</v>
      </c>
      <c r="C163" s="0" t="s">
        <v>4169</v>
      </c>
      <c r="D163" s="81" t="n">
        <v>45246.5625</v>
      </c>
    </row>
    <row r="164" customFormat="false" ht="15" hidden="true" customHeight="false" outlineLevel="0" collapsed="false">
      <c r="A164" s="0" t="s">
        <v>1511</v>
      </c>
      <c r="B164" s="0" t="s">
        <v>1509</v>
      </c>
      <c r="C164" s="0" t="s">
        <v>1510</v>
      </c>
      <c r="D164" s="81" t="n">
        <v>45246.6041666667</v>
      </c>
    </row>
    <row r="165" customFormat="false" ht="15" hidden="true" customHeight="false" outlineLevel="0" collapsed="false">
      <c r="A165" s="0" t="s">
        <v>16267</v>
      </c>
      <c r="B165" s="0" t="s">
        <v>16268</v>
      </c>
      <c r="C165" s="0" t="s">
        <v>16269</v>
      </c>
      <c r="D165" s="81" t="n">
        <v>45247.3958333333</v>
      </c>
    </row>
    <row r="166" customFormat="false" ht="15" hidden="true" customHeight="false" outlineLevel="0" collapsed="false">
      <c r="A166" s="0" t="s">
        <v>232</v>
      </c>
      <c r="B166" s="0" t="s">
        <v>230</v>
      </c>
      <c r="C166" s="0" t="s">
        <v>231</v>
      </c>
      <c r="D166" s="81" t="n">
        <v>45247.4375</v>
      </c>
    </row>
    <row r="167" customFormat="false" ht="15" hidden="true" customHeight="false" outlineLevel="0" collapsed="false">
      <c r="A167" s="0" t="s">
        <v>3111</v>
      </c>
      <c r="B167" s="0" t="s">
        <v>3110</v>
      </c>
      <c r="C167" s="0" t="s">
        <v>652</v>
      </c>
      <c r="D167" s="81" t="n">
        <v>45247.5416666667</v>
      </c>
    </row>
    <row r="168" customFormat="false" ht="15" hidden="true" customHeight="false" outlineLevel="0" collapsed="false">
      <c r="A168" s="0" t="s">
        <v>3129</v>
      </c>
      <c r="B168" s="0" t="s">
        <v>3128</v>
      </c>
      <c r="C168" s="0" t="s">
        <v>2481</v>
      </c>
      <c r="D168" s="81" t="n">
        <v>45247.625</v>
      </c>
      <c r="E168" s="82" t="s">
        <v>3132</v>
      </c>
    </row>
    <row r="169" customFormat="false" ht="15" hidden="true" customHeight="false" outlineLevel="0" collapsed="false">
      <c r="A169" s="0" t="s">
        <v>2888</v>
      </c>
      <c r="B169" s="0" t="s">
        <v>2887</v>
      </c>
      <c r="C169" s="0" t="s">
        <v>883</v>
      </c>
      <c r="D169" s="81" t="n">
        <v>45250.3958333333</v>
      </c>
    </row>
    <row r="170" customFormat="false" ht="15" hidden="true" customHeight="false" outlineLevel="0" collapsed="false">
      <c r="A170" s="0" t="s">
        <v>1253</v>
      </c>
      <c r="B170" s="0" t="s">
        <v>1252</v>
      </c>
      <c r="C170" s="0" t="s">
        <v>690</v>
      </c>
      <c r="D170" s="81" t="n">
        <v>45250.4583333333</v>
      </c>
    </row>
    <row r="171" customFormat="false" ht="15" hidden="true" customHeight="false" outlineLevel="0" collapsed="false">
      <c r="A171" s="0" t="s">
        <v>2506</v>
      </c>
      <c r="B171" s="0" t="s">
        <v>2504</v>
      </c>
      <c r="C171" s="0" t="s">
        <v>2505</v>
      </c>
      <c r="D171" s="81" t="n">
        <v>45250.5625</v>
      </c>
    </row>
    <row r="172" customFormat="false" ht="15" hidden="true" customHeight="false" outlineLevel="0" collapsed="false">
      <c r="A172" s="0" t="s">
        <v>16270</v>
      </c>
      <c r="B172" s="0" t="s">
        <v>16271</v>
      </c>
      <c r="C172" s="0" t="s">
        <v>16272</v>
      </c>
      <c r="D172" s="81" t="n">
        <v>45250.6458333333</v>
      </c>
    </row>
    <row r="173" customFormat="false" ht="15" hidden="true" customHeight="false" outlineLevel="0" collapsed="false">
      <c r="A173" s="0" t="s">
        <v>16273</v>
      </c>
      <c r="B173" s="0" t="s">
        <v>12534</v>
      </c>
      <c r="C173" s="0" t="s">
        <v>12534</v>
      </c>
      <c r="D173" s="81" t="n">
        <v>45250.6458333333</v>
      </c>
    </row>
    <row r="174" customFormat="false" ht="15" hidden="true" customHeight="false" outlineLevel="0" collapsed="false">
      <c r="A174" s="0" t="s">
        <v>4411</v>
      </c>
      <c r="B174" s="0" t="s">
        <v>2775</v>
      </c>
      <c r="C174" s="0" t="s">
        <v>1226</v>
      </c>
      <c r="D174" s="81" t="n">
        <v>45251.4166666667</v>
      </c>
    </row>
    <row r="175" customFormat="false" ht="15" hidden="true" customHeight="false" outlineLevel="0" collapsed="false">
      <c r="A175" s="0" t="s">
        <v>16274</v>
      </c>
      <c r="B175" s="0" t="s">
        <v>16275</v>
      </c>
      <c r="C175" s="0" t="s">
        <v>16276</v>
      </c>
      <c r="D175" s="81" t="n">
        <v>45251.625</v>
      </c>
    </row>
    <row r="176" customFormat="false" ht="15" hidden="true" customHeight="false" outlineLevel="0" collapsed="false">
      <c r="A176" s="0" t="s">
        <v>16277</v>
      </c>
      <c r="B176" s="0" t="s">
        <v>11399</v>
      </c>
      <c r="C176" s="0" t="s">
        <v>11399</v>
      </c>
      <c r="D176" s="81" t="n">
        <v>45251.625</v>
      </c>
      <c r="E176" s="82" t="s">
        <v>16278</v>
      </c>
    </row>
    <row r="177" customFormat="false" ht="15" hidden="true" customHeight="false" outlineLevel="0" collapsed="false">
      <c r="A177" s="0" t="s">
        <v>1844</v>
      </c>
      <c r="B177" s="0" t="s">
        <v>1842</v>
      </c>
      <c r="C177" s="0" t="s">
        <v>1843</v>
      </c>
      <c r="D177" s="81" t="n">
        <v>45252.4166666667</v>
      </c>
      <c r="E177" s="82" t="s">
        <v>1846</v>
      </c>
    </row>
    <row r="178" customFormat="false" ht="15" hidden="true" customHeight="false" outlineLevel="0" collapsed="false">
      <c r="A178" s="0" t="s">
        <v>434</v>
      </c>
      <c r="B178" s="0" t="s">
        <v>433</v>
      </c>
      <c r="C178" s="0" t="s">
        <v>242</v>
      </c>
      <c r="D178" s="81" t="n">
        <v>45252.4583333333</v>
      </c>
    </row>
    <row r="179" customFormat="false" ht="15" hidden="true" customHeight="false" outlineLevel="0" collapsed="false">
      <c r="A179" s="0" t="s">
        <v>2760</v>
      </c>
      <c r="B179" s="0" t="s">
        <v>2758</v>
      </c>
      <c r="C179" s="0" t="s">
        <v>2759</v>
      </c>
      <c r="D179" s="81" t="n">
        <v>45253.3958333333</v>
      </c>
    </row>
    <row r="180" customFormat="false" ht="15" hidden="true" customHeight="false" outlineLevel="0" collapsed="false">
      <c r="A180" s="0" t="s">
        <v>8586</v>
      </c>
      <c r="B180" s="0" t="s">
        <v>2595</v>
      </c>
      <c r="C180" s="0" t="s">
        <v>2827</v>
      </c>
      <c r="D180" s="81" t="n">
        <v>45253.4791666667</v>
      </c>
    </row>
    <row r="181" customFormat="false" ht="15" hidden="true" customHeight="false" outlineLevel="0" collapsed="false">
      <c r="A181" s="0" t="s">
        <v>8423</v>
      </c>
      <c r="B181" s="0" t="s">
        <v>8421</v>
      </c>
      <c r="C181" s="0" t="s">
        <v>8422</v>
      </c>
      <c r="D181" s="81" t="n">
        <v>45253.5625</v>
      </c>
    </row>
    <row r="182" customFormat="false" ht="15" hidden="true" customHeight="false" outlineLevel="0" collapsed="false">
      <c r="A182" s="0" t="s">
        <v>8812</v>
      </c>
      <c r="B182" s="0" t="s">
        <v>8811</v>
      </c>
      <c r="C182" s="0" t="s">
        <v>1568</v>
      </c>
      <c r="D182" s="81" t="n">
        <v>45253.6458333333</v>
      </c>
    </row>
    <row r="183" customFormat="false" ht="15" hidden="true" customHeight="false" outlineLevel="0" collapsed="false">
      <c r="A183" s="0" t="s">
        <v>1260</v>
      </c>
      <c r="B183" s="0" t="s">
        <v>1259</v>
      </c>
      <c r="C183" s="0" t="s">
        <v>117</v>
      </c>
      <c r="D183" s="81" t="n">
        <v>45254.4166666667</v>
      </c>
    </row>
    <row r="184" customFormat="false" ht="15" hidden="true" customHeight="false" outlineLevel="0" collapsed="false">
      <c r="A184" s="0" t="s">
        <v>7485</v>
      </c>
      <c r="B184" s="0" t="s">
        <v>4981</v>
      </c>
      <c r="C184" s="0" t="s">
        <v>7484</v>
      </c>
      <c r="D184" s="81" t="n">
        <v>45254.5</v>
      </c>
    </row>
    <row r="185" customFormat="false" ht="15" hidden="true" customHeight="false" outlineLevel="0" collapsed="false">
      <c r="A185" s="0" t="s">
        <v>9954</v>
      </c>
      <c r="B185" s="0" t="s">
        <v>9952</v>
      </c>
      <c r="C185" s="0" t="s">
        <v>9953</v>
      </c>
      <c r="D185" s="81" t="n">
        <v>45254.5625</v>
      </c>
    </row>
    <row r="186" customFormat="false" ht="15" hidden="true" customHeight="false" outlineLevel="0" collapsed="false">
      <c r="A186" s="0" t="s">
        <v>1978</v>
      </c>
      <c r="B186" s="0" t="s">
        <v>1976</v>
      </c>
      <c r="C186" s="0" t="s">
        <v>1977</v>
      </c>
      <c r="D186" s="81" t="n">
        <v>45254.6458333333</v>
      </c>
    </row>
    <row r="187" customFormat="false" ht="15" hidden="true" customHeight="false" outlineLevel="0" collapsed="false">
      <c r="A187" s="0" t="s">
        <v>16279</v>
      </c>
      <c r="B187" s="0" t="s">
        <v>16280</v>
      </c>
      <c r="C187" s="0" t="s">
        <v>16281</v>
      </c>
      <c r="D187" s="81" t="n">
        <v>45257.3958333333</v>
      </c>
    </row>
    <row r="188" customFormat="false" ht="15" hidden="true" customHeight="false" outlineLevel="0" collapsed="false">
      <c r="A188" s="0" t="s">
        <v>6193</v>
      </c>
      <c r="B188" s="0" t="s">
        <v>6192</v>
      </c>
      <c r="C188" s="0" t="s">
        <v>6117</v>
      </c>
      <c r="D188" s="81" t="n">
        <v>45257.4166666667</v>
      </c>
    </row>
    <row r="189" customFormat="false" ht="15" hidden="true" customHeight="false" outlineLevel="0" collapsed="false">
      <c r="A189" s="0" t="s">
        <v>9703</v>
      </c>
      <c r="B189" s="0" t="s">
        <v>1084</v>
      </c>
      <c r="C189" s="0" t="s">
        <v>9702</v>
      </c>
      <c r="D189" s="81" t="n">
        <v>45257.4583333333</v>
      </c>
    </row>
    <row r="190" customFormat="false" ht="15" hidden="true" customHeight="false" outlineLevel="0" collapsed="false">
      <c r="A190" s="0" t="s">
        <v>333</v>
      </c>
      <c r="B190" s="0" t="s">
        <v>331</v>
      </c>
      <c r="C190" s="0" t="s">
        <v>332</v>
      </c>
      <c r="D190" s="81" t="n">
        <v>45258.4583333333</v>
      </c>
    </row>
    <row r="191" customFormat="false" ht="15" hidden="true" customHeight="false" outlineLevel="0" collapsed="false">
      <c r="A191" s="0" t="s">
        <v>16282</v>
      </c>
      <c r="B191" s="0" t="s">
        <v>16283</v>
      </c>
      <c r="C191" s="0" t="s">
        <v>3633</v>
      </c>
      <c r="D191" s="81" t="n">
        <v>45259.4166666667</v>
      </c>
    </row>
    <row r="192" customFormat="false" ht="15" hidden="true" customHeight="false" outlineLevel="0" collapsed="false">
      <c r="A192" s="0" t="s">
        <v>16284</v>
      </c>
      <c r="B192" s="0" t="s">
        <v>11684</v>
      </c>
      <c r="C192" s="0" t="s">
        <v>11684</v>
      </c>
      <c r="D192" s="81" t="n">
        <v>45259.4166666667</v>
      </c>
    </row>
    <row r="193" customFormat="false" ht="15" hidden="true" customHeight="false" outlineLevel="0" collapsed="false">
      <c r="A193" s="0" t="s">
        <v>16285</v>
      </c>
      <c r="B193" s="0" t="s">
        <v>11613</v>
      </c>
      <c r="C193" s="0" t="s">
        <v>11613</v>
      </c>
      <c r="D193" s="81" t="n">
        <v>45259.6041666667</v>
      </c>
    </row>
    <row r="194" customFormat="false" ht="15" hidden="true" customHeight="false" outlineLevel="0" collapsed="false">
      <c r="A194" s="0" t="s">
        <v>16286</v>
      </c>
      <c r="B194" s="0" t="s">
        <v>16287</v>
      </c>
      <c r="C194" s="0" t="s">
        <v>1236</v>
      </c>
      <c r="D194" s="81" t="n">
        <v>45259.6041666667</v>
      </c>
    </row>
    <row r="195" customFormat="false" ht="15" hidden="true" customHeight="false" outlineLevel="0" collapsed="false">
      <c r="A195" s="0" t="s">
        <v>16288</v>
      </c>
      <c r="B195" s="0" t="s">
        <v>16289</v>
      </c>
      <c r="C195" s="0" t="s">
        <v>2794</v>
      </c>
      <c r="D195" s="81" t="n">
        <v>45259.6041666667</v>
      </c>
    </row>
    <row r="196" customFormat="false" ht="15" hidden="true" customHeight="false" outlineLevel="0" collapsed="false">
      <c r="A196" s="0" t="s">
        <v>16290</v>
      </c>
      <c r="B196" s="0" t="s">
        <v>11623</v>
      </c>
      <c r="C196" s="0" t="s">
        <v>11623</v>
      </c>
      <c r="D196" s="81" t="n">
        <v>45259.6458333333</v>
      </c>
    </row>
    <row r="197" customFormat="false" ht="15" hidden="true" customHeight="false" outlineLevel="0" collapsed="false">
      <c r="A197" s="0" t="s">
        <v>2634</v>
      </c>
      <c r="B197" s="0" t="s">
        <v>2632</v>
      </c>
      <c r="C197" s="0" t="s">
        <v>2633</v>
      </c>
      <c r="D197" s="81" t="n">
        <v>45260.4375</v>
      </c>
    </row>
    <row r="198" customFormat="false" ht="15" hidden="true" customHeight="false" outlineLevel="0" collapsed="false">
      <c r="A198" s="0" t="s">
        <v>1806</v>
      </c>
      <c r="B198" s="0" t="s">
        <v>1805</v>
      </c>
      <c r="C198" s="0" t="s">
        <v>1385</v>
      </c>
      <c r="D198" s="81" t="n">
        <v>45260.5</v>
      </c>
    </row>
    <row r="199" customFormat="false" ht="15" hidden="true" customHeight="false" outlineLevel="0" collapsed="false">
      <c r="A199" s="0" t="s">
        <v>2768</v>
      </c>
      <c r="B199" s="0" t="s">
        <v>2767</v>
      </c>
      <c r="C199" s="0" t="s">
        <v>419</v>
      </c>
      <c r="D199" s="81" t="n">
        <v>45260.5833333333</v>
      </c>
    </row>
    <row r="200" customFormat="false" ht="15" hidden="true" customHeight="false" outlineLevel="0" collapsed="false">
      <c r="A200" s="0" t="s">
        <v>7891</v>
      </c>
      <c r="B200" s="0" t="s">
        <v>7890</v>
      </c>
      <c r="C200" s="0" t="s">
        <v>1218</v>
      </c>
      <c r="D200" s="81" t="n">
        <v>45260.6666666667</v>
      </c>
    </row>
    <row r="201" customFormat="false" ht="15" hidden="true" customHeight="false" outlineLevel="0" collapsed="false">
      <c r="A201" s="0" t="s">
        <v>16291</v>
      </c>
      <c r="B201" s="0" t="s">
        <v>12328</v>
      </c>
      <c r="C201" s="0" t="s">
        <v>12328</v>
      </c>
      <c r="D201" s="81" t="n">
        <v>45264.4166666667</v>
      </c>
    </row>
    <row r="202" customFormat="false" ht="15" hidden="true" customHeight="false" outlineLevel="0" collapsed="false">
      <c r="A202" s="0" t="s">
        <v>16292</v>
      </c>
      <c r="B202" s="0" t="s">
        <v>16293</v>
      </c>
      <c r="C202" s="0" t="s">
        <v>231</v>
      </c>
      <c r="D202" s="81" t="n">
        <v>45264.4166666667</v>
      </c>
    </row>
    <row r="203" customFormat="false" ht="15" hidden="true" customHeight="false" outlineLevel="0" collapsed="false">
      <c r="A203" s="0" t="s">
        <v>16294</v>
      </c>
      <c r="B203" s="0" t="s">
        <v>16295</v>
      </c>
      <c r="C203" s="0" t="s">
        <v>1837</v>
      </c>
      <c r="D203" s="81" t="n">
        <v>45264.4375</v>
      </c>
    </row>
    <row r="204" customFormat="false" ht="15" hidden="true" customHeight="false" outlineLevel="0" collapsed="false">
      <c r="A204" s="0" t="s">
        <v>9224</v>
      </c>
      <c r="B204" s="0" t="s">
        <v>9223</v>
      </c>
      <c r="C204" s="0" t="s">
        <v>1174</v>
      </c>
      <c r="D204" s="81" t="n">
        <v>45264.4791666667</v>
      </c>
    </row>
    <row r="205" customFormat="false" ht="15" hidden="true" customHeight="false" outlineLevel="0" collapsed="false">
      <c r="A205" s="0" t="s">
        <v>5856</v>
      </c>
      <c r="B205" s="0" t="s">
        <v>5854</v>
      </c>
      <c r="C205" s="0" t="s">
        <v>5855</v>
      </c>
      <c r="D205" s="81" t="n">
        <v>45264.6041666667</v>
      </c>
      <c r="E205" s="82" t="s">
        <v>5858</v>
      </c>
    </row>
    <row r="206" customFormat="false" ht="15" hidden="true" customHeight="false" outlineLevel="0" collapsed="false">
      <c r="A206" s="0" t="s">
        <v>16296</v>
      </c>
      <c r="B206" s="0" t="s">
        <v>16297</v>
      </c>
      <c r="C206" s="0" t="s">
        <v>4463</v>
      </c>
      <c r="D206" s="81" t="n">
        <v>45264.6666666667</v>
      </c>
    </row>
    <row r="207" customFormat="false" ht="15" hidden="true" customHeight="false" outlineLevel="0" collapsed="false">
      <c r="A207" s="0" t="s">
        <v>16298</v>
      </c>
      <c r="B207" s="0" t="s">
        <v>11646</v>
      </c>
      <c r="C207" s="0" t="s">
        <v>11646</v>
      </c>
      <c r="D207" s="81" t="n">
        <v>45265.4166666667</v>
      </c>
    </row>
    <row r="208" customFormat="false" ht="15" hidden="true" customHeight="false" outlineLevel="0" collapsed="false">
      <c r="A208" s="0" t="s">
        <v>2425</v>
      </c>
      <c r="B208" s="0" t="s">
        <v>2423</v>
      </c>
      <c r="C208" s="0" t="s">
        <v>2424</v>
      </c>
      <c r="D208" s="81" t="n">
        <v>45265.5208333333</v>
      </c>
    </row>
    <row r="209" customFormat="false" ht="15" hidden="true" customHeight="false" outlineLevel="0" collapsed="false">
      <c r="A209" s="0" t="s">
        <v>2602</v>
      </c>
      <c r="B209" s="0" t="s">
        <v>2601</v>
      </c>
      <c r="C209" s="0" t="s">
        <v>619</v>
      </c>
      <c r="D209" s="81" t="n">
        <v>45265.6041666667</v>
      </c>
    </row>
    <row r="210" customFormat="false" ht="15" hidden="true" customHeight="false" outlineLevel="0" collapsed="false">
      <c r="A210" s="0" t="s">
        <v>16299</v>
      </c>
      <c r="B210" s="0" t="s">
        <v>16300</v>
      </c>
      <c r="C210" s="0" t="s">
        <v>16301</v>
      </c>
      <c r="D210" s="81" t="n">
        <v>45266.4166666667</v>
      </c>
    </row>
    <row r="211" customFormat="false" ht="15" hidden="true" customHeight="false" outlineLevel="0" collapsed="false">
      <c r="A211" s="0" t="s">
        <v>16302</v>
      </c>
      <c r="B211" s="0" t="s">
        <v>12551</v>
      </c>
      <c r="C211" s="0" t="s">
        <v>12551</v>
      </c>
      <c r="D211" s="81" t="n">
        <v>45266.4166666667</v>
      </c>
    </row>
    <row r="212" customFormat="false" ht="15" hidden="true" customHeight="false" outlineLevel="0" collapsed="false">
      <c r="A212" s="0" t="s">
        <v>653</v>
      </c>
      <c r="B212" s="0" t="s">
        <v>651</v>
      </c>
      <c r="C212" s="0" t="s">
        <v>652</v>
      </c>
      <c r="D212" s="81" t="n">
        <v>45266.6458333333</v>
      </c>
    </row>
    <row r="213" customFormat="false" ht="15" hidden="true" customHeight="false" outlineLevel="0" collapsed="false">
      <c r="A213" s="0" t="s">
        <v>16303</v>
      </c>
      <c r="B213" s="0" t="s">
        <v>16304</v>
      </c>
      <c r="C213" s="0" t="s">
        <v>495</v>
      </c>
      <c r="D213" s="81" t="n">
        <v>45267.4166666667</v>
      </c>
      <c r="E213" s="82" t="s">
        <v>16305</v>
      </c>
    </row>
    <row r="214" customFormat="false" ht="15" hidden="true" customHeight="false" outlineLevel="0" collapsed="false">
      <c r="A214" s="0" t="s">
        <v>16306</v>
      </c>
      <c r="B214" s="0" t="s">
        <v>11405</v>
      </c>
      <c r="C214" s="0" t="s">
        <v>11405</v>
      </c>
      <c r="D214" s="81" t="n">
        <v>45267.4166666667</v>
      </c>
      <c r="E214" s="82" t="s">
        <v>16305</v>
      </c>
    </row>
    <row r="215" customFormat="false" ht="15" hidden="true" customHeight="false" outlineLevel="0" collapsed="false">
      <c r="A215" s="0" t="s">
        <v>7686</v>
      </c>
      <c r="B215" s="0" t="s">
        <v>7684</v>
      </c>
      <c r="C215" s="0" t="s">
        <v>7685</v>
      </c>
      <c r="D215" s="81" t="n">
        <v>45267.4583333333</v>
      </c>
      <c r="E215" s="82" t="s">
        <v>7688</v>
      </c>
    </row>
    <row r="216" customFormat="false" ht="15" hidden="true" customHeight="false" outlineLevel="0" collapsed="false">
      <c r="A216" s="0" t="s">
        <v>586</v>
      </c>
      <c r="B216" s="0" t="s">
        <v>585</v>
      </c>
      <c r="C216" s="0" t="s">
        <v>332</v>
      </c>
      <c r="D216" s="81" t="n">
        <v>45267.6458333333</v>
      </c>
    </row>
    <row r="217" customFormat="false" ht="15" hidden="true" customHeight="false" outlineLevel="0" collapsed="false">
      <c r="A217" s="0" t="s">
        <v>2059</v>
      </c>
      <c r="B217" s="0" t="s">
        <v>2058</v>
      </c>
      <c r="C217" s="0" t="s">
        <v>128</v>
      </c>
      <c r="D217" s="81" t="n">
        <v>45274.5833333333</v>
      </c>
      <c r="E217" s="82" t="s">
        <v>2062</v>
      </c>
    </row>
    <row r="218" customFormat="false" ht="15" hidden="true" customHeight="false" outlineLevel="0" collapsed="false">
      <c r="A218" s="0" t="s">
        <v>1767</v>
      </c>
      <c r="B218" s="0" t="s">
        <v>1765</v>
      </c>
      <c r="C218" s="0" t="s">
        <v>1766</v>
      </c>
      <c r="D218" s="81" t="n">
        <v>45274.6458333333</v>
      </c>
      <c r="E218" s="82" t="s">
        <v>1774</v>
      </c>
    </row>
    <row r="219" customFormat="false" ht="15" hidden="true" customHeight="false" outlineLevel="0" collapsed="false">
      <c r="A219" s="0" t="s">
        <v>16307</v>
      </c>
      <c r="B219" s="0" t="s">
        <v>16308</v>
      </c>
      <c r="C219" s="0" t="s">
        <v>652</v>
      </c>
      <c r="D219" s="81" t="n">
        <v>45275.3958333333</v>
      </c>
    </row>
    <row r="220" customFormat="false" ht="15" hidden="true" customHeight="false" outlineLevel="0" collapsed="false">
      <c r="A220" s="0" t="s">
        <v>16309</v>
      </c>
      <c r="B220" s="0" t="s">
        <v>11479</v>
      </c>
      <c r="C220" s="0" t="s">
        <v>11479</v>
      </c>
      <c r="D220" s="81" t="n">
        <v>45275.3958333333</v>
      </c>
    </row>
    <row r="221" customFormat="false" ht="15" hidden="true" customHeight="false" outlineLevel="0" collapsed="false">
      <c r="A221" s="0" t="s">
        <v>16310</v>
      </c>
      <c r="B221" s="0" t="s">
        <v>16311</v>
      </c>
      <c r="C221" s="0" t="s">
        <v>16312</v>
      </c>
      <c r="D221" s="81" t="n">
        <v>45275.4375</v>
      </c>
    </row>
    <row r="222" customFormat="false" ht="15" hidden="true" customHeight="false" outlineLevel="0" collapsed="false">
      <c r="A222" s="0" t="s">
        <v>16313</v>
      </c>
      <c r="B222" s="0" t="s">
        <v>16314</v>
      </c>
      <c r="C222" s="0" t="s">
        <v>4691</v>
      </c>
      <c r="D222" s="81" t="n">
        <v>45275.625</v>
      </c>
    </row>
    <row r="223" customFormat="false" ht="15" hidden="true" customHeight="false" outlineLevel="0" collapsed="false">
      <c r="A223" s="0" t="s">
        <v>6470</v>
      </c>
      <c r="B223" s="0" t="s">
        <v>6469</v>
      </c>
      <c r="C223" s="0" t="s">
        <v>455</v>
      </c>
      <c r="D223" s="81" t="n">
        <v>45279.3958333333</v>
      </c>
      <c r="E223" s="82" t="s">
        <v>6475</v>
      </c>
    </row>
    <row r="224" customFormat="false" ht="15" hidden="true" customHeight="false" outlineLevel="0" collapsed="false">
      <c r="A224" s="0" t="s">
        <v>4235</v>
      </c>
      <c r="B224" s="0" t="s">
        <v>4234</v>
      </c>
      <c r="C224" s="0" t="s">
        <v>1110</v>
      </c>
      <c r="D224" s="81" t="n">
        <v>45279.4583333333</v>
      </c>
      <c r="E224" s="82" t="s">
        <v>4240</v>
      </c>
    </row>
    <row r="225" customFormat="false" ht="15" hidden="true" customHeight="false" outlineLevel="0" collapsed="false">
      <c r="A225" s="0" t="s">
        <v>7228</v>
      </c>
      <c r="B225" s="0" t="s">
        <v>7227</v>
      </c>
      <c r="C225" s="0" t="s">
        <v>4847</v>
      </c>
      <c r="D225" s="81" t="n">
        <v>45279.5416666667</v>
      </c>
      <c r="E225" s="82" t="s">
        <v>7233</v>
      </c>
    </row>
    <row r="226" customFormat="false" ht="15" hidden="true" customHeight="false" outlineLevel="0" collapsed="false">
      <c r="A226" s="0" t="s">
        <v>5649</v>
      </c>
      <c r="B226" s="0" t="s">
        <v>5647</v>
      </c>
      <c r="C226" s="0" t="s">
        <v>5648</v>
      </c>
      <c r="D226" s="81" t="n">
        <v>45279.625</v>
      </c>
      <c r="E226" s="82" t="s">
        <v>5655</v>
      </c>
    </row>
    <row r="227" customFormat="false" ht="15" hidden="true" customHeight="false" outlineLevel="0" collapsed="false">
      <c r="A227" s="0" t="s">
        <v>3949</v>
      </c>
      <c r="B227" s="0" t="s">
        <v>3948</v>
      </c>
      <c r="C227" s="0" t="s">
        <v>1226</v>
      </c>
      <c r="D227" s="81" t="n">
        <v>45279.6875</v>
      </c>
      <c r="E227" s="82" t="s">
        <v>3952</v>
      </c>
    </row>
    <row r="228" customFormat="false" ht="15" hidden="true" customHeight="false" outlineLevel="0" collapsed="false">
      <c r="A228" s="0" t="s">
        <v>2082</v>
      </c>
      <c r="B228" s="0" t="s">
        <v>2080</v>
      </c>
      <c r="C228" s="0" t="s">
        <v>2081</v>
      </c>
      <c r="D228" s="81" t="n">
        <v>45280.3958333333</v>
      </c>
      <c r="E228" s="82" t="s">
        <v>2084</v>
      </c>
    </row>
    <row r="229" customFormat="false" ht="15" hidden="true" customHeight="false" outlineLevel="0" collapsed="false">
      <c r="A229" s="0" t="s">
        <v>4788</v>
      </c>
      <c r="B229" s="0" t="s">
        <v>4786</v>
      </c>
      <c r="C229" s="0" t="s">
        <v>4787</v>
      </c>
      <c r="D229" s="81" t="n">
        <v>45280.4791666667</v>
      </c>
      <c r="E229" s="82" t="s">
        <v>4793</v>
      </c>
    </row>
    <row r="230" customFormat="false" ht="15" hidden="true" customHeight="false" outlineLevel="0" collapsed="false">
      <c r="A230" s="0" t="s">
        <v>1860</v>
      </c>
      <c r="B230" s="0" t="s">
        <v>1858</v>
      </c>
      <c r="C230" s="0" t="s">
        <v>1859</v>
      </c>
      <c r="D230" s="81" t="n">
        <v>45280.5416666667</v>
      </c>
      <c r="E230" s="82" t="s">
        <v>1865</v>
      </c>
    </row>
    <row r="231" customFormat="false" ht="15" hidden="true" customHeight="false" outlineLevel="0" collapsed="false">
      <c r="A231" s="0" t="s">
        <v>1797</v>
      </c>
      <c r="B231" s="0" t="s">
        <v>1796</v>
      </c>
      <c r="C231" s="0" t="s">
        <v>1057</v>
      </c>
      <c r="D231" s="81" t="n">
        <v>45280.6041666667</v>
      </c>
      <c r="E231" s="82" t="s">
        <v>1800</v>
      </c>
    </row>
    <row r="232" customFormat="false" ht="15" hidden="true" customHeight="false" outlineLevel="0" collapsed="false">
      <c r="A232" s="0" t="s">
        <v>4039</v>
      </c>
      <c r="B232" s="0" t="s">
        <v>4038</v>
      </c>
      <c r="C232" s="0" t="s">
        <v>1736</v>
      </c>
      <c r="D232" s="81" t="n">
        <v>45280.6875</v>
      </c>
      <c r="E232" s="82" t="s">
        <v>4045</v>
      </c>
    </row>
    <row r="233" customFormat="false" ht="15" hidden="true" customHeight="false" outlineLevel="0" collapsed="false">
      <c r="A233" s="0" t="s">
        <v>2597</v>
      </c>
      <c r="B233" s="0" t="s">
        <v>2595</v>
      </c>
      <c r="C233" s="0" t="s">
        <v>2596</v>
      </c>
      <c r="D233" s="81" t="n">
        <v>45281.4375</v>
      </c>
      <c r="E233" s="82" t="s">
        <v>2600</v>
      </c>
    </row>
    <row r="234" customFormat="false" ht="15" hidden="true" customHeight="false" outlineLevel="0" collapsed="false">
      <c r="A234" s="0" t="s">
        <v>1487</v>
      </c>
      <c r="B234" s="0" t="s">
        <v>1486</v>
      </c>
      <c r="C234" s="0" t="s">
        <v>1101</v>
      </c>
      <c r="D234" s="81" t="n">
        <v>45281.5208333333</v>
      </c>
      <c r="E234" s="82" t="s">
        <v>1494</v>
      </c>
    </row>
    <row r="235" customFormat="false" ht="15" hidden="true" customHeight="false" outlineLevel="0" collapsed="false">
      <c r="A235" s="0" t="s">
        <v>4119</v>
      </c>
      <c r="B235" s="0" t="s">
        <v>1134</v>
      </c>
      <c r="C235" s="0" t="s">
        <v>170</v>
      </c>
      <c r="D235" s="81" t="n">
        <v>45281.6666666667</v>
      </c>
      <c r="E235" s="82" t="s">
        <v>4124</v>
      </c>
    </row>
    <row r="236" customFormat="false" ht="15" hidden="true" customHeight="false" outlineLevel="0" collapsed="false">
      <c r="A236" s="0" t="s">
        <v>4339</v>
      </c>
      <c r="B236" s="0" t="s">
        <v>4337</v>
      </c>
      <c r="C236" s="0" t="s">
        <v>4338</v>
      </c>
      <c r="D236" s="81" t="n">
        <v>45282.40625</v>
      </c>
      <c r="E236" s="82" t="s">
        <v>4342</v>
      </c>
    </row>
    <row r="237" customFormat="false" ht="15" hidden="true" customHeight="false" outlineLevel="0" collapsed="false">
      <c r="A237" s="0" t="s">
        <v>7561</v>
      </c>
      <c r="B237" s="0" t="s">
        <v>7014</v>
      </c>
      <c r="C237" s="0" t="s">
        <v>4325</v>
      </c>
      <c r="D237" s="81" t="n">
        <v>45282.4791666667</v>
      </c>
      <c r="E237" s="82" t="s">
        <v>7564</v>
      </c>
    </row>
    <row r="238" customFormat="false" ht="15" hidden="true" customHeight="false" outlineLevel="0" collapsed="false">
      <c r="A238" s="0" t="s">
        <v>16315</v>
      </c>
      <c r="B238" s="0" t="s">
        <v>16316</v>
      </c>
      <c r="C238" s="0" t="s">
        <v>1539</v>
      </c>
      <c r="D238" s="81" t="n">
        <v>45294.4166666667</v>
      </c>
    </row>
    <row r="239" customFormat="false" ht="15" hidden="true" customHeight="false" outlineLevel="0" collapsed="false">
      <c r="A239" s="0" t="s">
        <v>5085</v>
      </c>
      <c r="B239" s="0" t="s">
        <v>5084</v>
      </c>
      <c r="C239" s="0" t="s">
        <v>182</v>
      </c>
      <c r="D239" s="81" t="n">
        <v>45294.5</v>
      </c>
      <c r="E239" s="82" t="s">
        <v>5091</v>
      </c>
    </row>
    <row r="240" customFormat="false" ht="15" hidden="true" customHeight="false" outlineLevel="0" collapsed="false">
      <c r="A240" s="0" t="s">
        <v>5120</v>
      </c>
      <c r="B240" s="0" t="s">
        <v>5118</v>
      </c>
      <c r="C240" s="0" t="s">
        <v>5119</v>
      </c>
      <c r="D240" s="81" t="n">
        <v>45294.5625</v>
      </c>
      <c r="E240" s="82" t="s">
        <v>5124</v>
      </c>
    </row>
    <row r="241" customFormat="false" ht="15" hidden="true" customHeight="false" outlineLevel="0" collapsed="false">
      <c r="A241" s="0" t="s">
        <v>16317</v>
      </c>
      <c r="B241" s="0" t="s">
        <v>11347</v>
      </c>
      <c r="C241" s="0" t="s">
        <v>11347</v>
      </c>
      <c r="D241" s="81" t="n">
        <v>45301.3958333333</v>
      </c>
    </row>
    <row r="242" customFormat="false" ht="15" hidden="true" customHeight="false" outlineLevel="0" collapsed="false">
      <c r="A242" s="0" t="s">
        <v>16318</v>
      </c>
      <c r="B242" s="0" t="s">
        <v>883</v>
      </c>
      <c r="C242" s="0" t="s">
        <v>195</v>
      </c>
      <c r="D242" s="81" t="n">
        <v>45301.4166666667</v>
      </c>
    </row>
    <row r="243" customFormat="false" ht="15" hidden="true" customHeight="false" outlineLevel="0" collapsed="false">
      <c r="A243" s="0" t="s">
        <v>16319</v>
      </c>
      <c r="B243" s="0" t="s">
        <v>11640</v>
      </c>
      <c r="C243" s="0" t="s">
        <v>11640</v>
      </c>
      <c r="D243" s="81" t="n">
        <v>45301.4166666667</v>
      </c>
    </row>
    <row r="244" customFormat="false" ht="15" hidden="true" customHeight="false" outlineLevel="0" collapsed="false">
      <c r="A244" s="0" t="s">
        <v>6363</v>
      </c>
      <c r="B244" s="0" t="s">
        <v>6362</v>
      </c>
      <c r="C244" s="0" t="s">
        <v>117</v>
      </c>
      <c r="D244" s="81" t="n">
        <v>45301.5833333333</v>
      </c>
      <c r="E244" s="82" t="s">
        <v>6368</v>
      </c>
    </row>
    <row r="245" customFormat="false" ht="15" hidden="true" customHeight="false" outlineLevel="0" collapsed="false">
      <c r="A245" s="0" t="s">
        <v>6235</v>
      </c>
      <c r="B245" s="0" t="s">
        <v>6234</v>
      </c>
      <c r="C245" s="0" t="s">
        <v>1236</v>
      </c>
      <c r="D245" s="81" t="n">
        <v>45301.6458333333</v>
      </c>
      <c r="E245" s="82" t="s">
        <v>6239</v>
      </c>
    </row>
    <row r="246" customFormat="false" ht="15" hidden="true" customHeight="false" outlineLevel="0" collapsed="false">
      <c r="A246" s="0" t="s">
        <v>3985</v>
      </c>
      <c r="B246" s="0" t="s">
        <v>3984</v>
      </c>
      <c r="C246" s="0" t="s">
        <v>353</v>
      </c>
      <c r="D246" s="81" t="n">
        <v>45302.4166666667</v>
      </c>
    </row>
    <row r="247" customFormat="false" ht="15" hidden="true" customHeight="false" outlineLevel="0" collapsed="false">
      <c r="A247" s="0" t="s">
        <v>6493</v>
      </c>
      <c r="B247" s="0" t="s">
        <v>6491</v>
      </c>
      <c r="C247" s="0" t="s">
        <v>6492</v>
      </c>
      <c r="D247" s="81" t="n">
        <v>45302.4375</v>
      </c>
    </row>
    <row r="248" customFormat="false" ht="15" hidden="true" customHeight="false" outlineLevel="0" collapsed="false">
      <c r="A248" s="0" t="s">
        <v>16320</v>
      </c>
      <c r="B248" s="0" t="s">
        <v>16321</v>
      </c>
      <c r="C248" s="0" t="s">
        <v>2038</v>
      </c>
      <c r="D248" s="81" t="n">
        <v>45307.7083333333</v>
      </c>
      <c r="E248" s="82" t="s">
        <v>16322</v>
      </c>
    </row>
    <row r="249" customFormat="false" ht="15" hidden="true" customHeight="false" outlineLevel="0" collapsed="false">
      <c r="A249" s="0" t="s">
        <v>16323</v>
      </c>
      <c r="B249" s="0" t="s">
        <v>12011</v>
      </c>
      <c r="C249" s="0" t="s">
        <v>12011</v>
      </c>
      <c r="D249" s="81" t="n">
        <v>45307.7083333333</v>
      </c>
      <c r="E249" s="82" t="s">
        <v>16322</v>
      </c>
    </row>
    <row r="250" customFormat="false" ht="15" hidden="true" customHeight="false" outlineLevel="0" collapsed="false">
      <c r="A250" s="0" t="s">
        <v>16324</v>
      </c>
      <c r="B250" s="0" t="s">
        <v>16325</v>
      </c>
      <c r="C250" s="0" t="s">
        <v>16326</v>
      </c>
      <c r="D250" s="81" t="n">
        <v>45307.7083333333</v>
      </c>
      <c r="E250" s="82" t="s">
        <v>16322</v>
      </c>
    </row>
    <row r="251" customFormat="false" ht="15" hidden="true" customHeight="false" outlineLevel="0" collapsed="false">
      <c r="A251" s="0" t="s">
        <v>2112</v>
      </c>
      <c r="B251" s="0" t="s">
        <v>2111</v>
      </c>
      <c r="C251" s="0" t="s">
        <v>2038</v>
      </c>
      <c r="D251" s="81" t="n">
        <v>45309.4166666667</v>
      </c>
      <c r="E251" s="82" t="s">
        <v>2114</v>
      </c>
    </row>
    <row r="252" customFormat="false" ht="15" hidden="true" customHeight="false" outlineLevel="0" collapsed="false">
      <c r="A252" s="0" t="s">
        <v>849</v>
      </c>
      <c r="B252" s="0" t="s">
        <v>847</v>
      </c>
      <c r="C252" s="0" t="s">
        <v>848</v>
      </c>
      <c r="D252" s="81" t="n">
        <v>45309.4791666667</v>
      </c>
      <c r="E252" s="82" t="s">
        <v>856</v>
      </c>
    </row>
    <row r="253" customFormat="false" ht="15" hidden="true" customHeight="false" outlineLevel="0" collapsed="false">
      <c r="A253" s="0" t="s">
        <v>16327</v>
      </c>
      <c r="B253" s="0" t="s">
        <v>12435</v>
      </c>
      <c r="C253" s="0" t="s">
        <v>12435</v>
      </c>
      <c r="D253" s="81" t="n">
        <v>45309.5416666667</v>
      </c>
    </row>
    <row r="254" customFormat="false" ht="15" hidden="true" customHeight="false" outlineLevel="0" collapsed="false">
      <c r="A254" s="0" t="s">
        <v>16328</v>
      </c>
      <c r="B254" s="0" t="s">
        <v>16329</v>
      </c>
      <c r="C254" s="0" t="s">
        <v>16330</v>
      </c>
      <c r="D254" s="81" t="n">
        <v>45309.5416666667</v>
      </c>
    </row>
    <row r="255" customFormat="false" ht="15" hidden="true" customHeight="false" outlineLevel="0" collapsed="false">
      <c r="A255" s="0" t="s">
        <v>2303</v>
      </c>
      <c r="B255" s="0" t="s">
        <v>2302</v>
      </c>
      <c r="C255" s="0" t="s">
        <v>195</v>
      </c>
      <c r="D255" s="81" t="n">
        <v>45310.4375</v>
      </c>
      <c r="E255" s="82" t="s">
        <v>2306</v>
      </c>
    </row>
    <row r="256" customFormat="false" ht="15" hidden="true" customHeight="false" outlineLevel="0" collapsed="false">
      <c r="A256" s="0" t="s">
        <v>2330</v>
      </c>
      <c r="B256" s="0" t="s">
        <v>2328</v>
      </c>
      <c r="C256" s="0" t="s">
        <v>2329</v>
      </c>
      <c r="D256" s="81" t="n">
        <v>45310.5</v>
      </c>
      <c r="E256" s="82" t="s">
        <v>2333</v>
      </c>
    </row>
    <row r="257" customFormat="false" ht="15" hidden="true" customHeight="false" outlineLevel="0" collapsed="false">
      <c r="A257" s="0" t="s">
        <v>4806</v>
      </c>
      <c r="B257" s="0" t="s">
        <v>4805</v>
      </c>
      <c r="C257" s="0" t="s">
        <v>494</v>
      </c>
      <c r="D257" s="81" t="n">
        <v>45310.5833333333</v>
      </c>
      <c r="E257" s="82" t="s">
        <v>4809</v>
      </c>
    </row>
    <row r="258" customFormat="false" ht="15" hidden="true" customHeight="false" outlineLevel="0" collapsed="false">
      <c r="A258" s="0" t="s">
        <v>16331</v>
      </c>
      <c r="B258" s="0" t="s">
        <v>16332</v>
      </c>
      <c r="C258" s="0" t="s">
        <v>16333</v>
      </c>
      <c r="D258" s="81" t="n">
        <v>45310.6666666667</v>
      </c>
    </row>
    <row r="259" customFormat="false" ht="15" hidden="true" customHeight="false" outlineLevel="0" collapsed="false">
      <c r="A259" s="0" t="s">
        <v>16334</v>
      </c>
      <c r="B259" s="0" t="s">
        <v>11828</v>
      </c>
      <c r="C259" s="0" t="s">
        <v>11828</v>
      </c>
      <c r="D259" s="81" t="n">
        <v>45310.6666666667</v>
      </c>
    </row>
    <row r="260" customFormat="false" ht="15" hidden="true" customHeight="false" outlineLevel="0" collapsed="false">
      <c r="A260" s="0" t="s">
        <v>11025</v>
      </c>
      <c r="B260" s="0" t="s">
        <v>11024</v>
      </c>
      <c r="C260" s="0" t="s">
        <v>342</v>
      </c>
      <c r="D260" s="81" t="n">
        <v>45313.4166666667</v>
      </c>
    </row>
    <row r="261" customFormat="false" ht="15" hidden="true" customHeight="false" outlineLevel="0" collapsed="false">
      <c r="A261" s="0" t="s">
        <v>8068</v>
      </c>
      <c r="B261" s="0" t="s">
        <v>8066</v>
      </c>
      <c r="C261" s="0" t="s">
        <v>8067</v>
      </c>
      <c r="D261" s="81" t="n">
        <v>45313.5416666667</v>
      </c>
    </row>
    <row r="262" customFormat="false" ht="15" hidden="true" customHeight="false" outlineLevel="0" collapsed="false">
      <c r="A262" s="0" t="s">
        <v>5521</v>
      </c>
      <c r="B262" s="0" t="s">
        <v>5520</v>
      </c>
      <c r="C262" s="0" t="s">
        <v>4463</v>
      </c>
      <c r="D262" s="81" t="n">
        <v>45313.6041666667</v>
      </c>
    </row>
    <row r="263" customFormat="false" ht="15" hidden="true" customHeight="false" outlineLevel="0" collapsed="false">
      <c r="A263" s="0" t="s">
        <v>6612</v>
      </c>
      <c r="B263" s="0" t="s">
        <v>6610</v>
      </c>
      <c r="C263" s="0" t="s">
        <v>6611</v>
      </c>
      <c r="D263" s="81" t="n">
        <v>45313.6666666667</v>
      </c>
    </row>
    <row r="264" customFormat="false" ht="15" hidden="true" customHeight="false" outlineLevel="0" collapsed="false">
      <c r="A264" s="0" t="s">
        <v>5115</v>
      </c>
      <c r="B264" s="0" t="s">
        <v>5114</v>
      </c>
      <c r="C264" s="0" t="s">
        <v>195</v>
      </c>
      <c r="D264" s="81" t="n">
        <v>45314.4583333333</v>
      </c>
    </row>
    <row r="265" customFormat="false" ht="15" hidden="true" customHeight="false" outlineLevel="0" collapsed="false">
      <c r="A265" s="0" t="s">
        <v>1439</v>
      </c>
      <c r="B265" s="0" t="s">
        <v>1437</v>
      </c>
      <c r="C265" s="0" t="s">
        <v>1438</v>
      </c>
      <c r="D265" s="81" t="n">
        <v>45314.5416666667</v>
      </c>
    </row>
    <row r="266" customFormat="false" ht="15" hidden="true" customHeight="false" outlineLevel="0" collapsed="false">
      <c r="A266" s="0" t="s">
        <v>16335</v>
      </c>
      <c r="B266" s="0" t="s">
        <v>8560</v>
      </c>
      <c r="C266" s="0" t="s">
        <v>709</v>
      </c>
      <c r="D266" s="81" t="n">
        <v>45314.625</v>
      </c>
    </row>
    <row r="267" customFormat="false" ht="15" hidden="true" customHeight="false" outlineLevel="0" collapsed="false">
      <c r="A267" s="0" t="s">
        <v>16336</v>
      </c>
      <c r="B267" s="0" t="s">
        <v>12243</v>
      </c>
      <c r="C267" s="0" t="s">
        <v>12243</v>
      </c>
      <c r="D267" s="81" t="n">
        <v>45314.625</v>
      </c>
    </row>
    <row r="268" customFormat="false" ht="15" hidden="true" customHeight="false" outlineLevel="0" collapsed="false">
      <c r="A268" s="0" t="s">
        <v>243</v>
      </c>
      <c r="B268" s="0" t="s">
        <v>241</v>
      </c>
      <c r="C268" s="0" t="s">
        <v>242</v>
      </c>
      <c r="D268" s="81" t="n">
        <v>45316.3958333333</v>
      </c>
      <c r="E268" s="82" t="s">
        <v>250</v>
      </c>
    </row>
    <row r="269" customFormat="false" ht="15" hidden="true" customHeight="false" outlineLevel="0" collapsed="false">
      <c r="A269" s="0" t="s">
        <v>977</v>
      </c>
      <c r="B269" s="0" t="s">
        <v>976</v>
      </c>
      <c r="C269" s="0" t="s">
        <v>182</v>
      </c>
      <c r="D269" s="81" t="n">
        <v>45316.5625</v>
      </c>
    </row>
    <row r="270" customFormat="false" ht="15" hidden="true" customHeight="false" outlineLevel="0" collapsed="false">
      <c r="A270" s="0" t="s">
        <v>16337</v>
      </c>
      <c r="B270" s="0" t="s">
        <v>11924</v>
      </c>
      <c r="C270" s="0" t="s">
        <v>11924</v>
      </c>
      <c r="D270" s="81" t="n">
        <v>45316.6041666667</v>
      </c>
    </row>
    <row r="271" customFormat="false" ht="15" hidden="true" customHeight="false" outlineLevel="0" collapsed="false">
      <c r="A271" s="0" t="s">
        <v>16338</v>
      </c>
      <c r="B271" s="0" t="s">
        <v>593</v>
      </c>
      <c r="C271" s="0" t="s">
        <v>1928</v>
      </c>
      <c r="D271" s="81" t="n">
        <v>45316.6041666667</v>
      </c>
    </row>
    <row r="272" customFormat="false" ht="15" hidden="true" customHeight="false" outlineLevel="0" collapsed="false">
      <c r="A272" s="0" t="s">
        <v>354</v>
      </c>
      <c r="B272" s="0" t="s">
        <v>352</v>
      </c>
      <c r="C272" s="0" t="s">
        <v>353</v>
      </c>
      <c r="D272" s="81" t="n">
        <v>45317.4166666667</v>
      </c>
      <c r="E272" s="82" t="s">
        <v>358</v>
      </c>
    </row>
    <row r="273" customFormat="false" ht="15" hidden="true" customHeight="false" outlineLevel="0" collapsed="false">
      <c r="A273" s="0" t="s">
        <v>16339</v>
      </c>
      <c r="B273" s="0" t="s">
        <v>16340</v>
      </c>
      <c r="C273" s="0" t="s">
        <v>3281</v>
      </c>
      <c r="D273" s="81" t="n">
        <v>45317.6041666667</v>
      </c>
    </row>
    <row r="274" customFormat="false" ht="15" hidden="true" customHeight="false" outlineLevel="0" collapsed="false">
      <c r="A274" s="0" t="s">
        <v>16341</v>
      </c>
      <c r="B274" s="0" t="s">
        <v>12168</v>
      </c>
      <c r="C274" s="0" t="s">
        <v>12168</v>
      </c>
      <c r="D274" s="81" t="n">
        <v>45317.6041666667</v>
      </c>
    </row>
    <row r="275" customFormat="false" ht="15" hidden="true" customHeight="false" outlineLevel="0" collapsed="false">
      <c r="A275" s="0" t="s">
        <v>4013</v>
      </c>
      <c r="B275" s="0" t="s">
        <v>4012</v>
      </c>
      <c r="C275" s="0" t="s">
        <v>204</v>
      </c>
      <c r="D275" s="81" t="n">
        <v>45320.4166666667</v>
      </c>
      <c r="E275" s="82" t="s">
        <v>4018</v>
      </c>
    </row>
    <row r="276" customFormat="false" ht="15" hidden="true" customHeight="false" outlineLevel="0" collapsed="false">
      <c r="A276" s="0" t="s">
        <v>8657</v>
      </c>
      <c r="B276" s="0" t="s">
        <v>8656</v>
      </c>
      <c r="C276" s="0" t="s">
        <v>204</v>
      </c>
      <c r="D276" s="81" t="n">
        <v>45320.5</v>
      </c>
      <c r="E276" s="82" t="s">
        <v>8659</v>
      </c>
    </row>
    <row r="277" customFormat="false" ht="15" hidden="true" customHeight="false" outlineLevel="0" collapsed="false">
      <c r="A277" s="0" t="s">
        <v>5418</v>
      </c>
      <c r="B277" s="0" t="s">
        <v>5417</v>
      </c>
      <c r="C277" s="0" t="s">
        <v>195</v>
      </c>
      <c r="D277" s="81" t="n">
        <v>45320.5625</v>
      </c>
      <c r="E277" s="82" t="s">
        <v>5423</v>
      </c>
    </row>
    <row r="278" customFormat="false" ht="15" hidden="true" customHeight="false" outlineLevel="0" collapsed="false">
      <c r="A278" s="0" t="s">
        <v>7222</v>
      </c>
      <c r="B278" s="0" t="s">
        <v>7221</v>
      </c>
      <c r="C278" s="0" t="s">
        <v>868</v>
      </c>
      <c r="D278" s="81" t="n">
        <v>45320.6666666667</v>
      </c>
      <c r="E278" s="82" t="s">
        <v>7226</v>
      </c>
    </row>
    <row r="279" customFormat="false" ht="15" hidden="true" customHeight="false" outlineLevel="0" collapsed="false">
      <c r="A279" s="0" t="s">
        <v>1560</v>
      </c>
      <c r="B279" s="0" t="s">
        <v>1558</v>
      </c>
      <c r="C279" s="0" t="s">
        <v>1559</v>
      </c>
      <c r="D279" s="81" t="n">
        <v>45321.4375</v>
      </c>
      <c r="E279" s="82" t="s">
        <v>1562</v>
      </c>
    </row>
    <row r="280" customFormat="false" ht="15" hidden="true" customHeight="false" outlineLevel="0" collapsed="false">
      <c r="A280" s="0" t="s">
        <v>294</v>
      </c>
      <c r="B280" s="0" t="s">
        <v>292</v>
      </c>
      <c r="C280" s="0" t="s">
        <v>293</v>
      </c>
      <c r="D280" s="81" t="n">
        <v>45322.4166666667</v>
      </c>
      <c r="E280" s="82" t="s">
        <v>302</v>
      </c>
    </row>
    <row r="281" customFormat="false" ht="15" hidden="true" customHeight="false" outlineLevel="0" collapsed="false">
      <c r="A281" s="0" t="s">
        <v>16342</v>
      </c>
      <c r="B281" s="0" t="s">
        <v>802</v>
      </c>
      <c r="C281" s="0" t="s">
        <v>2194</v>
      </c>
      <c r="D281" s="81" t="n">
        <v>45322.4791666667</v>
      </c>
    </row>
    <row r="282" customFormat="false" ht="15" hidden="true" customHeight="false" outlineLevel="0" collapsed="false">
      <c r="A282" s="0" t="s">
        <v>5183</v>
      </c>
      <c r="B282" s="0" t="s">
        <v>5182</v>
      </c>
      <c r="C282" s="0" t="s">
        <v>2987</v>
      </c>
      <c r="D282" s="81" t="n">
        <v>45322.6041666667</v>
      </c>
    </row>
    <row r="283" customFormat="false" ht="15" hidden="true" customHeight="false" outlineLevel="0" collapsed="false">
      <c r="A283" s="0" t="s">
        <v>3583</v>
      </c>
      <c r="B283" s="0" t="s">
        <v>3581</v>
      </c>
      <c r="C283" s="0" t="s">
        <v>3582</v>
      </c>
      <c r="D283" s="81" t="n">
        <v>45322.6666666667</v>
      </c>
    </row>
    <row r="284" customFormat="false" ht="15" hidden="true" customHeight="false" outlineLevel="0" collapsed="false">
      <c r="A284" s="0" t="s">
        <v>16343</v>
      </c>
      <c r="B284" s="0" t="s">
        <v>12476</v>
      </c>
      <c r="C284" s="0" t="s">
        <v>12476</v>
      </c>
      <c r="D284" s="81" t="n">
        <v>45324.4375</v>
      </c>
      <c r="E284" s="82" t="s">
        <v>16344</v>
      </c>
    </row>
    <row r="285" customFormat="false" ht="15" hidden="true" customHeight="false" outlineLevel="0" collapsed="false">
      <c r="A285" s="0" t="s">
        <v>16345</v>
      </c>
      <c r="B285" s="0" t="s">
        <v>16346</v>
      </c>
      <c r="C285" s="0" t="s">
        <v>811</v>
      </c>
      <c r="D285" s="81" t="n">
        <v>45324.4375</v>
      </c>
    </row>
    <row r="286" customFormat="false" ht="15" hidden="true" customHeight="false" outlineLevel="0" collapsed="false">
      <c r="A286" s="0" t="s">
        <v>3946</v>
      </c>
      <c r="B286" s="0" t="s">
        <v>3945</v>
      </c>
      <c r="C286" s="0" t="s">
        <v>3920</v>
      </c>
      <c r="D286" s="81" t="n">
        <v>45327.4375</v>
      </c>
    </row>
    <row r="287" customFormat="false" ht="15" hidden="true" customHeight="false" outlineLevel="0" collapsed="false">
      <c r="A287" s="0" t="s">
        <v>7555</v>
      </c>
      <c r="B287" s="0" t="s">
        <v>7553</v>
      </c>
      <c r="C287" s="0" t="s">
        <v>7554</v>
      </c>
      <c r="D287" s="81" t="n">
        <v>45327.5208333333</v>
      </c>
    </row>
    <row r="288" customFormat="false" ht="15" hidden="true" customHeight="false" outlineLevel="0" collapsed="false">
      <c r="A288" s="0" t="s">
        <v>2069</v>
      </c>
      <c r="B288" s="0" t="s">
        <v>2068</v>
      </c>
      <c r="C288" s="0" t="s">
        <v>117</v>
      </c>
      <c r="D288" s="81" t="n">
        <v>45327.6458333333</v>
      </c>
    </row>
    <row r="289" customFormat="false" ht="15" hidden="true" customHeight="false" outlineLevel="0" collapsed="false">
      <c r="A289" s="0" t="s">
        <v>944</v>
      </c>
      <c r="B289" s="0" t="s">
        <v>943</v>
      </c>
      <c r="C289" s="0" t="s">
        <v>195</v>
      </c>
      <c r="D289" s="81" t="n">
        <v>45328.4375</v>
      </c>
    </row>
    <row r="290" customFormat="false" ht="15" hidden="true" customHeight="false" outlineLevel="0" collapsed="false">
      <c r="A290" s="0" t="s">
        <v>9951</v>
      </c>
      <c r="B290" s="0" t="s">
        <v>230</v>
      </c>
      <c r="C290" s="0" t="s">
        <v>1600</v>
      </c>
      <c r="D290" s="81" t="n">
        <v>45328.6041666667</v>
      </c>
    </row>
    <row r="291" customFormat="false" ht="15" hidden="true" customHeight="false" outlineLevel="0" collapsed="false">
      <c r="A291" s="0" t="s">
        <v>7127</v>
      </c>
      <c r="B291" s="0" t="s">
        <v>7126</v>
      </c>
      <c r="C291" s="0" t="s">
        <v>1438</v>
      </c>
      <c r="D291" s="81" t="n">
        <v>45328.6666666667</v>
      </c>
    </row>
    <row r="292" customFormat="false" ht="15" hidden="true" customHeight="false" outlineLevel="0" collapsed="false">
      <c r="A292" s="0" t="s">
        <v>644</v>
      </c>
      <c r="B292" s="0" t="s">
        <v>642</v>
      </c>
      <c r="C292" s="0" t="s">
        <v>643</v>
      </c>
      <c r="D292" s="81" t="n">
        <v>45329.5833333333</v>
      </c>
      <c r="E292" s="82" t="s">
        <v>650</v>
      </c>
    </row>
    <row r="293" customFormat="false" ht="15" hidden="true" customHeight="false" outlineLevel="0" collapsed="false">
      <c r="A293" s="0" t="s">
        <v>16347</v>
      </c>
      <c r="B293" s="0" t="s">
        <v>16348</v>
      </c>
      <c r="C293" s="0" t="s">
        <v>16349</v>
      </c>
      <c r="D293" s="81" t="n">
        <v>45337.3958333333</v>
      </c>
    </row>
    <row r="294" customFormat="false" ht="15" hidden="true" customHeight="false" outlineLevel="0" collapsed="false">
      <c r="A294" s="0" t="s">
        <v>16350</v>
      </c>
      <c r="B294" s="0" t="s">
        <v>11602</v>
      </c>
      <c r="C294" s="0" t="s">
        <v>11602</v>
      </c>
      <c r="D294" s="81" t="n">
        <v>45337.3958333333</v>
      </c>
    </row>
    <row r="295" customFormat="false" ht="15" hidden="true" customHeight="false" outlineLevel="0" collapsed="false">
      <c r="A295" s="0" t="s">
        <v>7535</v>
      </c>
      <c r="B295" s="0" t="s">
        <v>7533</v>
      </c>
      <c r="C295" s="0" t="s">
        <v>7534</v>
      </c>
      <c r="D295" s="81" t="n">
        <v>45337.4583333333</v>
      </c>
    </row>
    <row r="296" customFormat="false" ht="15" hidden="true" customHeight="false" outlineLevel="0" collapsed="false">
      <c r="A296" s="0" t="s">
        <v>2551</v>
      </c>
      <c r="B296" s="0" t="s">
        <v>2549</v>
      </c>
      <c r="C296" s="0" t="s">
        <v>2550</v>
      </c>
      <c r="D296" s="81" t="n">
        <v>45337.5208333333</v>
      </c>
    </row>
    <row r="297" customFormat="false" ht="15" hidden="true" customHeight="false" outlineLevel="0" collapsed="false">
      <c r="A297" s="0" t="s">
        <v>7450</v>
      </c>
      <c r="B297" s="0" t="s">
        <v>6520</v>
      </c>
      <c r="C297" s="0" t="s">
        <v>560</v>
      </c>
      <c r="D297" s="81" t="n">
        <v>45337.5833333333</v>
      </c>
    </row>
    <row r="298" customFormat="false" ht="15" hidden="true" customHeight="false" outlineLevel="0" collapsed="false">
      <c r="A298" s="0" t="s">
        <v>1824</v>
      </c>
      <c r="B298" s="0" t="s">
        <v>1823</v>
      </c>
      <c r="C298" s="0" t="s">
        <v>117</v>
      </c>
      <c r="D298" s="81" t="n">
        <v>45337.7083333333</v>
      </c>
    </row>
    <row r="299" customFormat="false" ht="15" hidden="true" customHeight="false" outlineLevel="0" collapsed="false">
      <c r="A299" s="0" t="s">
        <v>16351</v>
      </c>
      <c r="B299" s="0" t="s">
        <v>12017</v>
      </c>
      <c r="C299" s="0" t="s">
        <v>12017</v>
      </c>
      <c r="D299" s="81" t="n">
        <v>45338.3958333333</v>
      </c>
    </row>
    <row r="300" customFormat="false" ht="15" hidden="true" customHeight="false" outlineLevel="0" collapsed="false">
      <c r="A300" s="0" t="s">
        <v>16352</v>
      </c>
      <c r="B300" s="0" t="s">
        <v>16353</v>
      </c>
      <c r="C300" s="0" t="s">
        <v>1377</v>
      </c>
      <c r="D300" s="81" t="n">
        <v>45338.3958333333</v>
      </c>
    </row>
    <row r="301" customFormat="false" ht="15" hidden="true" customHeight="false" outlineLevel="0" collapsed="false">
      <c r="A301" s="0" t="s">
        <v>7215</v>
      </c>
      <c r="B301" s="0" t="s">
        <v>7213</v>
      </c>
      <c r="C301" s="0" t="s">
        <v>7214</v>
      </c>
      <c r="D301" s="81" t="n">
        <v>45338.4791666667</v>
      </c>
    </row>
    <row r="302" customFormat="false" ht="15" hidden="true" customHeight="false" outlineLevel="0" collapsed="false">
      <c r="A302" s="0" t="s">
        <v>1366</v>
      </c>
      <c r="B302" s="0" t="s">
        <v>1364</v>
      </c>
      <c r="C302" s="0" t="s">
        <v>1365</v>
      </c>
      <c r="D302" s="81" t="n">
        <v>45338.5416666667</v>
      </c>
    </row>
    <row r="303" customFormat="false" ht="15" hidden="true" customHeight="false" outlineLevel="0" collapsed="false">
      <c r="A303" s="0" t="s">
        <v>6521</v>
      </c>
      <c r="B303" s="0" t="s">
        <v>6520</v>
      </c>
      <c r="C303" s="0" t="s">
        <v>2880</v>
      </c>
      <c r="D303" s="81" t="n">
        <v>45338.6041666667</v>
      </c>
    </row>
    <row r="304" customFormat="false" ht="15" hidden="true" customHeight="false" outlineLevel="0" collapsed="false">
      <c r="A304" s="0" t="s">
        <v>16354</v>
      </c>
      <c r="B304" s="0" t="s">
        <v>16355</v>
      </c>
      <c r="C304" s="0" t="s">
        <v>1837</v>
      </c>
      <c r="D304" s="81" t="n">
        <v>45338.6666666667</v>
      </c>
    </row>
    <row r="305" customFormat="false" ht="15" hidden="true" customHeight="false" outlineLevel="0" collapsed="false">
      <c r="A305" s="0" t="s">
        <v>16356</v>
      </c>
      <c r="B305" s="0" t="s">
        <v>16357</v>
      </c>
      <c r="C305" s="0" t="s">
        <v>1007</v>
      </c>
      <c r="D305" s="81" t="n">
        <v>45341.375</v>
      </c>
    </row>
    <row r="306" customFormat="false" ht="15" hidden="true" customHeight="false" outlineLevel="0" collapsed="false">
      <c r="A306" s="0" t="s">
        <v>16358</v>
      </c>
      <c r="B306" s="0" t="s">
        <v>1134</v>
      </c>
      <c r="C306" s="0" t="s">
        <v>16359</v>
      </c>
      <c r="D306" s="81" t="n">
        <v>45341.375</v>
      </c>
    </row>
    <row r="307" customFormat="false" ht="15" hidden="true" customHeight="false" outlineLevel="0" collapsed="false">
      <c r="A307" s="0" t="s">
        <v>16360</v>
      </c>
      <c r="B307" s="0" t="s">
        <v>11541</v>
      </c>
      <c r="C307" s="0" t="s">
        <v>11541</v>
      </c>
      <c r="D307" s="81" t="n">
        <v>45341.375</v>
      </c>
    </row>
    <row r="308" customFormat="false" ht="15" hidden="true" customHeight="false" outlineLevel="0" collapsed="false">
      <c r="A308" s="0" t="s">
        <v>369</v>
      </c>
      <c r="B308" s="0" t="s">
        <v>367</v>
      </c>
      <c r="C308" s="0" t="s">
        <v>368</v>
      </c>
      <c r="D308" s="81" t="n">
        <v>45341.4375</v>
      </c>
    </row>
    <row r="309" customFormat="false" ht="15" hidden="true" customHeight="false" outlineLevel="0" collapsed="false">
      <c r="A309" s="0" t="s">
        <v>10717</v>
      </c>
      <c r="B309" s="0" t="s">
        <v>10716</v>
      </c>
      <c r="C309" s="0" t="s">
        <v>1130</v>
      </c>
      <c r="D309" s="81" t="n">
        <v>45341.5833333333</v>
      </c>
    </row>
    <row r="310" customFormat="false" ht="15" hidden="true" customHeight="false" outlineLevel="0" collapsed="false">
      <c r="A310" s="0" t="s">
        <v>11233</v>
      </c>
      <c r="B310" s="0" t="s">
        <v>11232</v>
      </c>
      <c r="C310" s="0" t="s">
        <v>2505</v>
      </c>
      <c r="D310" s="81" t="n">
        <v>45341.6666666667</v>
      </c>
    </row>
    <row r="311" customFormat="false" ht="15" hidden="true" customHeight="false" outlineLevel="0" collapsed="false">
      <c r="A311" s="0" t="s">
        <v>16361</v>
      </c>
      <c r="B311" s="0" t="s">
        <v>11662</v>
      </c>
      <c r="C311" s="0" t="s">
        <v>11662</v>
      </c>
      <c r="D311" s="81" t="n">
        <v>45342.3958333333</v>
      </c>
    </row>
    <row r="312" customFormat="false" ht="15" hidden="true" customHeight="false" outlineLevel="0" collapsed="false">
      <c r="A312" s="0" t="s">
        <v>16362</v>
      </c>
      <c r="B312" s="0" t="s">
        <v>16363</v>
      </c>
      <c r="C312" s="0" t="s">
        <v>2033</v>
      </c>
      <c r="D312" s="81" t="n">
        <v>45342.3958333333</v>
      </c>
    </row>
    <row r="313" customFormat="false" ht="15" hidden="true" customHeight="false" outlineLevel="0" collapsed="false">
      <c r="A313" s="0" t="s">
        <v>539</v>
      </c>
      <c r="B313" s="0" t="s">
        <v>537</v>
      </c>
      <c r="C313" s="0" t="s">
        <v>538</v>
      </c>
      <c r="D313" s="81" t="n">
        <v>45342.5208333333</v>
      </c>
      <c r="E313" s="82" t="s">
        <v>541</v>
      </c>
    </row>
    <row r="314" customFormat="false" ht="15" hidden="true" customHeight="false" outlineLevel="0" collapsed="false">
      <c r="A314" s="0" t="s">
        <v>16364</v>
      </c>
      <c r="B314" s="0" t="s">
        <v>16365</v>
      </c>
      <c r="C314" s="0" t="s">
        <v>4073</v>
      </c>
      <c r="D314" s="81" t="n">
        <v>45343.3958333333</v>
      </c>
    </row>
    <row r="315" customFormat="false" ht="15" hidden="true" customHeight="false" outlineLevel="0" collapsed="false">
      <c r="A315" s="0" t="s">
        <v>16366</v>
      </c>
      <c r="B315" s="0" t="s">
        <v>11715</v>
      </c>
      <c r="C315" s="0" t="s">
        <v>11715</v>
      </c>
      <c r="D315" s="81" t="n">
        <v>45343.3958333333</v>
      </c>
    </row>
    <row r="316" customFormat="false" ht="15" hidden="true" customHeight="false" outlineLevel="0" collapsed="false">
      <c r="A316" s="0" t="s">
        <v>2846</v>
      </c>
      <c r="B316" s="0" t="s">
        <v>2844</v>
      </c>
      <c r="C316" s="0" t="s">
        <v>2845</v>
      </c>
      <c r="D316" s="81" t="n">
        <v>45343.5416666667</v>
      </c>
    </row>
    <row r="317" customFormat="false" ht="15" hidden="true" customHeight="false" outlineLevel="0" collapsed="false">
      <c r="A317" s="0" t="s">
        <v>1726</v>
      </c>
      <c r="B317" s="0" t="s">
        <v>1725</v>
      </c>
      <c r="C317" s="0" t="s">
        <v>811</v>
      </c>
      <c r="D317" s="81" t="n">
        <v>45343.625</v>
      </c>
      <c r="E317" s="82" t="s">
        <v>1728</v>
      </c>
    </row>
    <row r="318" customFormat="false" ht="15" hidden="true" customHeight="false" outlineLevel="0" collapsed="false">
      <c r="A318" s="0" t="s">
        <v>16367</v>
      </c>
      <c r="B318" s="0" t="s">
        <v>11617</v>
      </c>
      <c r="C318" s="0" t="s">
        <v>11617</v>
      </c>
      <c r="D318" s="81" t="n">
        <v>45344.3541666667</v>
      </c>
    </row>
    <row r="319" customFormat="false" ht="15" hidden="true" customHeight="false" outlineLevel="0" collapsed="false">
      <c r="A319" s="0" t="s">
        <v>16368</v>
      </c>
      <c r="B319" s="0" t="s">
        <v>16369</v>
      </c>
      <c r="C319" s="0" t="s">
        <v>1156</v>
      </c>
      <c r="D319" s="81" t="n">
        <v>45344.3541666667</v>
      </c>
    </row>
    <row r="320" customFormat="false" ht="15" hidden="true" customHeight="false" outlineLevel="0" collapsed="false">
      <c r="A320" s="0" t="s">
        <v>4589</v>
      </c>
      <c r="B320" s="0" t="s">
        <v>4588</v>
      </c>
      <c r="C320" s="0" t="s">
        <v>1355</v>
      </c>
      <c r="D320" s="81" t="n">
        <v>45344.3958333333</v>
      </c>
    </row>
    <row r="321" customFormat="false" ht="15" hidden="true" customHeight="false" outlineLevel="0" collapsed="false">
      <c r="A321" s="0" t="s">
        <v>8081</v>
      </c>
      <c r="B321" s="0" t="s">
        <v>8080</v>
      </c>
      <c r="C321" s="0" t="s">
        <v>612</v>
      </c>
      <c r="D321" s="81" t="n">
        <v>45344.4583333333</v>
      </c>
      <c r="E321" s="82" t="s">
        <v>8086</v>
      </c>
    </row>
    <row r="322" customFormat="false" ht="15" hidden="true" customHeight="false" outlineLevel="0" collapsed="false">
      <c r="A322" s="0" t="s">
        <v>1219</v>
      </c>
      <c r="B322" s="0" t="s">
        <v>1217</v>
      </c>
      <c r="C322" s="0" t="s">
        <v>1218</v>
      </c>
      <c r="D322" s="81" t="n">
        <v>45344.625</v>
      </c>
    </row>
    <row r="323" customFormat="false" ht="15" hidden="true" customHeight="false" outlineLevel="0" collapsed="false">
      <c r="A323" s="0" t="s">
        <v>4433</v>
      </c>
      <c r="B323" s="0" t="s">
        <v>4432</v>
      </c>
      <c r="C323" s="0" t="s">
        <v>4324</v>
      </c>
      <c r="D323" s="81" t="n">
        <v>45345.375</v>
      </c>
    </row>
    <row r="324" customFormat="false" ht="15" hidden="true" customHeight="false" outlineLevel="0" collapsed="false">
      <c r="A324" s="0" t="s">
        <v>1295</v>
      </c>
      <c r="B324" s="0" t="s">
        <v>1293</v>
      </c>
      <c r="C324" s="0" t="s">
        <v>1294</v>
      </c>
      <c r="D324" s="81" t="n">
        <v>45345.4375</v>
      </c>
    </row>
    <row r="325" customFormat="false" ht="15" hidden="true" customHeight="false" outlineLevel="0" collapsed="false">
      <c r="A325" s="0" t="s">
        <v>1737</v>
      </c>
      <c r="B325" s="0" t="s">
        <v>1735</v>
      </c>
      <c r="C325" s="0" t="s">
        <v>1736</v>
      </c>
      <c r="D325" s="81" t="n">
        <v>45345.5208333333</v>
      </c>
    </row>
    <row r="326" customFormat="false" ht="15" hidden="true" customHeight="false" outlineLevel="0" collapsed="false">
      <c r="A326" s="0" t="s">
        <v>9379</v>
      </c>
      <c r="B326" s="0" t="s">
        <v>9378</v>
      </c>
      <c r="C326" s="0" t="s">
        <v>543</v>
      </c>
      <c r="D326" s="81" t="n">
        <v>45345.6041666667</v>
      </c>
      <c r="E326" s="82" t="s">
        <v>9383</v>
      </c>
    </row>
    <row r="327" customFormat="false" ht="15" hidden="true" customHeight="false" outlineLevel="0" collapsed="false">
      <c r="A327" s="0" t="s">
        <v>8200</v>
      </c>
      <c r="B327" s="0" t="s">
        <v>7322</v>
      </c>
      <c r="C327" s="0" t="s">
        <v>8199</v>
      </c>
      <c r="D327" s="81" t="n">
        <v>45348.4166666667</v>
      </c>
    </row>
    <row r="328" customFormat="false" ht="15" hidden="true" customHeight="false" outlineLevel="0" collapsed="false">
      <c r="A328" s="0" t="s">
        <v>1248</v>
      </c>
      <c r="B328" s="0" t="s">
        <v>1246</v>
      </c>
      <c r="C328" s="0" t="s">
        <v>1247</v>
      </c>
      <c r="D328" s="81" t="n">
        <v>45348.5</v>
      </c>
    </row>
    <row r="329" customFormat="false" ht="15" hidden="true" customHeight="false" outlineLevel="0" collapsed="false">
      <c r="A329" s="0" t="s">
        <v>8184</v>
      </c>
      <c r="B329" s="0" t="s">
        <v>8182</v>
      </c>
      <c r="C329" s="0" t="s">
        <v>8183</v>
      </c>
      <c r="D329" s="81" t="n">
        <v>45348.5833333333</v>
      </c>
      <c r="E329" s="82" t="s">
        <v>8189</v>
      </c>
    </row>
    <row r="330" customFormat="false" ht="15" hidden="true" customHeight="false" outlineLevel="0" collapsed="false">
      <c r="A330" s="0" t="s">
        <v>10591</v>
      </c>
      <c r="B330" s="0" t="s">
        <v>8301</v>
      </c>
      <c r="C330" s="0" t="s">
        <v>10590</v>
      </c>
      <c r="D330" s="81" t="n">
        <v>45348.6458333333</v>
      </c>
      <c r="E330" s="82" t="s">
        <v>10593</v>
      </c>
    </row>
    <row r="331" customFormat="false" ht="15" hidden="true" customHeight="false" outlineLevel="0" collapsed="false">
      <c r="A331" s="0" t="s">
        <v>987</v>
      </c>
      <c r="B331" s="0" t="s">
        <v>985</v>
      </c>
      <c r="C331" s="0" t="s">
        <v>986</v>
      </c>
      <c r="D331" s="81" t="n">
        <v>45349.3958333333</v>
      </c>
      <c r="E331" s="82" t="s">
        <v>993</v>
      </c>
    </row>
    <row r="332" customFormat="false" ht="15" hidden="true" customHeight="false" outlineLevel="0" collapsed="false">
      <c r="A332" s="0" t="s">
        <v>1157</v>
      </c>
      <c r="B332" s="0" t="s">
        <v>1155</v>
      </c>
      <c r="C332" s="0" t="s">
        <v>1156</v>
      </c>
      <c r="D332" s="81" t="n">
        <v>45349.5625</v>
      </c>
      <c r="E332" s="82" t="s">
        <v>1160</v>
      </c>
    </row>
    <row r="333" customFormat="false" ht="15" hidden="true" customHeight="false" outlineLevel="0" collapsed="false">
      <c r="A333" s="0" t="s">
        <v>1360</v>
      </c>
      <c r="B333" s="0" t="s">
        <v>1359</v>
      </c>
      <c r="C333" s="0" t="s">
        <v>709</v>
      </c>
      <c r="D333" s="81" t="n">
        <v>45349.6666666667</v>
      </c>
      <c r="E333" s="82" t="s">
        <v>1363</v>
      </c>
    </row>
    <row r="334" customFormat="false" ht="15" hidden="true" customHeight="false" outlineLevel="0" collapsed="false">
      <c r="A334" s="0" t="s">
        <v>1569</v>
      </c>
      <c r="B334" s="0" t="s">
        <v>1567</v>
      </c>
      <c r="C334" s="0" t="s">
        <v>1568</v>
      </c>
      <c r="D334" s="81" t="n">
        <v>45351.3958333333</v>
      </c>
      <c r="E334" s="82" t="s">
        <v>1572</v>
      </c>
    </row>
    <row r="335" customFormat="false" ht="15" hidden="true" customHeight="false" outlineLevel="0" collapsed="false">
      <c r="A335" s="0" t="s">
        <v>4684</v>
      </c>
      <c r="B335" s="0" t="s">
        <v>4683</v>
      </c>
      <c r="C335" s="0" t="s">
        <v>142</v>
      </c>
      <c r="D335" s="81" t="n">
        <v>45351.4375</v>
      </c>
    </row>
    <row r="336" customFormat="false" ht="15" hidden="true" customHeight="false" outlineLevel="0" collapsed="false">
      <c r="A336" s="0" t="s">
        <v>1515</v>
      </c>
      <c r="B336" s="0" t="s">
        <v>1514</v>
      </c>
      <c r="C336" s="0" t="s">
        <v>685</v>
      </c>
      <c r="D336" s="81" t="n">
        <v>45351.4791666667</v>
      </c>
      <c r="E336" s="82" t="s">
        <v>1520</v>
      </c>
    </row>
    <row r="337" customFormat="false" ht="15" hidden="true" customHeight="false" outlineLevel="0" collapsed="false">
      <c r="A337" s="0" t="s">
        <v>1378</v>
      </c>
      <c r="B337" s="0" t="s">
        <v>1376</v>
      </c>
      <c r="C337" s="0" t="s">
        <v>1377</v>
      </c>
      <c r="D337" s="81" t="n">
        <v>45352.3958333333</v>
      </c>
    </row>
    <row r="338" customFormat="false" ht="15" hidden="true" customHeight="false" outlineLevel="0" collapsed="false">
      <c r="A338" s="0" t="s">
        <v>6933</v>
      </c>
      <c r="B338" s="0" t="s">
        <v>6931</v>
      </c>
      <c r="C338" s="0" t="s">
        <v>6932</v>
      </c>
      <c r="D338" s="81" t="n">
        <v>45352.4583333333</v>
      </c>
    </row>
    <row r="339" customFormat="false" ht="15" hidden="true" customHeight="false" outlineLevel="0" collapsed="false">
      <c r="A339" s="0" t="s">
        <v>6323</v>
      </c>
      <c r="B339" s="0" t="s">
        <v>6322</v>
      </c>
      <c r="C339" s="0" t="s">
        <v>1539</v>
      </c>
      <c r="D339" s="81" t="n">
        <v>45352.6041666667</v>
      </c>
    </row>
    <row r="340" customFormat="false" ht="15" hidden="true" customHeight="false" outlineLevel="0" collapsed="false">
      <c r="A340" s="0" t="s">
        <v>16370</v>
      </c>
      <c r="B340" s="0" t="s">
        <v>5021</v>
      </c>
      <c r="C340" s="0" t="s">
        <v>2794</v>
      </c>
      <c r="D340" s="81" t="n">
        <v>45355.3958333333</v>
      </c>
    </row>
    <row r="341" customFormat="false" ht="15" hidden="true" customHeight="false" outlineLevel="0" collapsed="false">
      <c r="A341" s="0" t="s">
        <v>16371</v>
      </c>
      <c r="B341" s="0" t="s">
        <v>12084</v>
      </c>
      <c r="C341" s="0" t="s">
        <v>12084</v>
      </c>
      <c r="D341" s="81" t="n">
        <v>45355.3958333333</v>
      </c>
      <c r="E341" s="82" t="s">
        <v>16372</v>
      </c>
    </row>
    <row r="342" customFormat="false" ht="15" hidden="true" customHeight="false" outlineLevel="0" collapsed="false">
      <c r="A342" s="0" t="s">
        <v>1643</v>
      </c>
      <c r="B342" s="0" t="s">
        <v>1641</v>
      </c>
      <c r="C342" s="0" t="s">
        <v>1642</v>
      </c>
      <c r="D342" s="81" t="n">
        <v>45355.4583333333</v>
      </c>
      <c r="E342" s="82" t="s">
        <v>1649</v>
      </c>
    </row>
    <row r="343" customFormat="false" ht="15" hidden="true" customHeight="false" outlineLevel="0" collapsed="false">
      <c r="A343" s="0" t="s">
        <v>4392</v>
      </c>
      <c r="B343" s="0" t="s">
        <v>4390</v>
      </c>
      <c r="C343" s="0" t="s">
        <v>4391</v>
      </c>
      <c r="D343" s="81" t="n">
        <v>45355.5625</v>
      </c>
      <c r="E343" s="82" t="s">
        <v>4394</v>
      </c>
    </row>
    <row r="344" customFormat="false" ht="15" hidden="true" customHeight="false" outlineLevel="0" collapsed="false">
      <c r="A344" s="0" t="s">
        <v>4990</v>
      </c>
      <c r="B344" s="0" t="s">
        <v>4988</v>
      </c>
      <c r="C344" s="0" t="s">
        <v>4989</v>
      </c>
      <c r="D344" s="81" t="n">
        <v>45355.6041666667</v>
      </c>
    </row>
    <row r="345" customFormat="false" ht="15" hidden="true" customHeight="false" outlineLevel="0" collapsed="false">
      <c r="A345" s="0" t="s">
        <v>5883</v>
      </c>
      <c r="B345" s="0" t="s">
        <v>5882</v>
      </c>
      <c r="C345" s="0" t="s">
        <v>304</v>
      </c>
      <c r="D345" s="81" t="n">
        <v>45356.3958333333</v>
      </c>
    </row>
    <row r="346" customFormat="false" ht="15" hidden="true" customHeight="false" outlineLevel="0" collapsed="false">
      <c r="A346" s="0" t="s">
        <v>6299</v>
      </c>
      <c r="B346" s="0" t="s">
        <v>6298</v>
      </c>
      <c r="C346" s="0" t="s">
        <v>652</v>
      </c>
      <c r="D346" s="81" t="n">
        <v>45356.4375</v>
      </c>
      <c r="E346" s="82" t="s">
        <v>6303</v>
      </c>
    </row>
    <row r="347" customFormat="false" ht="15" hidden="true" customHeight="false" outlineLevel="0" collapsed="false">
      <c r="A347" s="0" t="s">
        <v>4420</v>
      </c>
      <c r="B347" s="0" t="s">
        <v>1134</v>
      </c>
      <c r="C347" s="0" t="s">
        <v>4419</v>
      </c>
      <c r="D347" s="81" t="n">
        <v>45356.4791666667</v>
      </c>
      <c r="E347" s="82" t="s">
        <v>4425</v>
      </c>
    </row>
    <row r="348" customFormat="false" ht="15" hidden="true" customHeight="false" outlineLevel="0" collapsed="false">
      <c r="A348" s="0" t="s">
        <v>16373</v>
      </c>
      <c r="B348" s="0" t="s">
        <v>16374</v>
      </c>
      <c r="C348" s="0" t="s">
        <v>811</v>
      </c>
      <c r="D348" s="81" t="n">
        <v>45357.375</v>
      </c>
    </row>
    <row r="349" customFormat="false" ht="15" hidden="true" customHeight="false" outlineLevel="0" collapsed="false">
      <c r="A349" s="0" t="s">
        <v>16375</v>
      </c>
      <c r="B349" s="0" t="s">
        <v>16376</v>
      </c>
      <c r="C349" s="0" t="s">
        <v>5389</v>
      </c>
      <c r="D349" s="81" t="n">
        <v>45357.375</v>
      </c>
    </row>
    <row r="350" customFormat="false" ht="15" hidden="true" customHeight="false" outlineLevel="0" collapsed="false">
      <c r="A350" s="0" t="s">
        <v>16377</v>
      </c>
      <c r="B350" s="0" t="s">
        <v>12090</v>
      </c>
      <c r="C350" s="0" t="s">
        <v>12090</v>
      </c>
      <c r="D350" s="81" t="n">
        <v>45357.375</v>
      </c>
    </row>
    <row r="351" customFormat="false" ht="15" hidden="true" customHeight="false" outlineLevel="0" collapsed="false">
      <c r="A351" s="0" t="s">
        <v>2317</v>
      </c>
      <c r="B351" s="0" t="s">
        <v>2316</v>
      </c>
      <c r="C351" s="0" t="s">
        <v>1584</v>
      </c>
      <c r="D351" s="81" t="n">
        <v>45357.4375</v>
      </c>
      <c r="E351" s="82" t="s">
        <v>2319</v>
      </c>
    </row>
    <row r="352" customFormat="false" ht="15" hidden="true" customHeight="false" outlineLevel="0" collapsed="false">
      <c r="A352" s="0" t="s">
        <v>6762</v>
      </c>
      <c r="B352" s="0" t="s">
        <v>6761</v>
      </c>
      <c r="C352" s="0" t="s">
        <v>1143</v>
      </c>
      <c r="D352" s="81" t="n">
        <v>45357.5208333333</v>
      </c>
      <c r="E352" s="82" t="s">
        <v>6766</v>
      </c>
    </row>
    <row r="353" customFormat="false" ht="15" hidden="true" customHeight="false" outlineLevel="0" collapsed="false">
      <c r="A353" s="0" t="s">
        <v>830</v>
      </c>
      <c r="B353" s="0" t="s">
        <v>828</v>
      </c>
      <c r="C353" s="0" t="s">
        <v>829</v>
      </c>
      <c r="D353" s="81" t="n">
        <v>45357.6041666667</v>
      </c>
      <c r="E353" s="82" t="s">
        <v>837</v>
      </c>
    </row>
    <row r="354" customFormat="false" ht="15" hidden="true" customHeight="false" outlineLevel="0" collapsed="false">
      <c r="A354" s="0" t="s">
        <v>1685</v>
      </c>
      <c r="B354" s="0" t="s">
        <v>1683</v>
      </c>
      <c r="C354" s="0" t="s">
        <v>1684</v>
      </c>
      <c r="D354" s="81" t="n">
        <v>45357.6666666667</v>
      </c>
    </row>
    <row r="355" customFormat="false" ht="15" hidden="true" customHeight="false" outlineLevel="0" collapsed="false">
      <c r="A355" s="0" t="s">
        <v>16378</v>
      </c>
      <c r="B355" s="0" t="s">
        <v>16379</v>
      </c>
      <c r="C355" s="0" t="s">
        <v>16380</v>
      </c>
      <c r="D355" s="81" t="n">
        <v>45359.375</v>
      </c>
    </row>
    <row r="356" customFormat="false" ht="15" hidden="true" customHeight="false" outlineLevel="0" collapsed="false">
      <c r="A356" s="0" t="s">
        <v>16381</v>
      </c>
      <c r="B356" s="0" t="s">
        <v>11760</v>
      </c>
      <c r="C356" s="0" t="s">
        <v>11760</v>
      </c>
      <c r="D356" s="81" t="n">
        <v>45359.375</v>
      </c>
    </row>
    <row r="357" customFormat="false" ht="15" hidden="true" customHeight="false" outlineLevel="0" collapsed="false">
      <c r="A357" s="0" t="s">
        <v>5696</v>
      </c>
      <c r="B357" s="0" t="s">
        <v>5695</v>
      </c>
      <c r="C357" s="0" t="s">
        <v>117</v>
      </c>
      <c r="D357" s="81" t="n">
        <v>45359.4375</v>
      </c>
      <c r="E357" s="82" t="s">
        <v>5700</v>
      </c>
    </row>
    <row r="358" customFormat="false" ht="15" hidden="true" customHeight="false" outlineLevel="0" collapsed="false">
      <c r="A358" s="0" t="s">
        <v>1237</v>
      </c>
      <c r="B358" s="0" t="s">
        <v>1235</v>
      </c>
      <c r="C358" s="0" t="s">
        <v>1236</v>
      </c>
      <c r="D358" s="81" t="n">
        <v>45359.5</v>
      </c>
      <c r="E358" s="82" t="s">
        <v>1243</v>
      </c>
    </row>
    <row r="359" customFormat="false" ht="15" hidden="true" customHeight="false" outlineLevel="0" collapsed="false">
      <c r="A359" s="0" t="s">
        <v>1540</v>
      </c>
      <c r="B359" s="0" t="s">
        <v>1538</v>
      </c>
      <c r="C359" s="0" t="s">
        <v>1539</v>
      </c>
      <c r="D359" s="81" t="n">
        <v>45359.6041666667</v>
      </c>
      <c r="E359" s="82" t="s">
        <v>1543</v>
      </c>
    </row>
    <row r="360" customFormat="false" ht="15" hidden="true" customHeight="false" outlineLevel="0" collapsed="false">
      <c r="A360" s="0" t="s">
        <v>3421</v>
      </c>
      <c r="B360" s="0" t="s">
        <v>3419</v>
      </c>
      <c r="C360" s="0" t="s">
        <v>3420</v>
      </c>
      <c r="D360" s="81" t="n">
        <v>45362.5</v>
      </c>
      <c r="E360" s="82" t="s">
        <v>3427</v>
      </c>
    </row>
    <row r="361" customFormat="false" ht="15" hidden="true" customHeight="false" outlineLevel="0" collapsed="false">
      <c r="A361" s="0" t="s">
        <v>16382</v>
      </c>
      <c r="B361" s="0" t="s">
        <v>16383</v>
      </c>
      <c r="C361" s="0" t="s">
        <v>376</v>
      </c>
      <c r="D361" s="81" t="n">
        <v>45362.5625</v>
      </c>
    </row>
    <row r="362" customFormat="false" ht="15" hidden="true" customHeight="false" outlineLevel="0" collapsed="false">
      <c r="A362" s="0" t="s">
        <v>8237</v>
      </c>
      <c r="B362" s="0" t="s">
        <v>433</v>
      </c>
      <c r="C362" s="0" t="s">
        <v>128</v>
      </c>
      <c r="D362" s="81" t="n">
        <v>45362.6458333333</v>
      </c>
    </row>
    <row r="363" customFormat="false" ht="15" hidden="true" customHeight="false" outlineLevel="0" collapsed="false">
      <c r="A363" s="0" t="s">
        <v>10500</v>
      </c>
      <c r="B363" s="0" t="s">
        <v>10499</v>
      </c>
      <c r="C363" s="0" t="s">
        <v>1837</v>
      </c>
      <c r="D363" s="81" t="n">
        <v>45362.7083333333</v>
      </c>
    </row>
    <row r="364" customFormat="false" ht="15" hidden="true" customHeight="false" outlineLevel="0" collapsed="false">
      <c r="A364" s="0" t="s">
        <v>8139</v>
      </c>
      <c r="B364" s="0" t="s">
        <v>8138</v>
      </c>
      <c r="C364" s="0" t="s">
        <v>231</v>
      </c>
      <c r="D364" s="81" t="n">
        <v>45363.5</v>
      </c>
    </row>
    <row r="365" customFormat="false" ht="15" hidden="true" customHeight="false" outlineLevel="0" collapsed="false">
      <c r="A365" s="0" t="s">
        <v>4060</v>
      </c>
      <c r="B365" s="0" t="s">
        <v>4059</v>
      </c>
      <c r="C365" s="0" t="s">
        <v>931</v>
      </c>
      <c r="D365" s="81" t="n">
        <v>45363.5625</v>
      </c>
      <c r="E365" s="82" t="s">
        <v>4065</v>
      </c>
    </row>
    <row r="366" customFormat="false" ht="15" hidden="true" customHeight="false" outlineLevel="0" collapsed="false">
      <c r="A366" s="0" t="s">
        <v>6372</v>
      </c>
      <c r="B366" s="0" t="s">
        <v>1580</v>
      </c>
      <c r="C366" s="0" t="s">
        <v>182</v>
      </c>
      <c r="D366" s="81" t="n">
        <v>45363.625</v>
      </c>
      <c r="E366" s="82" t="s">
        <v>6377</v>
      </c>
    </row>
    <row r="367" customFormat="false" ht="15" hidden="true" customHeight="false" outlineLevel="0" collapsed="false">
      <c r="A367" s="0" t="s">
        <v>3406</v>
      </c>
      <c r="B367" s="0" t="s">
        <v>3404</v>
      </c>
      <c r="C367" s="0" t="s">
        <v>3405</v>
      </c>
      <c r="D367" s="81" t="n">
        <v>45363.6875</v>
      </c>
      <c r="E367" s="82" t="s">
        <v>3412</v>
      </c>
    </row>
    <row r="368" customFormat="false" ht="15" hidden="true" customHeight="false" outlineLevel="0" collapsed="false">
      <c r="A368" s="0" t="s">
        <v>3535</v>
      </c>
      <c r="B368" s="0" t="s">
        <v>3534</v>
      </c>
      <c r="C368" s="0" t="s">
        <v>117</v>
      </c>
      <c r="D368" s="81" t="n">
        <v>45365.5</v>
      </c>
      <c r="E368" s="82" t="s">
        <v>3541</v>
      </c>
    </row>
    <row r="369" customFormat="false" ht="15" hidden="true" customHeight="false" outlineLevel="0" collapsed="false">
      <c r="A369" s="0" t="s">
        <v>4505</v>
      </c>
      <c r="B369" s="0" t="s">
        <v>4503</v>
      </c>
      <c r="C369" s="0" t="s">
        <v>4504</v>
      </c>
      <c r="D369" s="81" t="n">
        <v>45365.6875</v>
      </c>
      <c r="E369" s="82" t="s">
        <v>4510</v>
      </c>
    </row>
    <row r="370" customFormat="false" ht="15" hidden="true" customHeight="false" outlineLevel="0" collapsed="false">
      <c r="A370" s="0" t="s">
        <v>4872</v>
      </c>
      <c r="B370" s="0" t="s">
        <v>4871</v>
      </c>
      <c r="C370" s="0" t="s">
        <v>1101</v>
      </c>
      <c r="D370" s="81" t="n">
        <v>45366.4583333333</v>
      </c>
      <c r="E370" s="82" t="s">
        <v>4877</v>
      </c>
    </row>
    <row r="371" customFormat="false" ht="15" hidden="true" customHeight="false" outlineLevel="0" collapsed="false">
      <c r="A371" s="0" t="s">
        <v>16384</v>
      </c>
      <c r="B371" s="0" t="s">
        <v>9993</v>
      </c>
      <c r="C371" s="0" t="s">
        <v>231</v>
      </c>
      <c r="D371" s="81" t="n">
        <v>45366.5208333333</v>
      </c>
    </row>
    <row r="372" customFormat="false" ht="15" hidden="true" customHeight="false" outlineLevel="0" collapsed="false">
      <c r="A372" s="0" t="s">
        <v>876</v>
      </c>
      <c r="B372" s="0" t="s">
        <v>874</v>
      </c>
      <c r="C372" s="0" t="s">
        <v>875</v>
      </c>
      <c r="D372" s="81" t="n">
        <v>45369.4583333333</v>
      </c>
      <c r="E372" s="82" t="s">
        <v>881</v>
      </c>
    </row>
    <row r="373" customFormat="false" ht="15" hidden="true" customHeight="false" outlineLevel="0" collapsed="false">
      <c r="A373" s="0" t="s">
        <v>2417</v>
      </c>
      <c r="B373" s="0" t="s">
        <v>2416</v>
      </c>
      <c r="C373" s="0" t="s">
        <v>1101</v>
      </c>
      <c r="D373" s="81" t="n">
        <v>45369.5833333333</v>
      </c>
    </row>
    <row r="374" customFormat="false" ht="15" hidden="true" customHeight="false" outlineLevel="0" collapsed="false">
      <c r="A374" s="0" t="s">
        <v>11229</v>
      </c>
      <c r="B374" s="0" t="s">
        <v>11227</v>
      </c>
      <c r="C374" s="0" t="s">
        <v>11228</v>
      </c>
      <c r="D374" s="81" t="n">
        <v>45369.75</v>
      </c>
    </row>
    <row r="375" customFormat="false" ht="15" hidden="true" customHeight="false" outlineLevel="0" collapsed="false">
      <c r="A375" s="0" t="s">
        <v>9478</v>
      </c>
      <c r="B375" s="0" t="s">
        <v>9477</v>
      </c>
      <c r="C375" s="0" t="s">
        <v>1270</v>
      </c>
      <c r="D375" s="81" t="n">
        <v>45370.4583333333</v>
      </c>
    </row>
    <row r="376" customFormat="false" ht="15" hidden="true" customHeight="false" outlineLevel="0" collapsed="false">
      <c r="A376" s="0" t="s">
        <v>7659</v>
      </c>
      <c r="B376" s="0" t="s">
        <v>7658</v>
      </c>
      <c r="C376" s="0" t="s">
        <v>183</v>
      </c>
      <c r="D376" s="81" t="n">
        <v>45370.5208333333</v>
      </c>
      <c r="E376" s="82" t="s">
        <v>7663</v>
      </c>
    </row>
    <row r="377" customFormat="false" ht="15" hidden="true" customHeight="false" outlineLevel="0" collapsed="false">
      <c r="A377" s="0" t="s">
        <v>16385</v>
      </c>
      <c r="B377" s="0" t="s">
        <v>13578</v>
      </c>
      <c r="C377" s="0" t="s">
        <v>7214</v>
      </c>
      <c r="D377" s="81" t="n">
        <v>45370.6041666667</v>
      </c>
    </row>
    <row r="378" customFormat="false" ht="15" hidden="true" customHeight="false" outlineLevel="0" collapsed="false">
      <c r="A378" s="0" t="s">
        <v>9233</v>
      </c>
      <c r="B378" s="0" t="s">
        <v>9232</v>
      </c>
      <c r="C378" s="0" t="s">
        <v>495</v>
      </c>
      <c r="D378" s="81" t="n">
        <v>45370.6875</v>
      </c>
    </row>
    <row r="379" customFormat="false" ht="15" hidden="true" customHeight="false" outlineLevel="0" collapsed="false">
      <c r="A379" s="0" t="s">
        <v>9270</v>
      </c>
      <c r="B379" s="0" t="s">
        <v>9269</v>
      </c>
      <c r="C379" s="0" t="s">
        <v>2433</v>
      </c>
      <c r="D379" s="81" t="n">
        <v>45370.75</v>
      </c>
    </row>
    <row r="380" customFormat="false" ht="15" hidden="true" customHeight="false" outlineLevel="0" collapsed="false">
      <c r="A380" s="0" t="s">
        <v>16386</v>
      </c>
      <c r="B380" s="0" t="s">
        <v>11635</v>
      </c>
      <c r="C380" s="0" t="s">
        <v>11635</v>
      </c>
      <c r="D380" s="81" t="n">
        <v>45371.3958333333</v>
      </c>
    </row>
    <row r="381" customFormat="false" ht="15" hidden="true" customHeight="false" outlineLevel="0" collapsed="false">
      <c r="A381" s="0" t="s">
        <v>4635</v>
      </c>
      <c r="B381" s="0" t="s">
        <v>1181</v>
      </c>
      <c r="C381" s="0" t="s">
        <v>320</v>
      </c>
      <c r="D381" s="81" t="n">
        <v>45371.4791666667</v>
      </c>
      <c r="E381" s="82" t="s">
        <v>4637</v>
      </c>
    </row>
    <row r="382" customFormat="false" ht="15" hidden="true" customHeight="false" outlineLevel="0" collapsed="false">
      <c r="A382" s="0" t="s">
        <v>4574</v>
      </c>
      <c r="B382" s="0" t="s">
        <v>3004</v>
      </c>
      <c r="C382" s="0" t="s">
        <v>868</v>
      </c>
      <c r="D382" s="81" t="n">
        <v>45371.5416666667</v>
      </c>
      <c r="E382" s="82" t="s">
        <v>4579</v>
      </c>
    </row>
    <row r="383" customFormat="false" ht="15" hidden="true" customHeight="false" outlineLevel="0" collapsed="false">
      <c r="A383" s="0" t="s">
        <v>9491</v>
      </c>
      <c r="B383" s="0" t="s">
        <v>9489</v>
      </c>
      <c r="C383" s="0" t="s">
        <v>9490</v>
      </c>
      <c r="D383" s="81" t="n">
        <v>45371.6458333333</v>
      </c>
    </row>
    <row r="384" customFormat="false" ht="15" hidden="true" customHeight="false" outlineLevel="0" collapsed="false">
      <c r="A384" s="0" t="s">
        <v>6118</v>
      </c>
      <c r="B384" s="0" t="s">
        <v>6116</v>
      </c>
      <c r="C384" s="0" t="s">
        <v>6117</v>
      </c>
      <c r="D384" s="81" t="n">
        <v>45371.7291666667</v>
      </c>
      <c r="E384" s="82" t="s">
        <v>6124</v>
      </c>
    </row>
    <row r="385" customFormat="false" ht="15" hidden="true" customHeight="false" outlineLevel="0" collapsed="false">
      <c r="A385" s="0" t="s">
        <v>16387</v>
      </c>
      <c r="B385" s="0" t="s">
        <v>12184</v>
      </c>
      <c r="C385" s="0" t="s">
        <v>12184</v>
      </c>
      <c r="D385" s="81" t="n">
        <v>45372.3958333333</v>
      </c>
    </row>
    <row r="386" customFormat="false" ht="15" hidden="true" customHeight="false" outlineLevel="0" collapsed="false">
      <c r="A386" s="0" t="s">
        <v>16388</v>
      </c>
      <c r="B386" s="0" t="s">
        <v>16389</v>
      </c>
      <c r="C386" s="0" t="s">
        <v>6964</v>
      </c>
      <c r="D386" s="81" t="n">
        <v>45372.3958333333</v>
      </c>
    </row>
    <row r="387" customFormat="false" ht="15" hidden="true" customHeight="false" outlineLevel="0" collapsed="false">
      <c r="A387" s="0" t="s">
        <v>9311</v>
      </c>
      <c r="B387" s="0" t="s">
        <v>9310</v>
      </c>
      <c r="C387" s="0" t="s">
        <v>4112</v>
      </c>
      <c r="D387" s="81" t="n">
        <v>45372.4583333333</v>
      </c>
    </row>
    <row r="388" customFormat="false" ht="15" hidden="true" customHeight="false" outlineLevel="0" collapsed="false">
      <c r="A388" s="0" t="s">
        <v>5860</v>
      </c>
      <c r="B388" s="0" t="s">
        <v>3115</v>
      </c>
      <c r="C388" s="0" t="s">
        <v>5859</v>
      </c>
      <c r="D388" s="81" t="n">
        <v>45372.5625</v>
      </c>
      <c r="E388" s="82" t="s">
        <v>5866</v>
      </c>
    </row>
    <row r="389" customFormat="false" ht="15" hidden="true" customHeight="false" outlineLevel="0" collapsed="false">
      <c r="A389" s="0" t="s">
        <v>10766</v>
      </c>
      <c r="B389" s="0" t="s">
        <v>10765</v>
      </c>
      <c r="C389" s="0" t="s">
        <v>128</v>
      </c>
      <c r="D389" s="81" t="n">
        <v>45372.6666666667</v>
      </c>
    </row>
    <row r="390" customFormat="false" ht="15" hidden="true" customHeight="false" outlineLevel="0" collapsed="false">
      <c r="A390" s="0" t="s">
        <v>16390</v>
      </c>
      <c r="B390" s="0" t="s">
        <v>5394</v>
      </c>
      <c r="C390" s="0" t="s">
        <v>1007</v>
      </c>
      <c r="D390" s="81" t="n">
        <v>45373.3958333333</v>
      </c>
    </row>
    <row r="391" customFormat="false" ht="15" hidden="true" customHeight="false" outlineLevel="0" collapsed="false">
      <c r="A391" s="0" t="s">
        <v>16391</v>
      </c>
      <c r="B391" s="0" t="s">
        <v>11576</v>
      </c>
      <c r="C391" s="0" t="s">
        <v>11576</v>
      </c>
      <c r="D391" s="81" t="n">
        <v>45373.3958333333</v>
      </c>
    </row>
    <row r="392" customFormat="false" ht="15" hidden="true" customHeight="false" outlineLevel="0" collapsed="false">
      <c r="A392" s="0" t="s">
        <v>4449</v>
      </c>
      <c r="B392" s="0" t="s">
        <v>4448</v>
      </c>
      <c r="C392" s="0" t="s">
        <v>543</v>
      </c>
      <c r="D392" s="81" t="n">
        <v>45373.5833333333</v>
      </c>
      <c r="E392" s="82" t="s">
        <v>4454</v>
      </c>
    </row>
    <row r="393" customFormat="false" ht="15" hidden="true" customHeight="false" outlineLevel="0" collapsed="false">
      <c r="A393" s="0" t="s">
        <v>3103</v>
      </c>
      <c r="B393" s="0" t="s">
        <v>3102</v>
      </c>
      <c r="C393" s="0" t="s">
        <v>1403</v>
      </c>
      <c r="D393" s="81" t="n">
        <v>45373.6458333333</v>
      </c>
    </row>
    <row r="394" customFormat="false" ht="15" hidden="true" customHeight="false" outlineLevel="0" collapsed="false">
      <c r="A394" s="0" t="s">
        <v>16392</v>
      </c>
      <c r="B394" s="0" t="s">
        <v>16393</v>
      </c>
      <c r="C394" s="0" t="s">
        <v>1837</v>
      </c>
      <c r="D394" s="81" t="n">
        <v>45373.6875</v>
      </c>
      <c r="E394" s="82" t="s">
        <v>16394</v>
      </c>
    </row>
    <row r="395" customFormat="false" ht="15" hidden="true" customHeight="false" outlineLevel="0" collapsed="false">
      <c r="A395" s="0" t="s">
        <v>16395</v>
      </c>
      <c r="B395" s="0" t="s">
        <v>16396</v>
      </c>
      <c r="C395" s="0" t="s">
        <v>4169</v>
      </c>
      <c r="D395" s="81" t="n">
        <v>45376.3958333333</v>
      </c>
    </row>
    <row r="396" customFormat="false" ht="15" hidden="true" customHeight="false" outlineLevel="0" collapsed="false">
      <c r="A396" s="0" t="s">
        <v>16397</v>
      </c>
      <c r="B396" s="0" t="s">
        <v>11678</v>
      </c>
      <c r="C396" s="0" t="s">
        <v>11678</v>
      </c>
      <c r="D396" s="81" t="n">
        <v>45376.3958333333</v>
      </c>
    </row>
    <row r="397" customFormat="false" ht="15" hidden="true" customHeight="false" outlineLevel="0" collapsed="false">
      <c r="A397" s="0" t="s">
        <v>129</v>
      </c>
      <c r="B397" s="0" t="s">
        <v>127</v>
      </c>
      <c r="C397" s="0" t="s">
        <v>128</v>
      </c>
      <c r="D397" s="81" t="n">
        <v>45376.4375</v>
      </c>
      <c r="E397" s="82" t="s">
        <v>135</v>
      </c>
    </row>
    <row r="398" customFormat="false" ht="15" hidden="true" customHeight="false" outlineLevel="0" collapsed="false">
      <c r="A398" s="0" t="s">
        <v>1574</v>
      </c>
      <c r="B398" s="0" t="s">
        <v>1573</v>
      </c>
      <c r="C398" s="0" t="s">
        <v>958</v>
      </c>
      <c r="D398" s="81" t="n">
        <v>45376.4791666667</v>
      </c>
    </row>
    <row r="399" customFormat="false" ht="15" hidden="true" customHeight="false" outlineLevel="0" collapsed="false">
      <c r="A399" s="0" t="s">
        <v>16398</v>
      </c>
      <c r="B399" s="0" t="s">
        <v>6392</v>
      </c>
      <c r="C399" s="0" t="s">
        <v>1007</v>
      </c>
      <c r="D399" s="81" t="n">
        <v>45379.375</v>
      </c>
    </row>
    <row r="400" customFormat="false" ht="15" hidden="true" customHeight="false" outlineLevel="0" collapsed="false">
      <c r="A400" s="0" t="s">
        <v>16399</v>
      </c>
      <c r="B400" s="0" t="s">
        <v>11839</v>
      </c>
      <c r="C400" s="0" t="s">
        <v>11839</v>
      </c>
      <c r="D400" s="81" t="n">
        <v>45379.375</v>
      </c>
    </row>
    <row r="401" customFormat="false" ht="15" hidden="true" customHeight="false" outlineLevel="0" collapsed="false">
      <c r="A401" s="0" t="s">
        <v>2658</v>
      </c>
      <c r="B401" s="0" t="s">
        <v>2657</v>
      </c>
      <c r="C401" s="0" t="s">
        <v>1559</v>
      </c>
      <c r="D401" s="81" t="n">
        <v>45379.4166666667</v>
      </c>
      <c r="E401" s="82" t="s">
        <v>2662</v>
      </c>
    </row>
    <row r="402" customFormat="false" ht="15" hidden="true" customHeight="false" outlineLevel="0" collapsed="false">
      <c r="A402" s="0" t="s">
        <v>8987</v>
      </c>
      <c r="B402" s="0" t="s">
        <v>8986</v>
      </c>
      <c r="C402" s="0" t="s">
        <v>1736</v>
      </c>
      <c r="D402" s="81" t="n">
        <v>45379.4791666667</v>
      </c>
    </row>
    <row r="403" customFormat="false" ht="15" hidden="true" customHeight="false" outlineLevel="0" collapsed="false">
      <c r="A403" s="0" t="s">
        <v>16400</v>
      </c>
      <c r="B403" s="0" t="s">
        <v>11377</v>
      </c>
      <c r="C403" s="0" t="s">
        <v>11377</v>
      </c>
      <c r="D403" s="81" t="n">
        <v>45419.5208333333</v>
      </c>
      <c r="E403" s="82" t="s">
        <v>16401</v>
      </c>
    </row>
    <row r="404" customFormat="false" ht="15" hidden="true" customHeight="false" outlineLevel="0" collapsed="false">
      <c r="A404" s="0" t="s">
        <v>16402</v>
      </c>
      <c r="B404" s="0" t="s">
        <v>16403</v>
      </c>
      <c r="C404" s="0" t="s">
        <v>16404</v>
      </c>
      <c r="D404" s="81" t="n">
        <v>45419.5208333333</v>
      </c>
    </row>
    <row r="405" customFormat="false" ht="15" hidden="true" customHeight="false" outlineLevel="0" collapsed="false">
      <c r="A405" s="0" t="s">
        <v>143</v>
      </c>
      <c r="B405" s="0" t="s">
        <v>141</v>
      </c>
      <c r="C405" s="0" t="s">
        <v>142</v>
      </c>
      <c r="D405" s="81" t="n">
        <v>45419.5833333333</v>
      </c>
      <c r="E405" s="82" t="s">
        <v>149</v>
      </c>
    </row>
    <row r="406" customFormat="false" ht="15" hidden="true" customHeight="false" outlineLevel="0" collapsed="false">
      <c r="A406" s="0" t="s">
        <v>420</v>
      </c>
      <c r="B406" s="0" t="s">
        <v>418</v>
      </c>
      <c r="C406" s="0" t="s">
        <v>419</v>
      </c>
      <c r="D406" s="81" t="n">
        <v>45419.6458333333</v>
      </c>
      <c r="E406" s="82" t="s">
        <v>427</v>
      </c>
    </row>
    <row r="407" customFormat="false" ht="15" hidden="true" customHeight="false" outlineLevel="0" collapsed="false">
      <c r="A407" s="0" t="s">
        <v>16405</v>
      </c>
      <c r="B407" s="0" t="s">
        <v>16406</v>
      </c>
      <c r="C407" s="0" t="s">
        <v>10445</v>
      </c>
      <c r="D407" s="81" t="n">
        <v>45425.375</v>
      </c>
    </row>
    <row r="408" customFormat="false" ht="15" hidden="true" customHeight="false" outlineLevel="0" collapsed="false">
      <c r="A408" s="0" t="s">
        <v>16407</v>
      </c>
      <c r="B408" s="0" t="s">
        <v>11881</v>
      </c>
      <c r="C408" s="0" t="s">
        <v>11881</v>
      </c>
      <c r="D408" s="81" t="n">
        <v>45425.375</v>
      </c>
    </row>
    <row r="409" customFormat="false" ht="15" hidden="true" customHeight="false" outlineLevel="0" collapsed="false">
      <c r="A409" s="0" t="s">
        <v>3012</v>
      </c>
      <c r="B409" s="0" t="s">
        <v>3010</v>
      </c>
      <c r="C409" s="0" t="s">
        <v>3011</v>
      </c>
      <c r="D409" s="81" t="n">
        <v>45425.4583333333</v>
      </c>
      <c r="E409" s="82" t="s">
        <v>3015</v>
      </c>
    </row>
    <row r="410" customFormat="false" ht="15" hidden="true" customHeight="false" outlineLevel="0" collapsed="false">
      <c r="A410" s="0" t="s">
        <v>2044</v>
      </c>
      <c r="B410" s="0" t="s">
        <v>2042</v>
      </c>
      <c r="C410" s="0" t="s">
        <v>2043</v>
      </c>
      <c r="D410" s="81" t="n">
        <v>45425.5416666667</v>
      </c>
      <c r="E410" s="82" t="s">
        <v>2046</v>
      </c>
    </row>
    <row r="411" customFormat="false" ht="15" hidden="false" customHeight="false" outlineLevel="0" collapsed="false">
      <c r="A411" s="0" t="s">
        <v>60</v>
      </c>
      <c r="B411" s="0" t="s">
        <v>58</v>
      </c>
      <c r="C411" s="0" t="s">
        <v>59</v>
      </c>
      <c r="D411" s="81" t="n">
        <v>45425.6041666667</v>
      </c>
      <c r="E411" s="82" t="s">
        <v>68</v>
      </c>
    </row>
    <row r="412" customFormat="false" ht="15" hidden="true" customHeight="false" outlineLevel="0" collapsed="false">
      <c r="A412" s="0" t="s">
        <v>561</v>
      </c>
      <c r="B412" s="0" t="s">
        <v>559</v>
      </c>
      <c r="C412" s="0" t="s">
        <v>560</v>
      </c>
      <c r="D412" s="81" t="n">
        <v>45425.6875</v>
      </c>
      <c r="E412" s="82" t="s">
        <v>566</v>
      </c>
    </row>
    <row r="413" customFormat="false" ht="15" hidden="true" customHeight="false" outlineLevel="0" collapsed="false">
      <c r="A413" s="0" t="s">
        <v>16408</v>
      </c>
      <c r="B413" s="0" t="s">
        <v>16409</v>
      </c>
      <c r="C413" s="0" t="s">
        <v>16410</v>
      </c>
      <c r="D413" s="81" t="n">
        <v>45426.4166666667</v>
      </c>
      <c r="E413" s="82" t="s">
        <v>16411</v>
      </c>
    </row>
    <row r="414" customFormat="false" ht="15" hidden="true" customHeight="false" outlineLevel="0" collapsed="false">
      <c r="A414" s="0" t="s">
        <v>16412</v>
      </c>
      <c r="B414" s="0" t="s">
        <v>11860</v>
      </c>
      <c r="C414" s="0" t="s">
        <v>11860</v>
      </c>
      <c r="D414" s="81" t="n">
        <v>45426.4166666667</v>
      </c>
      <c r="E414" s="82" t="s">
        <v>16411</v>
      </c>
    </row>
    <row r="415" customFormat="false" ht="15" hidden="true" customHeight="false" outlineLevel="0" collapsed="false">
      <c r="A415" s="0" t="s">
        <v>222</v>
      </c>
      <c r="B415" s="0" t="s">
        <v>220</v>
      </c>
      <c r="C415" s="0" t="s">
        <v>221</v>
      </c>
      <c r="D415" s="81" t="n">
        <v>45426.5</v>
      </c>
      <c r="E415" s="82" t="s">
        <v>228</v>
      </c>
    </row>
    <row r="416" customFormat="false" ht="15" hidden="true" customHeight="false" outlineLevel="0" collapsed="false">
      <c r="A416" s="0" t="s">
        <v>285</v>
      </c>
      <c r="B416" s="0" t="s">
        <v>283</v>
      </c>
      <c r="C416" s="0" t="s">
        <v>284</v>
      </c>
      <c r="D416" s="81" t="n">
        <v>45426.625</v>
      </c>
      <c r="E416" s="82" t="s">
        <v>291</v>
      </c>
    </row>
    <row r="417" customFormat="false" ht="15" hidden="true" customHeight="false" outlineLevel="0" collapsed="false">
      <c r="A417" s="0" t="s">
        <v>91</v>
      </c>
      <c r="B417" s="0" t="s">
        <v>89</v>
      </c>
      <c r="C417" s="0" t="s">
        <v>90</v>
      </c>
      <c r="D417" s="81" t="n">
        <v>45427.6041666667</v>
      </c>
      <c r="E417" s="82" t="s">
        <v>93</v>
      </c>
    </row>
    <row r="418" customFormat="false" ht="15" hidden="true" customHeight="false" outlineLevel="0" collapsed="false">
      <c r="A418" s="0" t="s">
        <v>1094</v>
      </c>
      <c r="B418" s="0" t="s">
        <v>1093</v>
      </c>
      <c r="C418" s="0" t="s">
        <v>419</v>
      </c>
      <c r="D418" s="81" t="n">
        <v>45427.6666666667</v>
      </c>
      <c r="E418" s="82" t="s">
        <v>1099</v>
      </c>
    </row>
    <row r="419" customFormat="false" ht="15" hidden="true" customHeight="false" outlineLevel="0" collapsed="false">
      <c r="A419" s="0" t="s">
        <v>16413</v>
      </c>
      <c r="B419" s="0" t="s">
        <v>16414</v>
      </c>
      <c r="C419" s="0" t="s">
        <v>2941</v>
      </c>
      <c r="D419" s="81" t="n">
        <v>45428.3958333333</v>
      </c>
    </row>
    <row r="420" customFormat="false" ht="15" hidden="true" customHeight="false" outlineLevel="0" collapsed="false">
      <c r="A420" s="0" t="s">
        <v>16415</v>
      </c>
      <c r="B420" s="0" t="s">
        <v>11834</v>
      </c>
      <c r="C420" s="0" t="s">
        <v>11834</v>
      </c>
      <c r="D420" s="81" t="n">
        <v>45428.3958333333</v>
      </c>
    </row>
    <row r="421" customFormat="false" ht="15" hidden="true" customHeight="false" outlineLevel="0" collapsed="false">
      <c r="A421" s="0" t="s">
        <v>869</v>
      </c>
      <c r="B421" s="0" t="s">
        <v>867</v>
      </c>
      <c r="C421" s="0" t="s">
        <v>868</v>
      </c>
      <c r="D421" s="81" t="n">
        <v>45428.4791666667</v>
      </c>
      <c r="E421" s="82" t="s">
        <v>873</v>
      </c>
    </row>
    <row r="422" customFormat="false" ht="15" hidden="true" customHeight="false" outlineLevel="0" collapsed="false">
      <c r="A422" s="0" t="s">
        <v>1356</v>
      </c>
      <c r="B422" s="0" t="s">
        <v>1354</v>
      </c>
      <c r="C422" s="0" t="s">
        <v>1355</v>
      </c>
      <c r="D422" s="81" t="n">
        <v>45428.5625</v>
      </c>
      <c r="E422" s="82" t="s">
        <v>1358</v>
      </c>
    </row>
    <row r="423" customFormat="false" ht="15" hidden="true" customHeight="false" outlineLevel="0" collapsed="false">
      <c r="A423" s="0" t="s">
        <v>1404</v>
      </c>
      <c r="B423" s="0" t="s">
        <v>1402</v>
      </c>
      <c r="C423" s="0" t="s">
        <v>1403</v>
      </c>
      <c r="D423" s="81" t="n">
        <v>45428.7083333333</v>
      </c>
      <c r="E423" s="82" t="s">
        <v>1407</v>
      </c>
    </row>
    <row r="424" customFormat="false" ht="15" hidden="true" customHeight="false" outlineLevel="0" collapsed="false">
      <c r="A424" s="0" t="s">
        <v>1322</v>
      </c>
      <c r="B424" s="0" t="s">
        <v>1321</v>
      </c>
      <c r="C424" s="0" t="s">
        <v>685</v>
      </c>
      <c r="D424" s="81" t="n">
        <v>45429.375</v>
      </c>
      <c r="E424" s="82" t="s">
        <v>1328</v>
      </c>
    </row>
    <row r="425" customFormat="false" ht="15" hidden="true" customHeight="false" outlineLevel="0" collapsed="false">
      <c r="A425" s="0" t="s">
        <v>7455</v>
      </c>
      <c r="B425" s="0" t="s">
        <v>7454</v>
      </c>
      <c r="C425" s="0" t="s">
        <v>3745</v>
      </c>
      <c r="D425" s="81" t="n">
        <v>45429.4583333333</v>
      </c>
      <c r="E425" s="82" t="s">
        <v>7460</v>
      </c>
    </row>
    <row r="426" customFormat="false" ht="15" hidden="true" customHeight="false" outlineLevel="0" collapsed="false">
      <c r="A426" s="0" t="s">
        <v>1417</v>
      </c>
      <c r="B426" s="0" t="s">
        <v>1416</v>
      </c>
      <c r="C426" s="0" t="s">
        <v>690</v>
      </c>
      <c r="D426" s="81" t="n">
        <v>45429.6458333333</v>
      </c>
      <c r="E426" s="82" t="s">
        <v>1421</v>
      </c>
    </row>
    <row r="427" customFormat="false" ht="15" hidden="true" customHeight="false" outlineLevel="0" collapsed="false">
      <c r="A427" s="0" t="s">
        <v>1271</v>
      </c>
      <c r="B427" s="0" t="s">
        <v>1269</v>
      </c>
      <c r="C427" s="0" t="s">
        <v>1270</v>
      </c>
      <c r="D427" s="81" t="n">
        <v>45429.7083333333</v>
      </c>
      <c r="E427" s="82" t="s">
        <v>1273</v>
      </c>
    </row>
    <row r="428" customFormat="false" ht="15" hidden="true" customHeight="false" outlineLevel="0" collapsed="false">
      <c r="A428" s="0" t="s">
        <v>385</v>
      </c>
      <c r="B428" s="0" t="s">
        <v>383</v>
      </c>
      <c r="C428" s="0" t="s">
        <v>384</v>
      </c>
      <c r="D428" s="81" t="n">
        <v>45433.3541666667</v>
      </c>
      <c r="E428" s="82" t="s">
        <v>393</v>
      </c>
    </row>
    <row r="429" customFormat="false" ht="15" hidden="true" customHeight="false" outlineLevel="0" collapsed="false">
      <c r="A429" s="0" t="s">
        <v>1016</v>
      </c>
      <c r="B429" s="0" t="s">
        <v>1014</v>
      </c>
      <c r="C429" s="0" t="s">
        <v>1015</v>
      </c>
      <c r="D429" s="81" t="n">
        <v>45433.4375</v>
      </c>
      <c r="E429" s="82" t="s">
        <v>1022</v>
      </c>
    </row>
    <row r="430" customFormat="false" ht="15" hidden="true" customHeight="false" outlineLevel="0" collapsed="false">
      <c r="A430" s="0" t="s">
        <v>5209</v>
      </c>
      <c r="B430" s="0" t="s">
        <v>5208</v>
      </c>
      <c r="C430" s="0" t="s">
        <v>2880</v>
      </c>
      <c r="D430" s="81" t="n">
        <v>45433.5625</v>
      </c>
      <c r="E430" s="82" t="s">
        <v>5213</v>
      </c>
    </row>
    <row r="431" customFormat="false" ht="15" hidden="true" customHeight="false" outlineLevel="0" collapsed="false">
      <c r="A431" s="0" t="s">
        <v>2335</v>
      </c>
      <c r="B431" s="0" t="s">
        <v>2334</v>
      </c>
      <c r="C431" s="0" t="s">
        <v>151</v>
      </c>
      <c r="D431" s="81" t="n">
        <v>45433.5625</v>
      </c>
      <c r="E431" s="82" t="s">
        <v>2341</v>
      </c>
    </row>
    <row r="432" customFormat="false" ht="15" hidden="true" customHeight="false" outlineLevel="0" collapsed="false">
      <c r="A432" s="0" t="s">
        <v>1625</v>
      </c>
      <c r="B432" s="0" t="s">
        <v>1624</v>
      </c>
      <c r="C432" s="0" t="s">
        <v>142</v>
      </c>
      <c r="D432" s="81" t="n">
        <v>45433.6458333333</v>
      </c>
      <c r="E432" s="82" t="s">
        <v>1631</v>
      </c>
    </row>
    <row r="433" customFormat="false" ht="15" hidden="true" customHeight="false" outlineLevel="0" collapsed="false">
      <c r="A433" s="0" t="s">
        <v>1305</v>
      </c>
      <c r="B433" s="0" t="s">
        <v>1303</v>
      </c>
      <c r="C433" s="0" t="s">
        <v>1304</v>
      </c>
      <c r="D433" s="81" t="n">
        <v>45439.5416666667</v>
      </c>
      <c r="E433" s="82" t="s">
        <v>1312</v>
      </c>
    </row>
    <row r="434" customFormat="false" ht="15" hidden="true" customHeight="false" outlineLevel="0" collapsed="false">
      <c r="A434" s="0" t="s">
        <v>1666</v>
      </c>
      <c r="B434" s="0" t="s">
        <v>1665</v>
      </c>
      <c r="C434" s="0" t="s">
        <v>1460</v>
      </c>
      <c r="D434" s="81" t="n">
        <v>45439.5833333333</v>
      </c>
      <c r="E434" s="82" t="s">
        <v>1669</v>
      </c>
    </row>
    <row r="435" customFormat="false" ht="15" hidden="true" customHeight="false" outlineLevel="0" collapsed="false">
      <c r="A435" s="0" t="s">
        <v>3875</v>
      </c>
      <c r="B435" s="0" t="s">
        <v>3873</v>
      </c>
      <c r="C435" s="0" t="s">
        <v>3874</v>
      </c>
      <c r="D435" s="81" t="n">
        <v>45439.625</v>
      </c>
      <c r="E435" s="82" t="s">
        <v>3879</v>
      </c>
    </row>
    <row r="436" customFormat="false" ht="15" hidden="true" customHeight="false" outlineLevel="0" collapsed="false">
      <c r="A436" s="0" t="s">
        <v>840</v>
      </c>
      <c r="B436" s="0" t="s">
        <v>838</v>
      </c>
      <c r="C436" s="0" t="s">
        <v>839</v>
      </c>
      <c r="D436" s="81" t="n">
        <v>45440.3333333333</v>
      </c>
      <c r="E436" s="82" t="s">
        <v>846</v>
      </c>
    </row>
    <row r="437" customFormat="false" ht="15" hidden="true" customHeight="false" outlineLevel="0" collapsed="false">
      <c r="A437" s="0" t="s">
        <v>400</v>
      </c>
      <c r="B437" s="0" t="s">
        <v>398</v>
      </c>
      <c r="C437" s="0" t="s">
        <v>399</v>
      </c>
      <c r="D437" s="81" t="n">
        <v>45440.4166666667</v>
      </c>
      <c r="E437" s="82" t="s">
        <v>407</v>
      </c>
    </row>
    <row r="438" customFormat="false" ht="15" hidden="true" customHeight="false" outlineLevel="0" collapsed="false">
      <c r="A438" s="0" t="s">
        <v>8052</v>
      </c>
      <c r="B438" s="0" t="s">
        <v>8051</v>
      </c>
      <c r="C438" s="0" t="s">
        <v>117</v>
      </c>
      <c r="D438" s="81" t="n">
        <v>45440.5</v>
      </c>
    </row>
    <row r="439" customFormat="false" ht="15" hidden="true" customHeight="false" outlineLevel="0" collapsed="false">
      <c r="A439" s="0" t="s">
        <v>3488</v>
      </c>
      <c r="B439" s="0" t="s">
        <v>3487</v>
      </c>
      <c r="C439" s="0" t="s">
        <v>1584</v>
      </c>
      <c r="D439" s="81" t="n">
        <v>45440.5416666667</v>
      </c>
      <c r="E439" s="82" t="s">
        <v>3494</v>
      </c>
    </row>
    <row r="440" customFormat="false" ht="15" hidden="true" customHeight="false" outlineLevel="0" collapsed="false">
      <c r="A440" s="0" t="s">
        <v>1039</v>
      </c>
      <c r="B440" s="0" t="s">
        <v>1037</v>
      </c>
      <c r="C440" s="0" t="s">
        <v>1038</v>
      </c>
      <c r="D440" s="81" t="n">
        <v>45440.6041666667</v>
      </c>
      <c r="E440" s="82" t="s">
        <v>1045</v>
      </c>
    </row>
    <row r="441" customFormat="false" ht="15" hidden="true" customHeight="false" outlineLevel="0" collapsed="false">
      <c r="A441" s="0" t="s">
        <v>664</v>
      </c>
      <c r="B441" s="0" t="s">
        <v>662</v>
      </c>
      <c r="C441" s="0" t="s">
        <v>663</v>
      </c>
      <c r="D441" s="81" t="n">
        <v>45441.3958333333</v>
      </c>
    </row>
    <row r="442" customFormat="false" ht="15" hidden="true" customHeight="false" outlineLevel="0" collapsed="false">
      <c r="A442" s="0" t="s">
        <v>1058</v>
      </c>
      <c r="B442" s="0" t="s">
        <v>1056</v>
      </c>
      <c r="C442" s="0" t="s">
        <v>1057</v>
      </c>
      <c r="D442" s="81" t="n">
        <v>45441.4583333333</v>
      </c>
      <c r="E442" s="82" t="s">
        <v>1063</v>
      </c>
    </row>
    <row r="443" customFormat="false" ht="15" hidden="true" customHeight="false" outlineLevel="0" collapsed="false">
      <c r="A443" s="0" t="s">
        <v>4629</v>
      </c>
      <c r="B443" s="0" t="s">
        <v>4627</v>
      </c>
      <c r="C443" s="0" t="s">
        <v>4628</v>
      </c>
      <c r="D443" s="81" t="n">
        <v>45441.5416666667</v>
      </c>
      <c r="E443" s="82" t="s">
        <v>4634</v>
      </c>
    </row>
    <row r="444" customFormat="false" ht="15" hidden="true" customHeight="false" outlineLevel="0" collapsed="false">
      <c r="A444" s="0" t="s">
        <v>5367</v>
      </c>
      <c r="B444" s="0" t="s">
        <v>5366</v>
      </c>
      <c r="C444" s="0" t="s">
        <v>1409</v>
      </c>
      <c r="D444" s="81" t="n">
        <v>45441.6041666667</v>
      </c>
    </row>
    <row r="445" customFormat="false" ht="15" hidden="true" customHeight="false" outlineLevel="0" collapsed="false">
      <c r="A445" s="0" t="s">
        <v>5060</v>
      </c>
      <c r="B445" s="0" t="s">
        <v>5059</v>
      </c>
      <c r="C445" s="0" t="s">
        <v>195</v>
      </c>
      <c r="D445" s="81" t="n">
        <v>45442.3541666667</v>
      </c>
      <c r="E445" s="82" t="s">
        <v>5067</v>
      </c>
    </row>
    <row r="446" customFormat="false" ht="15" hidden="true" customHeight="false" outlineLevel="0" collapsed="false">
      <c r="A446" s="0" t="s">
        <v>7340</v>
      </c>
      <c r="B446" s="0" t="s">
        <v>7338</v>
      </c>
      <c r="C446" s="0" t="s">
        <v>7339</v>
      </c>
      <c r="D446" s="81" t="n">
        <v>45442.4166666667</v>
      </c>
      <c r="E446" s="82" t="s">
        <v>7345</v>
      </c>
    </row>
    <row r="447" customFormat="false" ht="15" hidden="true" customHeight="false" outlineLevel="0" collapsed="false">
      <c r="A447" s="0" t="s">
        <v>7651</v>
      </c>
      <c r="B447" s="0" t="s">
        <v>7650</v>
      </c>
      <c r="C447" s="0" t="s">
        <v>2987</v>
      </c>
      <c r="D447" s="81" t="n">
        <v>45442.5208333333</v>
      </c>
      <c r="E447" s="82" t="s">
        <v>7657</v>
      </c>
    </row>
    <row r="448" customFormat="false" ht="15" hidden="true" customHeight="false" outlineLevel="0" collapsed="false">
      <c r="A448" s="0" t="s">
        <v>8166</v>
      </c>
      <c r="B448" s="0" t="s">
        <v>8165</v>
      </c>
      <c r="C448" s="0" t="s">
        <v>652</v>
      </c>
      <c r="D448" s="81" t="n">
        <v>45442.5833333333</v>
      </c>
      <c r="E448" s="82" t="s">
        <v>8172</v>
      </c>
    </row>
    <row r="449" customFormat="false" ht="15" hidden="true" customHeight="false" outlineLevel="0" collapsed="false">
      <c r="A449" s="0" t="s">
        <v>5755</v>
      </c>
      <c r="B449" s="0" t="s">
        <v>5753</v>
      </c>
      <c r="C449" s="0" t="s">
        <v>5754</v>
      </c>
      <c r="D449" s="81" t="n">
        <v>45442.6458333333</v>
      </c>
      <c r="E449" s="82" t="s">
        <v>5760</v>
      </c>
    </row>
    <row r="450" customFormat="false" ht="15" hidden="true" customHeight="false" outlineLevel="0" collapsed="false">
      <c r="A450" s="0" t="s">
        <v>740</v>
      </c>
      <c r="B450" s="0" t="s">
        <v>738</v>
      </c>
      <c r="C450" s="0" t="s">
        <v>739</v>
      </c>
      <c r="D450" s="81" t="n">
        <v>45443.375</v>
      </c>
      <c r="E450" s="82" t="s">
        <v>748</v>
      </c>
    </row>
    <row r="451" customFormat="false" ht="15" hidden="true" customHeight="false" outlineLevel="0" collapsed="false">
      <c r="A451" s="0" t="s">
        <v>2410</v>
      </c>
      <c r="B451" s="0" t="s">
        <v>2409</v>
      </c>
      <c r="C451" s="0" t="s">
        <v>883</v>
      </c>
      <c r="D451" s="81" t="n">
        <v>45443.4166666667</v>
      </c>
      <c r="E451" s="82" t="s">
        <v>2415</v>
      </c>
    </row>
    <row r="452" customFormat="false" ht="15" hidden="true" customHeight="false" outlineLevel="0" collapsed="false">
      <c r="A452" s="0" t="s">
        <v>4648</v>
      </c>
      <c r="B452" s="0" t="s">
        <v>4647</v>
      </c>
      <c r="C452" s="0" t="s">
        <v>643</v>
      </c>
      <c r="D452" s="81" t="n">
        <v>45443.5</v>
      </c>
      <c r="E452" s="82" t="s">
        <v>4654</v>
      </c>
    </row>
    <row r="453" customFormat="false" ht="15" hidden="true" customHeight="false" outlineLevel="0" collapsed="false">
      <c r="A453" s="0" t="s">
        <v>2703</v>
      </c>
      <c r="B453" s="0" t="s">
        <v>2702</v>
      </c>
      <c r="C453" s="0" t="s">
        <v>332</v>
      </c>
      <c r="D453" s="81" t="n">
        <v>45443.6041666667</v>
      </c>
      <c r="E453" s="82" t="s">
        <v>2707</v>
      </c>
    </row>
    <row r="454" customFormat="false" ht="15" hidden="true" customHeight="false" outlineLevel="0" collapsed="false">
      <c r="A454" s="0" t="s">
        <v>6498</v>
      </c>
      <c r="B454" s="0" t="s">
        <v>6497</v>
      </c>
      <c r="C454" s="0" t="s">
        <v>4463</v>
      </c>
      <c r="D454" s="81" t="n">
        <v>45446.375</v>
      </c>
      <c r="E454" s="82" t="s">
        <v>6500</v>
      </c>
    </row>
    <row r="455" customFormat="false" ht="15" hidden="true" customHeight="false" outlineLevel="0" collapsed="false">
      <c r="A455" s="0" t="s">
        <v>2665</v>
      </c>
      <c r="B455" s="0" t="s">
        <v>2663</v>
      </c>
      <c r="C455" s="0" t="s">
        <v>2664</v>
      </c>
      <c r="D455" s="81" t="n">
        <v>45446.4583333333</v>
      </c>
      <c r="E455" s="82" t="s">
        <v>2669</v>
      </c>
    </row>
    <row r="456" customFormat="false" ht="15" hidden="true" customHeight="false" outlineLevel="0" collapsed="false">
      <c r="A456" s="0" t="s">
        <v>915</v>
      </c>
      <c r="B456" s="0" t="s">
        <v>914</v>
      </c>
      <c r="C456" s="0" t="s">
        <v>353</v>
      </c>
      <c r="D456" s="81" t="n">
        <v>45446.5416666667</v>
      </c>
      <c r="E456" s="82" t="s">
        <v>922</v>
      </c>
    </row>
    <row r="457" customFormat="false" ht="15" hidden="true" customHeight="false" outlineLevel="0" collapsed="false">
      <c r="A457" s="0" t="s">
        <v>2543</v>
      </c>
      <c r="B457" s="0" t="s">
        <v>2541</v>
      </c>
      <c r="C457" s="0" t="s">
        <v>2542</v>
      </c>
      <c r="D457" s="81" t="n">
        <v>45446.6041666667</v>
      </c>
      <c r="E457" s="82" t="s">
        <v>2548</v>
      </c>
    </row>
    <row r="458" customFormat="false" ht="15" hidden="true" customHeight="false" outlineLevel="0" collapsed="false">
      <c r="A458" s="0" t="s">
        <v>8759</v>
      </c>
      <c r="B458" s="0" t="s">
        <v>8757</v>
      </c>
      <c r="C458" s="0" t="s">
        <v>8758</v>
      </c>
      <c r="D458" s="81" t="n">
        <v>45446.6666666667</v>
      </c>
      <c r="E458" s="82" t="s">
        <v>8764</v>
      </c>
    </row>
    <row r="459" customFormat="false" ht="15" hidden="true" customHeight="false" outlineLevel="0" collapsed="false">
      <c r="A459" s="0" t="s">
        <v>10663</v>
      </c>
      <c r="B459" s="0" t="s">
        <v>10528</v>
      </c>
      <c r="C459" s="0" t="s">
        <v>1056</v>
      </c>
      <c r="D459" s="81" t="n">
        <v>45448.3541666667</v>
      </c>
      <c r="E459" s="82" t="s">
        <v>10667</v>
      </c>
    </row>
    <row r="460" customFormat="false" ht="15" hidden="true" customHeight="false" outlineLevel="0" collapsed="false">
      <c r="A460" s="0" t="s">
        <v>504</v>
      </c>
      <c r="B460" s="0" t="s">
        <v>502</v>
      </c>
      <c r="C460" s="0" t="s">
        <v>503</v>
      </c>
      <c r="D460" s="81" t="n">
        <v>45448.4166666667</v>
      </c>
      <c r="E460" s="82" t="s">
        <v>507</v>
      </c>
    </row>
    <row r="461" customFormat="false" ht="15" hidden="true" customHeight="false" outlineLevel="0" collapsed="false">
      <c r="A461" s="0" t="s">
        <v>456</v>
      </c>
      <c r="B461" s="0" t="s">
        <v>454</v>
      </c>
      <c r="C461" s="0" t="s">
        <v>455</v>
      </c>
      <c r="D461" s="81" t="n">
        <v>45448.5416666667</v>
      </c>
      <c r="E461" s="82" t="s">
        <v>462</v>
      </c>
    </row>
    <row r="462" customFormat="false" ht="15" hidden="true" customHeight="false" outlineLevel="0" collapsed="false">
      <c r="A462" s="0" t="s">
        <v>711</v>
      </c>
      <c r="B462" s="0" t="s">
        <v>709</v>
      </c>
      <c r="C462" s="0" t="s">
        <v>710</v>
      </c>
      <c r="D462" s="81" t="n">
        <v>45448.625</v>
      </c>
      <c r="E462" s="82" t="s">
        <v>718</v>
      </c>
    </row>
    <row r="463" customFormat="false" ht="15" hidden="true" customHeight="false" outlineLevel="0" collapsed="false">
      <c r="A463" s="0" t="s">
        <v>4297</v>
      </c>
      <c r="B463" s="0" t="s">
        <v>1134</v>
      </c>
      <c r="C463" s="0" t="s">
        <v>4112</v>
      </c>
      <c r="D463" s="81" t="n">
        <v>45450.3541666667</v>
      </c>
    </row>
    <row r="464" customFormat="false" ht="15" hidden="true" customHeight="false" outlineLevel="0" collapsed="false">
      <c r="A464" s="0" t="s">
        <v>10698</v>
      </c>
      <c r="B464" s="0" t="s">
        <v>10697</v>
      </c>
      <c r="C464" s="0" t="s">
        <v>1766</v>
      </c>
      <c r="D464" s="81" t="n">
        <v>45450.4166666667</v>
      </c>
      <c r="E464" s="82" t="s">
        <v>10702</v>
      </c>
    </row>
    <row r="465" customFormat="false" ht="15" hidden="true" customHeight="false" outlineLevel="0" collapsed="false">
      <c r="A465" s="0" t="s">
        <v>9386</v>
      </c>
      <c r="B465" s="0" t="s">
        <v>9384</v>
      </c>
      <c r="C465" s="0" t="s">
        <v>9385</v>
      </c>
      <c r="D465" s="81" t="n">
        <v>45450.5</v>
      </c>
      <c r="E465" s="82" t="s">
        <v>9388</v>
      </c>
    </row>
    <row r="466" customFormat="false" ht="15" hidden="true" customHeight="false" outlineLevel="0" collapsed="false">
      <c r="A466" s="0" t="s">
        <v>1315</v>
      </c>
      <c r="B466" s="0" t="s">
        <v>1314</v>
      </c>
      <c r="C466" s="0" t="s">
        <v>690</v>
      </c>
      <c r="D466" s="81" t="n">
        <v>45450.5833333333</v>
      </c>
    </row>
    <row r="467" customFormat="false" ht="15" hidden="true" customHeight="false" outlineLevel="0" collapsed="false">
      <c r="A467" s="0" t="s">
        <v>1838</v>
      </c>
      <c r="B467" s="0" t="s">
        <v>1836</v>
      </c>
      <c r="C467" s="0" t="s">
        <v>1837</v>
      </c>
      <c r="D467" s="81" t="n">
        <v>45450.6458333333</v>
      </c>
    </row>
    <row r="468" customFormat="false" ht="15" hidden="true" customHeight="false" outlineLevel="0" collapsed="false">
      <c r="A468" s="0" t="s">
        <v>952</v>
      </c>
      <c r="B468" s="0" t="s">
        <v>950</v>
      </c>
      <c r="C468" s="0" t="s">
        <v>951</v>
      </c>
      <c r="D468" s="81" t="n">
        <v>45460.4375</v>
      </c>
      <c r="E468" s="82" t="s">
        <v>956</v>
      </c>
    </row>
    <row r="469" customFormat="false" ht="15" hidden="true" customHeight="false" outlineLevel="0" collapsed="false">
      <c r="A469" s="0" t="s">
        <v>5942</v>
      </c>
      <c r="B469" s="0" t="s">
        <v>5941</v>
      </c>
      <c r="C469" s="0" t="s">
        <v>466</v>
      </c>
      <c r="D469" s="81" t="n">
        <v>45460.5208333333</v>
      </c>
      <c r="E469" s="82" t="s">
        <v>5944</v>
      </c>
    </row>
    <row r="470" customFormat="false" ht="15" hidden="true" customHeight="false" outlineLevel="0" collapsed="false">
      <c r="A470" s="0" t="s">
        <v>4223</v>
      </c>
      <c r="B470" s="0" t="s">
        <v>4222</v>
      </c>
      <c r="C470" s="0" t="s">
        <v>868</v>
      </c>
      <c r="D470" s="81" t="n">
        <v>45460.625</v>
      </c>
      <c r="E470" s="82" t="s">
        <v>4225</v>
      </c>
    </row>
    <row r="471" customFormat="false" ht="15" hidden="true" customHeight="false" outlineLevel="0" collapsed="false">
      <c r="A471" s="0" t="s">
        <v>2039</v>
      </c>
      <c r="B471" s="0" t="s">
        <v>2037</v>
      </c>
      <c r="C471" s="0" t="s">
        <v>2038</v>
      </c>
      <c r="D471" s="81" t="n">
        <v>45460.7083333333</v>
      </c>
      <c r="E471" s="82" t="s">
        <v>2041</v>
      </c>
    </row>
    <row r="472" customFormat="false" ht="15" hidden="true" customHeight="false" outlineLevel="0" collapsed="false">
      <c r="A472" s="0" t="s">
        <v>7300</v>
      </c>
      <c r="B472" s="0" t="s">
        <v>7299</v>
      </c>
      <c r="C472" s="0" t="s">
        <v>5010</v>
      </c>
      <c r="D472" s="81" t="n">
        <v>45460.7916666667</v>
      </c>
      <c r="E472" s="82" t="s">
        <v>7302</v>
      </c>
    </row>
    <row r="473" customFormat="false" ht="15" hidden="true" customHeight="false" outlineLevel="0" collapsed="false">
      <c r="A473" s="0" t="s">
        <v>2610</v>
      </c>
      <c r="B473" s="0" t="s">
        <v>2608</v>
      </c>
      <c r="C473" s="0" t="s">
        <v>2609</v>
      </c>
      <c r="D473" s="81" t="n">
        <v>45461.4375</v>
      </c>
    </row>
    <row r="474" customFormat="false" ht="15" hidden="true" customHeight="false" outlineLevel="0" collapsed="false">
      <c r="A474" s="0" t="s">
        <v>7676</v>
      </c>
      <c r="B474" s="0" t="s">
        <v>7675</v>
      </c>
      <c r="C474" s="0" t="s">
        <v>3524</v>
      </c>
      <c r="D474" s="81" t="n">
        <v>45461.5416666667</v>
      </c>
      <c r="E474" s="82" t="s">
        <v>7678</v>
      </c>
    </row>
    <row r="475" customFormat="false" ht="15" hidden="true" customHeight="false" outlineLevel="0" collapsed="false">
      <c r="A475" s="0" t="s">
        <v>7681</v>
      </c>
      <c r="B475" s="0" t="s">
        <v>7679</v>
      </c>
      <c r="C475" s="0" t="s">
        <v>7680</v>
      </c>
      <c r="D475" s="81" t="n">
        <v>45461.625</v>
      </c>
      <c r="E475" s="82" t="s">
        <v>7683</v>
      </c>
    </row>
    <row r="476" customFormat="false" ht="15" hidden="true" customHeight="false" outlineLevel="0" collapsed="false">
      <c r="A476" s="0" t="s">
        <v>5228</v>
      </c>
      <c r="B476" s="0" t="s">
        <v>5226</v>
      </c>
      <c r="C476" s="0" t="s">
        <v>5227</v>
      </c>
      <c r="D476" s="81" t="n">
        <v>45461.7083333333</v>
      </c>
    </row>
    <row r="477" customFormat="false" ht="15" hidden="true" customHeight="false" outlineLevel="0" collapsed="false">
      <c r="A477" s="0" t="s">
        <v>3328</v>
      </c>
      <c r="B477" s="0" t="s">
        <v>3326</v>
      </c>
      <c r="C477" s="0" t="s">
        <v>3327</v>
      </c>
      <c r="D477" s="81" t="n">
        <v>45461.7916666667</v>
      </c>
      <c r="E477" s="82" t="s">
        <v>3330</v>
      </c>
    </row>
    <row r="478" customFormat="false" ht="15" hidden="true" customHeight="false" outlineLevel="0" collapsed="false">
      <c r="A478" s="0" t="s">
        <v>902</v>
      </c>
      <c r="B478" s="0" t="s">
        <v>900</v>
      </c>
      <c r="C478" s="0" t="s">
        <v>901</v>
      </c>
      <c r="D478" s="81" t="n">
        <v>45462.4166666667</v>
      </c>
      <c r="E478" s="82" t="s">
        <v>908</v>
      </c>
    </row>
    <row r="479" customFormat="false" ht="15" hidden="true" customHeight="false" outlineLevel="0" collapsed="false">
      <c r="A479" s="0" t="s">
        <v>1115</v>
      </c>
      <c r="B479" s="0" t="s">
        <v>1113</v>
      </c>
      <c r="C479" s="0" t="s">
        <v>1114</v>
      </c>
      <c r="D479" s="81" t="n">
        <v>45462.5208333333</v>
      </c>
      <c r="E479" s="82" t="s">
        <v>1119</v>
      </c>
    </row>
    <row r="480" customFormat="false" ht="15" hidden="true" customHeight="false" outlineLevel="0" collapsed="false">
      <c r="A480" s="0" t="s">
        <v>1904</v>
      </c>
      <c r="B480" s="0" t="s">
        <v>1902</v>
      </c>
      <c r="C480" s="0" t="s">
        <v>1903</v>
      </c>
      <c r="D480" s="81" t="n">
        <v>45462.625</v>
      </c>
    </row>
    <row r="481" customFormat="false" ht="15" hidden="true" customHeight="false" outlineLevel="0" collapsed="false">
      <c r="A481" s="0" t="s">
        <v>677</v>
      </c>
      <c r="B481" s="0" t="s">
        <v>675</v>
      </c>
      <c r="C481" s="0" t="s">
        <v>676</v>
      </c>
      <c r="D481" s="81" t="n">
        <v>45462.7291666667</v>
      </c>
      <c r="E481" s="82" t="s">
        <v>683</v>
      </c>
    </row>
    <row r="482" customFormat="false" ht="15" hidden="true" customHeight="false" outlineLevel="0" collapsed="false">
      <c r="A482" s="0" t="s">
        <v>321</v>
      </c>
      <c r="B482" s="0" t="s">
        <v>319</v>
      </c>
      <c r="C482" s="0" t="s">
        <v>320</v>
      </c>
      <c r="D482" s="81" t="n">
        <v>45463.375</v>
      </c>
    </row>
    <row r="483" customFormat="false" ht="15" hidden="true" customHeight="false" outlineLevel="0" collapsed="false">
      <c r="A483" s="0" t="s">
        <v>184</v>
      </c>
      <c r="B483" s="0" t="s">
        <v>182</v>
      </c>
      <c r="C483" s="0" t="s">
        <v>183</v>
      </c>
      <c r="D483" s="81" t="n">
        <v>45463.4375</v>
      </c>
      <c r="E483" s="82" t="s">
        <v>190</v>
      </c>
    </row>
    <row r="484" customFormat="false" ht="15" hidden="true" customHeight="false" outlineLevel="0" collapsed="false">
      <c r="A484" s="0" t="s">
        <v>272</v>
      </c>
      <c r="B484" s="0" t="s">
        <v>271</v>
      </c>
      <c r="C484" s="0" t="s">
        <v>142</v>
      </c>
      <c r="D484" s="81" t="n">
        <v>45463.5208333333</v>
      </c>
      <c r="E484" s="82" t="s">
        <v>278</v>
      </c>
    </row>
    <row r="485" customFormat="false" ht="15" hidden="true" customHeight="false" outlineLevel="0" collapsed="false">
      <c r="A485" s="0" t="s">
        <v>305</v>
      </c>
      <c r="B485" s="0" t="s">
        <v>303</v>
      </c>
      <c r="C485" s="0" t="s">
        <v>304</v>
      </c>
      <c r="D485" s="81" t="n">
        <v>45463.6041666667</v>
      </c>
      <c r="E485" s="82" t="s">
        <v>309</v>
      </c>
    </row>
    <row r="486" customFormat="false" ht="15" hidden="true" customHeight="false" outlineLevel="0" collapsed="false">
      <c r="A486" s="0" t="s">
        <v>254</v>
      </c>
      <c r="B486" s="0" t="s">
        <v>252</v>
      </c>
      <c r="C486" s="0" t="s">
        <v>253</v>
      </c>
      <c r="D486" s="81" t="n">
        <v>45463.6666666667</v>
      </c>
      <c r="E486" s="82" t="s">
        <v>260</v>
      </c>
    </row>
    <row r="487" customFormat="false" ht="15" hidden="true" customHeight="false" outlineLevel="0" collapsed="false">
      <c r="A487" s="0" t="s">
        <v>625</v>
      </c>
      <c r="B487" s="0" t="s">
        <v>624</v>
      </c>
      <c r="C487" s="0" t="s">
        <v>376</v>
      </c>
      <c r="D487" s="81" t="n">
        <v>45463.7291666667</v>
      </c>
    </row>
    <row r="488" customFormat="false" ht="15" hidden="true" customHeight="false" outlineLevel="0" collapsed="false">
      <c r="A488" s="0" t="s">
        <v>412</v>
      </c>
      <c r="B488" s="0" t="s">
        <v>410</v>
      </c>
      <c r="C488" s="0" t="s">
        <v>411</v>
      </c>
      <c r="D488" s="81" t="n">
        <v>45464.4375</v>
      </c>
    </row>
    <row r="489" customFormat="false" ht="15" hidden="true" customHeight="false" outlineLevel="0" collapsed="false">
      <c r="A489" s="0" t="s">
        <v>445</v>
      </c>
      <c r="B489" s="0" t="s">
        <v>444</v>
      </c>
      <c r="C489" s="0" t="s">
        <v>170</v>
      </c>
      <c r="D489" s="81" t="n">
        <v>45464.5208333333</v>
      </c>
    </row>
    <row r="490" customFormat="false" ht="15" hidden="true" customHeight="false" outlineLevel="0" collapsed="false">
      <c r="A490" s="0" t="s">
        <v>479</v>
      </c>
      <c r="B490" s="0" t="s">
        <v>477</v>
      </c>
      <c r="C490" s="0" t="s">
        <v>478</v>
      </c>
      <c r="D490" s="81" t="n">
        <v>45464.5833333333</v>
      </c>
      <c r="E490" s="82" t="s">
        <v>485</v>
      </c>
    </row>
    <row r="491" customFormat="false" ht="15" hidden="true" customHeight="false" outlineLevel="0" collapsed="false">
      <c r="A491" s="0" t="s">
        <v>510</v>
      </c>
      <c r="B491" s="0" t="s">
        <v>509</v>
      </c>
      <c r="C491" s="0" t="s">
        <v>320</v>
      </c>
      <c r="D491" s="81" t="n">
        <v>45464.6875</v>
      </c>
      <c r="E491" s="82" t="s">
        <v>516</v>
      </c>
    </row>
    <row r="492" customFormat="false" ht="15" hidden="true" customHeight="false" outlineLevel="0" collapsed="false">
      <c r="A492" s="0" t="s">
        <v>529</v>
      </c>
      <c r="B492" s="0" t="s">
        <v>528</v>
      </c>
      <c r="C492" s="0" t="s">
        <v>195</v>
      </c>
      <c r="D492" s="81" t="n">
        <v>45464.7291666667</v>
      </c>
    </row>
  </sheetData>
  <autoFilter ref="A1:E492">
    <filterColumn colId="0">
      <filters>
        <filter val="HAZEN RICHAR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2024-03-07T02:36:33Z</dcterms:created>
  <dc:creator>openpyxl</dc:creator>
  <dc:description/>
  <dc:language>fr-FR</dc:language>
  <cp:lastModifiedBy/>
  <dcterms:modified xsi:type="dcterms:W3CDTF">2024-06-26T17:21:24Z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