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/for_development/dev_documentation/"/>
    </mc:Choice>
  </mc:AlternateContent>
  <xr:revisionPtr revIDLastSave="0" documentId="13_ncr:1_{CBCF6A83-8C74-4548-BC01-F69A26918516}" xr6:coauthVersionLast="47" xr6:coauthVersionMax="47" xr10:uidLastSave="{00000000-0000-0000-0000-000000000000}"/>
  <bookViews>
    <workbookView xWindow="7400" yWindow="500" windowWidth="31000" windowHeight="17440" xr2:uid="{D9106142-DCBD-4E45-A888-1E539F445614}"/>
  </bookViews>
  <sheets>
    <sheet name="WorkSheet" sheetId="1" r:id="rId1"/>
    <sheet name="Feuil1" sheetId="3" r:id="rId2"/>
    <sheet name="Feuil2" sheetId="4" r:id="rId3"/>
  </sheets>
  <definedNames>
    <definedName name="alpha">WorkSheet!$G$16</definedName>
    <definedName name="beta">WorkSheet!$G$29</definedName>
    <definedName name="betaRoot">WorkSheet!$G$29</definedName>
    <definedName name="Bgc_1">WorkSheet!$O$19</definedName>
    <definedName name="Bgc_2">WorkSheet!$O$20</definedName>
    <definedName name="Bgc_3">WorkSheet!$O$21</definedName>
    <definedName name="depth1">WorkSheet!$G$7</definedName>
    <definedName name="depth2">WorkSheet!$G$8</definedName>
    <definedName name="depth3">WorkSheet!$G$9</definedName>
    <definedName name="fRootToLeaf">WorkSheet!$G$27</definedName>
    <definedName name="I">WorkSheet!$G$18</definedName>
    <definedName name="kroot1">WorkSheet!$O$22</definedName>
    <definedName name="kroot2">WorkSheet!$O$23</definedName>
    <definedName name="kroot3">WorkSheet!$O$24</definedName>
    <definedName name="KRootTotal">WorkSheet!$G$26</definedName>
    <definedName name="Ksat">WorkSheet!$G$19</definedName>
    <definedName name="La">WorkSheet!$O$12</definedName>
    <definedName name="La_1">WorkSheet!$O$13</definedName>
    <definedName name="La_2">WorkSheet!$O$14</definedName>
    <definedName name="La_3">WorkSheet!$O$15</definedName>
    <definedName name="LAI">WorkSheet!$G$28</definedName>
    <definedName name="Lv_1">WorkSheet!$O$16</definedName>
    <definedName name="Lv_2">WorkSheet!$O$17</definedName>
    <definedName name="Lv_3">WorkSheet!$O$18</definedName>
    <definedName name="m">WorkSheet!$O$8</definedName>
    <definedName name="n">WorkSheet!$G$17</definedName>
    <definedName name="RAI">WorkSheet!$O$7</definedName>
    <definedName name="rc_vg">WorkSheet!$G$21</definedName>
    <definedName name="RFC_1">WorkSheet!$G$10</definedName>
    <definedName name="RFC_2">WorkSheet!$G$11</definedName>
    <definedName name="RFC_3">WorkSheet!$G$12</definedName>
    <definedName name="root_radius">WorkSheet!$G$25</definedName>
    <definedName name="rootP1">WorkSheet!$O$9</definedName>
    <definedName name="rootP2">WorkSheet!$O$10</definedName>
    <definedName name="rootP3">WorkSheet!$O$11</definedName>
    <definedName name="sc_vg">WorkSheet!$G$20</definedName>
    <definedName name="Value">WorkSheet!$G$16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1" l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" i="1"/>
  <c r="R67" i="1"/>
  <c r="AD67" i="1" s="1"/>
  <c r="O31" i="1"/>
  <c r="O8" i="1"/>
  <c r="R54" i="1"/>
  <c r="AD54" i="1" s="1"/>
  <c r="R55" i="1"/>
  <c r="AD55" i="1" s="1"/>
  <c r="R56" i="1"/>
  <c r="AD56" i="1" s="1"/>
  <c r="R57" i="1"/>
  <c r="AD57" i="1" s="1"/>
  <c r="R58" i="1"/>
  <c r="AD58" i="1" s="1"/>
  <c r="R59" i="1"/>
  <c r="AD59" i="1" s="1"/>
  <c r="R60" i="1"/>
  <c r="AD60" i="1" s="1"/>
  <c r="R61" i="1"/>
  <c r="AD61" i="1" s="1"/>
  <c r="R62" i="1"/>
  <c r="AD62" i="1" s="1"/>
  <c r="R63" i="1"/>
  <c r="AD63" i="1" s="1"/>
  <c r="R64" i="1"/>
  <c r="AD64" i="1" s="1"/>
  <c r="R65" i="1"/>
  <c r="AD65" i="1" s="1"/>
  <c r="R66" i="1"/>
  <c r="AD66" i="1" s="1"/>
  <c r="R43" i="1"/>
  <c r="AD43" i="1" s="1"/>
  <c r="R44" i="1"/>
  <c r="AD44" i="1" s="1"/>
  <c r="R45" i="1"/>
  <c r="AD45" i="1" s="1"/>
  <c r="R46" i="1"/>
  <c r="AD46" i="1" s="1"/>
  <c r="R47" i="1"/>
  <c r="AD47" i="1" s="1"/>
  <c r="R48" i="1"/>
  <c r="AD48" i="1" s="1"/>
  <c r="R49" i="1"/>
  <c r="AD49" i="1" s="1"/>
  <c r="R50" i="1"/>
  <c r="AD50" i="1" s="1"/>
  <c r="R51" i="1"/>
  <c r="AD51" i="1" s="1"/>
  <c r="R52" i="1"/>
  <c r="AD52" i="1" s="1"/>
  <c r="R53" i="1"/>
  <c r="AD53" i="1" s="1"/>
  <c r="R25" i="1"/>
  <c r="AD25" i="1" s="1"/>
  <c r="R26" i="1"/>
  <c r="AD26" i="1" s="1"/>
  <c r="AE26" i="1" s="1"/>
  <c r="R27" i="1"/>
  <c r="AD27" i="1" s="1"/>
  <c r="AE27" i="1" s="1"/>
  <c r="R28" i="1"/>
  <c r="AD28" i="1" s="1"/>
  <c r="R29" i="1"/>
  <c r="AD29" i="1" s="1"/>
  <c r="R30" i="1"/>
  <c r="AD30" i="1" s="1"/>
  <c r="R31" i="1"/>
  <c r="AD31" i="1" s="1"/>
  <c r="R32" i="1"/>
  <c r="AD32" i="1" s="1"/>
  <c r="R33" i="1"/>
  <c r="AD33" i="1" s="1"/>
  <c r="AE33" i="1" s="1"/>
  <c r="R34" i="1"/>
  <c r="AD34" i="1" s="1"/>
  <c r="AE34" i="1" s="1"/>
  <c r="R35" i="1"/>
  <c r="AD35" i="1" s="1"/>
  <c r="AE35" i="1" s="1"/>
  <c r="R36" i="1"/>
  <c r="AD36" i="1" s="1"/>
  <c r="R37" i="1"/>
  <c r="AD37" i="1" s="1"/>
  <c r="R38" i="1"/>
  <c r="AD38" i="1" s="1"/>
  <c r="R39" i="1"/>
  <c r="AD39" i="1" s="1"/>
  <c r="R40" i="1"/>
  <c r="AD40" i="1" s="1"/>
  <c r="R41" i="1"/>
  <c r="AD41" i="1" s="1"/>
  <c r="R42" i="1"/>
  <c r="AD42" i="1" s="1"/>
  <c r="R9" i="1"/>
  <c r="AD9" i="1" s="1"/>
  <c r="R10" i="1"/>
  <c r="AD10" i="1" s="1"/>
  <c r="R11" i="1"/>
  <c r="AD11" i="1" s="1"/>
  <c r="R12" i="1"/>
  <c r="AD12" i="1" s="1"/>
  <c r="R13" i="1"/>
  <c r="AD13" i="1" s="1"/>
  <c r="R14" i="1"/>
  <c r="AD14" i="1" s="1"/>
  <c r="R15" i="1"/>
  <c r="AD15" i="1" s="1"/>
  <c r="R16" i="1"/>
  <c r="AD16" i="1" s="1"/>
  <c r="R17" i="1"/>
  <c r="AD17" i="1" s="1"/>
  <c r="AE17" i="1" s="1"/>
  <c r="R18" i="1"/>
  <c r="AD18" i="1" s="1"/>
  <c r="R19" i="1"/>
  <c r="AD19" i="1" s="1"/>
  <c r="R20" i="1"/>
  <c r="AD20" i="1" s="1"/>
  <c r="R21" i="1"/>
  <c r="AD21" i="1" s="1"/>
  <c r="R22" i="1"/>
  <c r="AD22" i="1" s="1"/>
  <c r="R23" i="1"/>
  <c r="AD23" i="1" s="1"/>
  <c r="R24" i="1"/>
  <c r="AD24" i="1" s="1"/>
  <c r="R8" i="1"/>
  <c r="AD8" i="1" s="1"/>
  <c r="O9" i="1"/>
  <c r="O7" i="1"/>
  <c r="O12" i="1" s="1"/>
  <c r="AE36" i="1" l="1"/>
  <c r="AE12" i="1"/>
  <c r="AE42" i="1"/>
  <c r="AE20" i="1"/>
  <c r="AE19" i="1"/>
  <c r="AE9" i="1"/>
  <c r="AE11" i="1"/>
  <c r="AE28" i="1"/>
  <c r="AE41" i="1"/>
  <c r="AE25" i="1"/>
  <c r="AE14" i="1"/>
  <c r="AE32" i="1"/>
  <c r="AE45" i="1"/>
  <c r="AE13" i="1"/>
  <c r="AE30" i="1"/>
  <c r="AE43" i="1"/>
  <c r="AE67" i="1"/>
  <c r="AE37" i="1"/>
  <c r="AE29" i="1"/>
  <c r="AE50" i="1"/>
  <c r="AE66" i="1"/>
  <c r="AE58" i="1"/>
  <c r="AE31" i="1"/>
  <c r="AE60" i="1"/>
  <c r="AE38" i="1"/>
  <c r="AE22" i="1"/>
  <c r="AE21" i="1"/>
  <c r="AE52" i="1"/>
  <c r="AE51" i="1"/>
  <c r="AE59" i="1"/>
  <c r="AE18" i="1"/>
  <c r="AE10" i="1"/>
  <c r="AE49" i="1"/>
  <c r="AE65" i="1"/>
  <c r="AE57" i="1"/>
  <c r="AE8" i="1"/>
  <c r="AE48" i="1"/>
  <c r="AE64" i="1"/>
  <c r="AE56" i="1"/>
  <c r="AE40" i="1"/>
  <c r="AE53" i="1"/>
  <c r="AE61" i="1"/>
  <c r="AE39" i="1"/>
  <c r="AE44" i="1"/>
  <c r="AE24" i="1"/>
  <c r="AE16" i="1"/>
  <c r="AE47" i="1"/>
  <c r="AE63" i="1"/>
  <c r="AE55" i="1"/>
  <c r="AE23" i="1"/>
  <c r="AE15" i="1"/>
  <c r="AE46" i="1"/>
  <c r="AE62" i="1"/>
  <c r="AE54" i="1"/>
  <c r="O10" i="1"/>
  <c r="O23" i="1" s="1"/>
  <c r="O22" i="1"/>
  <c r="O13" i="1"/>
  <c r="V11" i="1" l="1"/>
  <c r="V19" i="1"/>
  <c r="V27" i="1"/>
  <c r="V35" i="1"/>
  <c r="V43" i="1"/>
  <c r="V51" i="1"/>
  <c r="V59" i="1"/>
  <c r="V67" i="1"/>
  <c r="V53" i="1"/>
  <c r="V32" i="1"/>
  <c r="V48" i="1"/>
  <c r="V14" i="1"/>
  <c r="V22" i="1"/>
  <c r="V30" i="1"/>
  <c r="V38" i="1"/>
  <c r="V46" i="1"/>
  <c r="V54" i="1"/>
  <c r="V62" i="1"/>
  <c r="V29" i="1"/>
  <c r="V40" i="1"/>
  <c r="V9" i="1"/>
  <c r="V17" i="1"/>
  <c r="V25" i="1"/>
  <c r="V33" i="1"/>
  <c r="V41" i="1"/>
  <c r="V49" i="1"/>
  <c r="V57" i="1"/>
  <c r="V65" i="1"/>
  <c r="V37" i="1"/>
  <c r="V24" i="1"/>
  <c r="V56" i="1"/>
  <c r="V12" i="1"/>
  <c r="V20" i="1"/>
  <c r="V28" i="1"/>
  <c r="V36" i="1"/>
  <c r="V44" i="1"/>
  <c r="V52" i="1"/>
  <c r="V60" i="1"/>
  <c r="V15" i="1"/>
  <c r="V23" i="1"/>
  <c r="V31" i="1"/>
  <c r="V39" i="1"/>
  <c r="V47" i="1"/>
  <c r="V55" i="1"/>
  <c r="V63" i="1"/>
  <c r="V13" i="1"/>
  <c r="V45" i="1"/>
  <c r="V61" i="1"/>
  <c r="V16" i="1"/>
  <c r="V64" i="1"/>
  <c r="V10" i="1"/>
  <c r="V18" i="1"/>
  <c r="V26" i="1"/>
  <c r="V34" i="1"/>
  <c r="V42" i="1"/>
  <c r="V50" i="1"/>
  <c r="V58" i="1"/>
  <c r="V66" i="1"/>
  <c r="V8" i="1"/>
  <c r="V21" i="1"/>
  <c r="W16" i="1"/>
  <c r="W24" i="1"/>
  <c r="W32" i="1"/>
  <c r="W40" i="1"/>
  <c r="W48" i="1"/>
  <c r="W56" i="1"/>
  <c r="W64" i="1"/>
  <c r="W26" i="1"/>
  <c r="W61" i="1"/>
  <c r="W11" i="1"/>
  <c r="W19" i="1"/>
  <c r="W27" i="1"/>
  <c r="W35" i="1"/>
  <c r="W43" i="1"/>
  <c r="W51" i="1"/>
  <c r="W59" i="1"/>
  <c r="W67" i="1"/>
  <c r="W58" i="1"/>
  <c r="W29" i="1"/>
  <c r="W53" i="1"/>
  <c r="W14" i="1"/>
  <c r="W22" i="1"/>
  <c r="W30" i="1"/>
  <c r="W38" i="1"/>
  <c r="W46" i="1"/>
  <c r="W54" i="1"/>
  <c r="W62" i="1"/>
  <c r="W10" i="1"/>
  <c r="W66" i="1"/>
  <c r="W9" i="1"/>
  <c r="W17" i="1"/>
  <c r="W25" i="1"/>
  <c r="W33" i="1"/>
  <c r="W41" i="1"/>
  <c r="W49" i="1"/>
  <c r="W57" i="1"/>
  <c r="W65" i="1"/>
  <c r="W18" i="1"/>
  <c r="W21" i="1"/>
  <c r="W45" i="1"/>
  <c r="W12" i="1"/>
  <c r="W20" i="1"/>
  <c r="W28" i="1"/>
  <c r="W36" i="1"/>
  <c r="W44" i="1"/>
  <c r="W52" i="1"/>
  <c r="W60" i="1"/>
  <c r="W8" i="1"/>
  <c r="W34" i="1"/>
  <c r="W15" i="1"/>
  <c r="W23" i="1"/>
  <c r="W31" i="1"/>
  <c r="W39" i="1"/>
  <c r="W47" i="1"/>
  <c r="W55" i="1"/>
  <c r="W63" i="1"/>
  <c r="W42" i="1"/>
  <c r="W50" i="1"/>
  <c r="W13" i="1"/>
  <c r="W37" i="1"/>
  <c r="O16" i="1"/>
  <c r="O19" i="1" s="1"/>
  <c r="O11" i="1"/>
  <c r="O14" i="1"/>
  <c r="S64" i="1" l="1"/>
  <c r="Y64" i="1" s="1"/>
  <c r="S52" i="1"/>
  <c r="Y52" i="1" s="1"/>
  <c r="S60" i="1"/>
  <c r="Y60" i="1" s="1"/>
  <c r="S34" i="1"/>
  <c r="Y34" i="1" s="1"/>
  <c r="S42" i="1"/>
  <c r="Y42" i="1" s="1"/>
  <c r="S16" i="1"/>
  <c r="Y16" i="1" s="1"/>
  <c r="S24" i="1"/>
  <c r="Y24" i="1" s="1"/>
  <c r="S11" i="1"/>
  <c r="Y11" i="1" s="1"/>
  <c r="S67" i="1"/>
  <c r="Y67" i="1" s="1"/>
  <c r="S37" i="1"/>
  <c r="Y37" i="1" s="1"/>
  <c r="S56" i="1"/>
  <c r="Y56" i="1" s="1"/>
  <c r="S20" i="1"/>
  <c r="Y20" i="1" s="1"/>
  <c r="S29" i="1"/>
  <c r="Y29" i="1" s="1"/>
  <c r="S32" i="1"/>
  <c r="Y32" i="1" s="1"/>
  <c r="S59" i="1"/>
  <c r="Y59" i="1" s="1"/>
  <c r="S23" i="1"/>
  <c r="Y23" i="1" s="1"/>
  <c r="S65" i="1"/>
  <c r="Y65" i="1" s="1"/>
  <c r="S53" i="1"/>
  <c r="Y53" i="1" s="1"/>
  <c r="S61" i="1"/>
  <c r="Y61" i="1" s="1"/>
  <c r="S35" i="1"/>
  <c r="Y35" i="1" s="1"/>
  <c r="S43" i="1"/>
  <c r="Y43" i="1" s="1"/>
  <c r="S17" i="1"/>
  <c r="Y17" i="1" s="1"/>
  <c r="S25" i="1"/>
  <c r="Y25" i="1" s="1"/>
  <c r="S12" i="1"/>
  <c r="Y12" i="1" s="1"/>
  <c r="S63" i="1"/>
  <c r="Y63" i="1" s="1"/>
  <c r="S19" i="1"/>
  <c r="Y19" i="1" s="1"/>
  <c r="S8" i="1"/>
  <c r="Y8" i="1" s="1"/>
  <c r="S30" i="1"/>
  <c r="Y30" i="1" s="1"/>
  <c r="S46" i="1"/>
  <c r="Y46" i="1" s="1"/>
  <c r="S57" i="1"/>
  <c r="Y57" i="1" s="1"/>
  <c r="S39" i="1"/>
  <c r="Y39" i="1" s="1"/>
  <c r="S21" i="1"/>
  <c r="Y21" i="1" s="1"/>
  <c r="S58" i="1"/>
  <c r="Y58" i="1" s="1"/>
  <c r="S14" i="1"/>
  <c r="Y14" i="1" s="1"/>
  <c r="S66" i="1"/>
  <c r="Y66" i="1" s="1"/>
  <c r="S54" i="1"/>
  <c r="Y54" i="1" s="1"/>
  <c r="S62" i="1"/>
  <c r="Y62" i="1" s="1"/>
  <c r="S36" i="1"/>
  <c r="Y36" i="1" s="1"/>
  <c r="S44" i="1"/>
  <c r="Y44" i="1" s="1"/>
  <c r="S18" i="1"/>
  <c r="Y18" i="1" s="1"/>
  <c r="S26" i="1"/>
  <c r="Y26" i="1" s="1"/>
  <c r="S13" i="1"/>
  <c r="Y13" i="1" s="1"/>
  <c r="S55" i="1"/>
  <c r="Y55" i="1" s="1"/>
  <c r="S45" i="1"/>
  <c r="Y45" i="1" s="1"/>
  <c r="S27" i="1"/>
  <c r="Y27" i="1" s="1"/>
  <c r="S48" i="1"/>
  <c r="Y48" i="1" s="1"/>
  <c r="S38" i="1"/>
  <c r="Y38" i="1" s="1"/>
  <c r="S28" i="1"/>
  <c r="Y28" i="1" s="1"/>
  <c r="S49" i="1"/>
  <c r="Y49" i="1" s="1"/>
  <c r="S31" i="1"/>
  <c r="Y31" i="1" s="1"/>
  <c r="S47" i="1"/>
  <c r="Y47" i="1" s="1"/>
  <c r="S50" i="1"/>
  <c r="Y50" i="1" s="1"/>
  <c r="S40" i="1"/>
  <c r="Y40" i="1" s="1"/>
  <c r="S33" i="1"/>
  <c r="Y33" i="1" s="1"/>
  <c r="S10" i="1"/>
  <c r="Y10" i="1" s="1"/>
  <c r="S9" i="1"/>
  <c r="Y9" i="1" s="1"/>
  <c r="S51" i="1"/>
  <c r="Y51" i="1" s="1"/>
  <c r="S15" i="1"/>
  <c r="Y15" i="1" s="1"/>
  <c r="S22" i="1"/>
  <c r="Y22" i="1" s="1"/>
  <c r="S41" i="1"/>
  <c r="Y41" i="1" s="1"/>
  <c r="O24" i="1"/>
  <c r="O15" i="1"/>
  <c r="O17" i="1"/>
  <c r="O20" i="1" s="1"/>
  <c r="T16" i="1" s="1"/>
  <c r="X13" i="1" l="1"/>
  <c r="X21" i="1"/>
  <c r="X29" i="1"/>
  <c r="X37" i="1"/>
  <c r="X45" i="1"/>
  <c r="X53" i="1"/>
  <c r="X61" i="1"/>
  <c r="X18" i="1"/>
  <c r="X16" i="1"/>
  <c r="X24" i="1"/>
  <c r="X32" i="1"/>
  <c r="X40" i="1"/>
  <c r="X48" i="1"/>
  <c r="X56" i="1"/>
  <c r="X64" i="1"/>
  <c r="X10" i="1"/>
  <c r="X66" i="1"/>
  <c r="X11" i="1"/>
  <c r="X19" i="1"/>
  <c r="X27" i="1"/>
  <c r="X35" i="1"/>
  <c r="X43" i="1"/>
  <c r="X51" i="1"/>
  <c r="X59" i="1"/>
  <c r="X67" i="1"/>
  <c r="X47" i="1"/>
  <c r="X14" i="1"/>
  <c r="X22" i="1"/>
  <c r="X30" i="1"/>
  <c r="X38" i="1"/>
  <c r="X46" i="1"/>
  <c r="X54" i="1"/>
  <c r="X62" i="1"/>
  <c r="X8" i="1"/>
  <c r="X39" i="1"/>
  <c r="X55" i="1"/>
  <c r="X34" i="1"/>
  <c r="X58" i="1"/>
  <c r="X9" i="1"/>
  <c r="X17" i="1"/>
  <c r="X25" i="1"/>
  <c r="X33" i="1"/>
  <c r="X41" i="1"/>
  <c r="X49" i="1"/>
  <c r="X57" i="1"/>
  <c r="X65" i="1"/>
  <c r="X42" i="1"/>
  <c r="X12" i="1"/>
  <c r="X20" i="1"/>
  <c r="X28" i="1"/>
  <c r="X36" i="1"/>
  <c r="X44" i="1"/>
  <c r="X52" i="1"/>
  <c r="X60" i="1"/>
  <c r="X15" i="1"/>
  <c r="X23" i="1"/>
  <c r="X31" i="1"/>
  <c r="X63" i="1"/>
  <c r="X26" i="1"/>
  <c r="X50" i="1"/>
  <c r="T9" i="1"/>
  <c r="Z9" i="1" s="1"/>
  <c r="T17" i="1"/>
  <c r="Z17" i="1" s="1"/>
  <c r="T25" i="1"/>
  <c r="Z25" i="1" s="1"/>
  <c r="T33" i="1"/>
  <c r="Z33" i="1" s="1"/>
  <c r="T41" i="1"/>
  <c r="Z41" i="1" s="1"/>
  <c r="T49" i="1"/>
  <c r="Z49" i="1" s="1"/>
  <c r="T57" i="1"/>
  <c r="Z57" i="1" s="1"/>
  <c r="T65" i="1"/>
  <c r="Z65" i="1" s="1"/>
  <c r="T36" i="1"/>
  <c r="Z36" i="1" s="1"/>
  <c r="T29" i="1"/>
  <c r="Z29" i="1" s="1"/>
  <c r="T31" i="1"/>
  <c r="Z31" i="1" s="1"/>
  <c r="T24" i="1"/>
  <c r="Z24" i="1" s="1"/>
  <c r="T10" i="1"/>
  <c r="Z10" i="1" s="1"/>
  <c r="T18" i="1"/>
  <c r="Z18" i="1" s="1"/>
  <c r="T26" i="1"/>
  <c r="Z26" i="1" s="1"/>
  <c r="T34" i="1"/>
  <c r="Z34" i="1" s="1"/>
  <c r="T42" i="1"/>
  <c r="Z42" i="1" s="1"/>
  <c r="T50" i="1"/>
  <c r="Z50" i="1" s="1"/>
  <c r="T58" i="1"/>
  <c r="Z58" i="1" s="1"/>
  <c r="T66" i="1"/>
  <c r="Z66" i="1" s="1"/>
  <c r="T28" i="1"/>
  <c r="Z28" i="1" s="1"/>
  <c r="T44" i="1"/>
  <c r="Z44" i="1" s="1"/>
  <c r="T60" i="1"/>
  <c r="Z60" i="1" s="1"/>
  <c r="T37" i="1"/>
  <c r="Z37" i="1" s="1"/>
  <c r="T45" i="1"/>
  <c r="Z45" i="1" s="1"/>
  <c r="T61" i="1"/>
  <c r="Z61" i="1" s="1"/>
  <c r="T14" i="1"/>
  <c r="Z14" i="1" s="1"/>
  <c r="T38" i="1"/>
  <c r="Z38" i="1" s="1"/>
  <c r="T54" i="1"/>
  <c r="Z54" i="1" s="1"/>
  <c r="T23" i="1"/>
  <c r="Z23" i="1" s="1"/>
  <c r="T47" i="1"/>
  <c r="Z47" i="1" s="1"/>
  <c r="T11" i="1"/>
  <c r="Z11" i="1" s="1"/>
  <c r="T19" i="1"/>
  <c r="Z19" i="1" s="1"/>
  <c r="T27" i="1"/>
  <c r="Z27" i="1" s="1"/>
  <c r="T35" i="1"/>
  <c r="Z35" i="1" s="1"/>
  <c r="T43" i="1"/>
  <c r="Z43" i="1" s="1"/>
  <c r="T51" i="1"/>
  <c r="Z51" i="1" s="1"/>
  <c r="T59" i="1"/>
  <c r="Z59" i="1" s="1"/>
  <c r="T67" i="1"/>
  <c r="Z67" i="1" s="1"/>
  <c r="T20" i="1"/>
  <c r="Z20" i="1" s="1"/>
  <c r="T52" i="1"/>
  <c r="Z52" i="1" s="1"/>
  <c r="T8" i="1"/>
  <c r="Z8" i="1" s="1"/>
  <c r="T21" i="1"/>
  <c r="Z21" i="1" s="1"/>
  <c r="T53" i="1"/>
  <c r="Z53" i="1" s="1"/>
  <c r="T22" i="1"/>
  <c r="Z22" i="1" s="1"/>
  <c r="T30" i="1"/>
  <c r="Z30" i="1" s="1"/>
  <c r="T46" i="1"/>
  <c r="Z46" i="1" s="1"/>
  <c r="T62" i="1"/>
  <c r="Z62" i="1" s="1"/>
  <c r="T15" i="1"/>
  <c r="Z15" i="1" s="1"/>
  <c r="T39" i="1"/>
  <c r="Z39" i="1" s="1"/>
  <c r="T63" i="1"/>
  <c r="Z63" i="1" s="1"/>
  <c r="Z16" i="1"/>
  <c r="T32" i="1"/>
  <c r="Z32" i="1" s="1"/>
  <c r="T56" i="1"/>
  <c r="Z56" i="1" s="1"/>
  <c r="T64" i="1"/>
  <c r="Z64" i="1" s="1"/>
  <c r="T12" i="1"/>
  <c r="Z12" i="1" s="1"/>
  <c r="T48" i="1"/>
  <c r="Z48" i="1" s="1"/>
  <c r="T13" i="1"/>
  <c r="Z13" i="1" s="1"/>
  <c r="T55" i="1"/>
  <c r="Z55" i="1" s="1"/>
  <c r="T40" i="1"/>
  <c r="Z40" i="1" s="1"/>
  <c r="O18" i="1"/>
  <c r="O21" i="1" s="1"/>
  <c r="U29" i="1" l="1"/>
  <c r="AA29" i="1" s="1"/>
  <c r="U52" i="1"/>
  <c r="AA52" i="1" s="1"/>
  <c r="U60" i="1"/>
  <c r="AA60" i="1" s="1"/>
  <c r="U8" i="1"/>
  <c r="AA8" i="1" s="1"/>
  <c r="U54" i="1"/>
  <c r="AA54" i="1" s="1"/>
  <c r="U39" i="1"/>
  <c r="AA39" i="1" s="1"/>
  <c r="U46" i="1"/>
  <c r="AA46" i="1" s="1"/>
  <c r="U35" i="1"/>
  <c r="AA35" i="1" s="1"/>
  <c r="U37" i="1"/>
  <c r="AA37" i="1" s="1"/>
  <c r="U33" i="1"/>
  <c r="AA33" i="1" s="1"/>
  <c r="U58" i="1"/>
  <c r="AA58" i="1" s="1"/>
  <c r="U27" i="1"/>
  <c r="AA27" i="1" s="1"/>
  <c r="U31" i="1"/>
  <c r="AA31" i="1" s="1"/>
  <c r="U40" i="1"/>
  <c r="AA40" i="1" s="1"/>
  <c r="U24" i="1"/>
  <c r="AA24" i="1" s="1"/>
  <c r="U50" i="1"/>
  <c r="AA50" i="1" s="1"/>
  <c r="U53" i="1"/>
  <c r="AA53" i="1" s="1"/>
  <c r="U9" i="1"/>
  <c r="AA9" i="1" s="1"/>
  <c r="U17" i="1"/>
  <c r="AA17" i="1" s="1"/>
  <c r="U22" i="1"/>
  <c r="AA22" i="1" s="1"/>
  <c r="U65" i="1"/>
  <c r="AA65" i="1" s="1"/>
  <c r="U34" i="1"/>
  <c r="AA34" i="1" s="1"/>
  <c r="U19" i="1"/>
  <c r="AA19" i="1" s="1"/>
  <c r="U15" i="1"/>
  <c r="AA15" i="1" s="1"/>
  <c r="U48" i="1"/>
  <c r="AA48" i="1" s="1"/>
  <c r="U47" i="1"/>
  <c r="AA47" i="1" s="1"/>
  <c r="U18" i="1"/>
  <c r="AA18" i="1" s="1"/>
  <c r="U63" i="1"/>
  <c r="AA63" i="1" s="1"/>
  <c r="U38" i="1"/>
  <c r="AA38" i="1" s="1"/>
  <c r="U36" i="1"/>
  <c r="AA36" i="1" s="1"/>
  <c r="U28" i="1"/>
  <c r="AA28" i="1" s="1"/>
  <c r="U51" i="1"/>
  <c r="AA51" i="1" s="1"/>
  <c r="U62" i="1"/>
  <c r="AA62" i="1" s="1"/>
  <c r="U11" i="1"/>
  <c r="AA11" i="1" s="1"/>
  <c r="U42" i="1"/>
  <c r="AA42" i="1" s="1"/>
  <c r="U16" i="1"/>
  <c r="AA16" i="1" s="1"/>
  <c r="U44" i="1"/>
  <c r="AA44" i="1" s="1"/>
  <c r="U20" i="1"/>
  <c r="AA20" i="1" s="1"/>
  <c r="U67" i="1"/>
  <c r="AA67" i="1" s="1"/>
  <c r="U64" i="1"/>
  <c r="AA64" i="1" s="1"/>
  <c r="U56" i="1"/>
  <c r="AA56" i="1" s="1"/>
  <c r="U61" i="1"/>
  <c r="AA61" i="1" s="1"/>
  <c r="U12" i="1"/>
  <c r="AA12" i="1" s="1"/>
  <c r="U41" i="1"/>
  <c r="AA41" i="1" s="1"/>
  <c r="U59" i="1"/>
  <c r="AA59" i="1" s="1"/>
  <c r="U10" i="1"/>
  <c r="AA10" i="1" s="1"/>
  <c r="U25" i="1"/>
  <c r="AA25" i="1" s="1"/>
  <c r="U57" i="1"/>
  <c r="AA57" i="1" s="1"/>
  <c r="U32" i="1"/>
  <c r="AA32" i="1" s="1"/>
  <c r="U21" i="1"/>
  <c r="AA21" i="1" s="1"/>
  <c r="U49" i="1"/>
  <c r="AA49" i="1" s="1"/>
  <c r="U13" i="1"/>
  <c r="AA13" i="1" s="1"/>
  <c r="U23" i="1"/>
  <c r="AA23" i="1" s="1"/>
  <c r="U55" i="1"/>
  <c r="AA55" i="1" s="1"/>
  <c r="U14" i="1"/>
  <c r="AA14" i="1" s="1"/>
  <c r="U30" i="1"/>
  <c r="AA30" i="1" s="1"/>
  <c r="U26" i="1"/>
  <c r="AA26" i="1" s="1"/>
  <c r="U43" i="1"/>
  <c r="AA43" i="1" s="1"/>
  <c r="U45" i="1"/>
  <c r="AA45" i="1" s="1"/>
  <c r="U66" i="1"/>
  <c r="AA66" i="1" s="1"/>
</calcChain>
</file>

<file path=xl/sharedStrings.xml><?xml version="1.0" encoding="utf-8"?>
<sst xmlns="http://schemas.openxmlformats.org/spreadsheetml/2006/main" count="260" uniqueCount="172">
  <si>
    <t>LAI</t>
  </si>
  <si>
    <t>m</t>
  </si>
  <si>
    <t>%</t>
  </si>
  <si>
    <t>-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</si>
  <si>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</si>
  <si>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</si>
  <si>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</si>
  <si>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</si>
  <si>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</si>
  <si>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</si>
  <si>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</si>
  <si>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</si>
  <si>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</si>
  <si>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</si>
  <si>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</si>
  <si>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Value</t>
  </si>
  <si>
    <t>soil water content at saturation</t>
  </si>
  <si>
    <t>residual soil water content</t>
  </si>
  <si>
    <t>rooot radius</t>
  </si>
  <si>
    <t>La</t>
  </si>
  <si>
    <t>leaf area index</t>
  </si>
  <si>
    <t>Reference</t>
  </si>
  <si>
    <t>Equation</t>
  </si>
  <si>
    <t>m_vg</t>
  </si>
  <si>
    <t>REW</t>
  </si>
  <si>
    <t>ksoil1</t>
  </si>
  <si>
    <t>cm3.cm-3</t>
  </si>
  <si>
    <t>Julien Ruffault (julien.ruff@gmail.com) &amp; Nicolas Martin StPaul  (nicolas.martin@inrae.fr)</t>
  </si>
  <si>
    <t xml:space="preserve">Soil properties </t>
  </si>
  <si>
    <t>Units</t>
  </si>
  <si>
    <t>Typical Range</t>
  </si>
  <si>
    <t xml:space="preserve">Soil water retention curve  </t>
  </si>
  <si>
    <t>0 - 99</t>
  </si>
  <si>
    <t>R name</t>
  </si>
  <si>
    <t>sc</t>
  </si>
  <si>
    <t>rc</t>
  </si>
  <si>
    <t>I</t>
  </si>
  <si>
    <t>n</t>
  </si>
  <si>
    <t>alpha</t>
  </si>
  <si>
    <t>Vegetation parameters</t>
  </si>
  <si>
    <t>Shape parameter</t>
  </si>
  <si>
    <t>Shape parmeter</t>
  </si>
  <si>
    <t>Conductivity at saturation</t>
  </si>
  <si>
    <t>rr</t>
  </si>
  <si>
    <t>Instructions : enter soils and vegetation parameters.</t>
  </si>
  <si>
    <t>RAI</t>
  </si>
  <si>
    <t>Root area index</t>
  </si>
  <si>
    <t>Root proportion in layer 1</t>
  </si>
  <si>
    <t>Root proportion in layer 2</t>
  </si>
  <si>
    <t>Root proportion in layer 3</t>
  </si>
  <si>
    <r>
      <t xml:space="preserve">Soil-root calibration for </t>
    </r>
    <r>
      <rPr>
        <b/>
        <i/>
        <sz val="16"/>
        <color rgb="FFFF0000"/>
        <rFont val="Arial"/>
        <family val="2"/>
      </rPr>
      <t>SurEau-Ecos</t>
    </r>
  </si>
  <si>
    <r>
      <t>k</t>
    </r>
    <r>
      <rPr>
        <i/>
        <sz val="9"/>
        <color theme="9" tint="-0.249977111117893"/>
        <rFont val="Calibri (Corps)"/>
      </rPr>
      <t>RootTotal</t>
    </r>
  </si>
  <si>
    <t>RFC1</t>
  </si>
  <si>
    <t>RFC2</t>
  </si>
  <si>
    <t>RFC3</t>
  </si>
  <si>
    <t>0.5 - 3</t>
  </si>
  <si>
    <t>fRootToLeaf</t>
  </si>
  <si>
    <t>1.5 - 8</t>
  </si>
  <si>
    <t>"</t>
  </si>
  <si>
    <r>
      <t>root</t>
    </r>
    <r>
      <rPr>
        <i/>
        <sz val="8"/>
        <color theme="9" tint="-0.249977111117893"/>
        <rFont val="Calibri (Corps)"/>
      </rPr>
      <t>radius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</si>
  <si>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</si>
  <si>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</si>
  <si>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RFC</t>
    </r>
    <r>
      <rPr>
        <i/>
        <vertAlign val="subscript"/>
        <sz val="10"/>
        <color theme="5" tint="-0.249977111117893"/>
        <rFont val="Arial"/>
        <family val="2"/>
      </rPr>
      <t>3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</si>
  <si>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-1</t>
    </r>
  </si>
  <si>
    <r>
      <t>cm.d</t>
    </r>
    <r>
      <rPr>
        <i/>
        <vertAlign val="superscript"/>
        <sz val="10"/>
        <color theme="8" tint="-0.249977111117893"/>
        <rFont val="Arial"/>
        <family val="2"/>
      </rPr>
      <t>-1</t>
    </r>
  </si>
  <si>
    <t>betaRootProfile</t>
  </si>
  <si>
    <t>0.95 - 0.99</t>
  </si>
  <si>
    <r>
      <t>depth</t>
    </r>
    <r>
      <rPr>
        <i/>
        <vertAlign val="subscript"/>
        <sz val="10"/>
        <color theme="5" tint="-0.249977111117893"/>
        <rFont val="Arial"/>
        <family val="2"/>
      </rPr>
      <t>1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</si>
  <si>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2</t>
    </r>
  </si>
  <si>
    <r>
      <t>depth</t>
    </r>
    <r>
      <rPr>
        <i/>
        <vertAlign val="subscript"/>
        <sz val="10"/>
        <color theme="5" tint="-0.249977111117893"/>
        <rFont val="Arial"/>
        <family val="2"/>
      </rPr>
      <t>3</t>
    </r>
  </si>
  <si>
    <t>La1</t>
  </si>
  <si>
    <t>La2</t>
  </si>
  <si>
    <t>La3</t>
  </si>
  <si>
    <t>Lv1</t>
  </si>
  <si>
    <t>Lv2</t>
  </si>
  <si>
    <t>Lv3</t>
  </si>
  <si>
    <t>Bgc1</t>
  </si>
  <si>
    <t>Bgc2</t>
  </si>
  <si>
    <t>Bgc3</t>
  </si>
  <si>
    <t>rootP1</t>
  </si>
  <si>
    <t>rootP2</t>
  </si>
  <si>
    <t>rootP3</t>
  </si>
  <si>
    <t>betaRoot</t>
  </si>
  <si>
    <t>RAI/(2π*root_radius)</t>
  </si>
  <si>
    <t>La*rootP1</t>
  </si>
  <si>
    <t>La*rootP2</t>
  </si>
  <si>
    <t>La*rootP3</t>
  </si>
  <si>
    <t>La1 /[depth1*(1-RFC1/100)]</t>
  </si>
  <si>
    <r>
      <t xml:space="preserve"> f</t>
    </r>
    <r>
      <rPr>
        <vertAlign val="subscript"/>
        <sz val="8"/>
        <color theme="1"/>
        <rFont val="Arial"/>
        <family val="2"/>
      </rPr>
      <t>RootToLeaf</t>
    </r>
    <r>
      <rPr>
        <sz val="8"/>
        <color theme="1"/>
        <rFont val="Arial"/>
        <family val="2"/>
      </rPr>
      <t>*LAI</t>
    </r>
  </si>
  <si>
    <r>
      <t>1 - beta</t>
    </r>
    <r>
      <rPr>
        <vertAlign val="superscript"/>
        <sz val="8"/>
        <color theme="1"/>
        <rFont val="Arial"/>
        <family val="2"/>
      </rPr>
      <t>depth1</t>
    </r>
  </si>
  <si>
    <r>
      <t>1-beta</t>
    </r>
    <r>
      <rPr>
        <vertAlign val="superscript"/>
        <sz val="8"/>
        <color theme="1"/>
        <rFont val="Arial"/>
        <family val="2"/>
      </rPr>
      <t>depth2</t>
    </r>
    <r>
      <rPr>
        <sz val="8"/>
        <color theme="1"/>
        <rFont val="Arial"/>
        <family val="2"/>
      </rPr>
      <t xml:space="preserve"> -rootP1</t>
    </r>
  </si>
  <si>
    <r>
      <t>1-beta</t>
    </r>
    <r>
      <rPr>
        <vertAlign val="superscript"/>
        <sz val="8"/>
        <color theme="1"/>
        <rFont val="Arial"/>
        <family val="2"/>
      </rPr>
      <t>depth3</t>
    </r>
    <r>
      <rPr>
        <sz val="8"/>
        <color theme="1"/>
        <rFont val="Arial"/>
        <family val="2"/>
      </rPr>
      <t>-rootP1-rootP2</t>
    </r>
  </si>
  <si>
    <t>La2 /[(depth2-depth1)*(1-RFC3/100)]</t>
  </si>
  <si>
    <t>La3 /[(depth3-depth2)*(1-RFC3/100)]</t>
  </si>
  <si>
    <t>0.1 - 1</t>
  </si>
  <si>
    <t>depth[1]</t>
  </si>
  <si>
    <t>depth[2]</t>
  </si>
  <si>
    <t>depth[3]</t>
  </si>
  <si>
    <t>1 - 8</t>
  </si>
  <si>
    <t>0.1 - 2</t>
  </si>
  <si>
    <r>
      <t>Jackson</t>
    </r>
    <r>
      <rPr>
        <i/>
        <sz val="8"/>
        <color theme="1"/>
        <rFont val="Arial"/>
        <family val="2"/>
      </rPr>
      <t xml:space="preserve"> et al.</t>
    </r>
    <r>
      <rPr>
        <sz val="8"/>
        <color theme="1"/>
        <rFont val="Arial"/>
        <family val="2"/>
      </rPr>
      <t xml:space="preserve"> 1996</t>
    </r>
  </si>
  <si>
    <t>root length per unit volume of soil</t>
  </si>
  <si>
    <t>root length per unit surface of soil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</si>
  <si>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</si>
  <si>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-3</t>
    </r>
  </si>
  <si>
    <t>(2π*La1)/ln(b1/root_radius), b1=1/sqrt(π*Lv1)</t>
  </si>
  <si>
    <t>(2π*La3)/ln(b3/root_radius), b3=1/sqrt(π*Lv3)</t>
  </si>
  <si>
    <t>(2π*La2)/ln(b2/root_radius), b2=1/sqrt(π*Lv2)</t>
  </si>
  <si>
    <t>kroot1</t>
  </si>
  <si>
    <t>kroot2</t>
  </si>
  <si>
    <t>kroot3</t>
  </si>
  <si>
    <t>root conductance for layer 2</t>
  </si>
  <si>
    <t>root conductance for layer 1</t>
  </si>
  <si>
    <t>root conductance for layer 3</t>
  </si>
  <si>
    <r>
      <t>mmol.MPa</t>
    </r>
    <r>
      <rPr>
        <i/>
        <vertAlign val="superscript"/>
        <sz val="10"/>
        <color theme="9" tint="-0.249977111117893"/>
        <rFont val="Arial"/>
        <family val="2"/>
      </rPr>
      <t>-1</t>
    </r>
    <r>
      <rPr>
        <i/>
        <sz val="10"/>
        <color theme="9" tint="-0.249977111117893"/>
        <rFont val="Arial"/>
        <family val="2"/>
      </rPr>
      <t>.m</t>
    </r>
    <r>
      <rPr>
        <i/>
        <vertAlign val="superscript"/>
        <sz val="10"/>
        <color theme="9" tint="-0.249977111117893"/>
        <rFont val="Arial"/>
        <family val="2"/>
      </rPr>
      <t>-2</t>
    </r>
    <r>
      <rPr>
        <i/>
        <sz val="10"/>
        <color theme="9" tint="-0.249977111117893"/>
        <rFont val="Arial"/>
        <family val="2"/>
      </rPr>
      <t>.s</t>
    </r>
    <r>
      <rPr>
        <i/>
        <vertAlign val="superscript"/>
        <sz val="10"/>
        <color theme="9" tint="-0.249977111117893"/>
        <rFont val="Arial"/>
        <family val="2"/>
      </rPr>
      <t>-1</t>
    </r>
  </si>
  <si>
    <r>
      <t>mmol.MPa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.m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.s</t>
    </r>
    <r>
      <rPr>
        <vertAlign val="superscript"/>
        <sz val="10"/>
        <color theme="1"/>
        <rFont val="Arial"/>
        <family val="2"/>
      </rPr>
      <t>-1</t>
    </r>
  </si>
  <si>
    <t>Conductance analysis</t>
  </si>
  <si>
    <t>ksoil2</t>
  </si>
  <si>
    <t>root to Leaf ratio</t>
  </si>
  <si>
    <t>shape parameter for Van genuchten</t>
  </si>
  <si>
    <t>1-(1/n)</t>
  </si>
  <si>
    <r>
      <t>m</t>
    </r>
    <r>
      <rPr>
        <vertAlign val="subscript"/>
        <sz val="10"/>
        <color theme="1"/>
        <rFont val="Arial"/>
        <family val="2"/>
      </rPr>
      <t>root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.m</t>
    </r>
    <r>
      <rPr>
        <vertAlign val="subscript"/>
        <sz val="10"/>
        <color theme="1"/>
        <rFont val="Arial"/>
        <family val="2"/>
      </rPr>
      <t>soil</t>
    </r>
    <r>
      <rPr>
        <vertAlign val="superscript"/>
        <sz val="10"/>
        <color theme="1"/>
        <rFont val="Arial"/>
        <family val="2"/>
      </rPr>
      <t>-2</t>
    </r>
  </si>
  <si>
    <t>La[1]</t>
  </si>
  <si>
    <t>La[2]</t>
  </si>
  <si>
    <t>La[3]</t>
  </si>
  <si>
    <t>Lv[1]</t>
  </si>
  <si>
    <t>Lv[2]</t>
  </si>
  <si>
    <t>Lv[3]</t>
  </si>
  <si>
    <t>kroot[1]</t>
  </si>
  <si>
    <t>kroot[2]</t>
  </si>
  <si>
    <t>kroot[3]</t>
  </si>
  <si>
    <r>
      <t>mmol.MPa</t>
    </r>
    <r>
      <rPr>
        <i/>
        <vertAlign val="superscript"/>
        <sz val="8"/>
        <color theme="7" tint="-0.499984740745262"/>
        <rFont val="Arial"/>
        <family val="2"/>
      </rPr>
      <t>-1</t>
    </r>
    <r>
      <rPr>
        <i/>
        <sz val="8"/>
        <color theme="7" tint="-0.499984740745262"/>
        <rFont val="Arial"/>
        <family val="2"/>
      </rPr>
      <t>.m</t>
    </r>
    <r>
      <rPr>
        <i/>
        <vertAlign val="superscript"/>
        <sz val="8"/>
        <color theme="7" tint="-0.499984740745262"/>
        <rFont val="Arial"/>
        <family val="2"/>
      </rPr>
      <t>-2</t>
    </r>
    <r>
      <rPr>
        <i/>
        <sz val="8"/>
        <color theme="7" tint="-0.499984740745262"/>
        <rFont val="Arial"/>
        <family val="2"/>
      </rPr>
      <t>.s</t>
    </r>
    <r>
      <rPr>
        <i/>
        <vertAlign val="superscript"/>
        <sz val="8"/>
        <color theme="7" tint="-0.499984740745262"/>
        <rFont val="Arial"/>
        <family val="2"/>
      </rPr>
      <t>-1</t>
    </r>
  </si>
  <si>
    <r>
      <t>cm</t>
    </r>
    <r>
      <rPr>
        <i/>
        <vertAlign val="superscript"/>
        <sz val="10"/>
        <color theme="8" tint="-0.249977111117893"/>
        <rFont val="Arial"/>
        <family val="2"/>
      </rPr>
      <t>3</t>
    </r>
    <r>
      <rPr>
        <i/>
        <sz val="10"/>
        <color theme="8" tint="-0.249977111117893"/>
        <rFont val="Arial"/>
        <family val="2"/>
      </rPr>
      <t>.cm</t>
    </r>
    <r>
      <rPr>
        <i/>
        <vertAlign val="superscript"/>
        <sz val="10"/>
        <color theme="8" tint="-0.249977111117893"/>
        <rFont val="Arial"/>
        <family val="2"/>
      </rPr>
      <t>-3</t>
    </r>
  </si>
  <si>
    <r>
      <t>cm</t>
    </r>
    <r>
      <rPr>
        <i/>
        <vertAlign val="superscript"/>
        <sz val="8"/>
        <color theme="7" tint="-0.499984740745262"/>
        <rFont val="Arial"/>
        <family val="2"/>
      </rPr>
      <t>3</t>
    </r>
    <r>
      <rPr>
        <i/>
        <sz val="8"/>
        <color theme="7" tint="-0.499984740745262"/>
        <rFont val="Arial"/>
        <family val="2"/>
      </rPr>
      <t>.cm</t>
    </r>
    <r>
      <rPr>
        <i/>
        <vertAlign val="superscript"/>
        <sz val="8"/>
        <color theme="7" tint="-0.499984740745262"/>
        <rFont val="Arial"/>
        <family val="2"/>
      </rPr>
      <t>-3</t>
    </r>
  </si>
  <si>
    <t>Soil water content (SWC)</t>
  </si>
  <si>
    <t>ksoil3</t>
  </si>
  <si>
    <t>Calculations for soil conductances</t>
  </si>
  <si>
    <t>Soil available water content</t>
  </si>
  <si>
    <t>mm</t>
  </si>
  <si>
    <t>AWC_vg</t>
  </si>
  <si>
    <t>Available water content of the soil profile</t>
  </si>
  <si>
    <t>0.1 - 0.3</t>
  </si>
  <si>
    <t>0.2 - 0.6</t>
  </si>
  <si>
    <r>
      <t>m</t>
    </r>
    <r>
      <rPr>
        <i/>
        <vertAlign val="subscript"/>
        <sz val="10"/>
        <color theme="9" tint="-0.249977111117893"/>
        <rFont val="Arial"/>
        <family val="2"/>
      </rPr>
      <t>leaf</t>
    </r>
    <r>
      <rPr>
        <i/>
        <vertAlign val="superscript"/>
        <sz val="10"/>
        <color theme="9" tint="-0.249977111117893"/>
        <rFont val="Arial"/>
        <family val="2"/>
      </rPr>
      <t>2</t>
    </r>
    <r>
      <rPr>
        <i/>
        <sz val="10"/>
        <color theme="9" tint="-0.249977111117893"/>
        <rFont val="Arial"/>
        <family val="2"/>
      </rPr>
      <t>.m</t>
    </r>
    <r>
      <rPr>
        <i/>
        <vertAlign val="subscript"/>
        <sz val="10"/>
        <color theme="9" tint="-0.249977111117893"/>
        <rFont val="Arial"/>
        <family val="2"/>
      </rPr>
      <t>soil</t>
    </r>
    <r>
      <rPr>
        <i/>
        <vertAlign val="superscript"/>
        <sz val="10"/>
        <color theme="9" tint="-0.249977111117893"/>
        <rFont val="Arial"/>
        <family val="2"/>
      </rPr>
      <t>-2</t>
    </r>
  </si>
  <si>
    <t>parameter for roots distribtion</t>
  </si>
  <si>
    <t xml:space="preserve">total root conductance </t>
  </si>
  <si>
    <t xml:space="preserve">Rock fragment content of 1st layer </t>
  </si>
  <si>
    <t>Rock fragment content of 2nd soil layer</t>
  </si>
  <si>
    <t>Rock gragment content of 3rd soil layer</t>
  </si>
  <si>
    <t xml:space="preserve">maximum depth of 1st soil layer </t>
  </si>
  <si>
    <t>maximum depth of 2nd soil layer</t>
  </si>
  <si>
    <t>maximum depth of 3rd soil layer</t>
  </si>
  <si>
    <t>Psi soil</t>
  </si>
  <si>
    <t>Mpa</t>
  </si>
  <si>
    <t>SWC-potential relationship</t>
  </si>
  <si>
    <t>Loamy Sand</t>
  </si>
  <si>
    <t>Sandy Loam</t>
  </si>
  <si>
    <t>Loam</t>
  </si>
  <si>
    <t>Silt</t>
  </si>
  <si>
    <t>Silty Loam</t>
  </si>
  <si>
    <t>Sandy Clay Loam</t>
  </si>
  <si>
    <t>Clay Loam</t>
  </si>
  <si>
    <t>Silty Clay Loam</t>
  </si>
  <si>
    <t>Sandy Clay</t>
  </si>
  <si>
    <t>Silty Clay</t>
  </si>
  <si>
    <t>Clay</t>
  </si>
  <si>
    <t>Soil type</t>
  </si>
  <si>
    <r>
      <t xml:space="preserve">θsat, </t>
    </r>
    <r>
      <rPr>
        <b/>
        <sz val="10"/>
        <rFont val="Arial"/>
        <family val="2"/>
      </rPr>
      <t>m3/m3</t>
    </r>
  </si>
  <si>
    <r>
      <t xml:space="preserve">θres, </t>
    </r>
    <r>
      <rPr>
        <b/>
        <sz val="10"/>
        <rFont val="Arial"/>
        <family val="2"/>
      </rPr>
      <t>m3/m3</t>
    </r>
  </si>
  <si>
    <t xml:space="preserve">The Brook-Corey and van Genuchten parameters can be obtained by fitting equations [1] and [2] to pairs (h,θ) </t>
  </si>
  <si>
    <t>There are two general methods to derive the water retention parameters. .</t>
  </si>
  <si>
    <t xml:space="preserve"> They also can be estimated using basic soil properties such as soil texture, bulk density, organic carbon content,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</si>
</sst>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5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 tint="0.34998626667073579"/>
      <name val="Arial"/>
      <family val="2"/>
    </font>
    <font>
      <b/>
      <sz val="12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8"/>
      <color theme="5" tint="-0.249977111117893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  <font>
      <i/>
      <sz val="1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 tint="0.34998626667073579"/>
      <name val="Arial"/>
      <family val="2"/>
    </font>
    <font>
      <b/>
      <i/>
      <sz val="16"/>
      <color rgb="FFFF0000"/>
      <name val="Arial"/>
      <family val="2"/>
    </font>
    <font>
      <i/>
      <sz val="12"/>
      <color theme="9" tint="-0.249977111117893"/>
      <name val="Calibri"/>
      <family val="2"/>
      <scheme val="minor"/>
    </font>
    <font>
      <i/>
      <sz val="8"/>
      <color theme="9" tint="-0.249977111117893"/>
      <name val="Calibri (Corps)"/>
    </font>
    <font>
      <sz val="8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i/>
      <sz val="9"/>
      <color theme="9" tint="-0.249977111117893"/>
      <name val="Calibri (Corps)"/>
    </font>
    <font>
      <i/>
      <sz val="10"/>
      <color theme="9" tint="-0.249977111117893"/>
      <name val="Arial"/>
      <family val="2"/>
    </font>
    <font>
      <i/>
      <vertAlign val="subscript"/>
      <sz val="10"/>
      <color theme="5" tint="-0.249977111117893"/>
      <name val="Arial"/>
      <family val="2"/>
    </font>
    <font>
      <i/>
      <vertAlign val="superscript"/>
      <sz val="10"/>
      <color theme="8" tint="-0.249977111117893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i/>
      <vertAlign val="superscript"/>
      <sz val="10"/>
      <color theme="9" tint="-0.249977111117893"/>
      <name val="Arial"/>
      <family val="2"/>
    </font>
    <font>
      <b/>
      <i/>
      <sz val="10"/>
      <color theme="8" tint="-0.249977111117893"/>
      <name val="Arial"/>
      <family val="2"/>
    </font>
    <font>
      <sz val="12"/>
      <color theme="7" tint="-0.499984740745262"/>
      <name val="Calibri"/>
      <family val="2"/>
      <scheme val="minor"/>
    </font>
    <font>
      <b/>
      <sz val="12"/>
      <color theme="7" tint="-0.499984740745262"/>
      <name val="Arial"/>
      <family val="2"/>
    </font>
    <font>
      <sz val="8"/>
      <color theme="7" tint="-0.499984740745262"/>
      <name val="Calibri"/>
      <family val="2"/>
      <scheme val="minor"/>
    </font>
    <font>
      <i/>
      <sz val="8"/>
      <color theme="7" tint="-0.499984740745262"/>
      <name val="Arial"/>
      <family val="2"/>
    </font>
    <font>
      <i/>
      <vertAlign val="superscript"/>
      <sz val="8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i/>
      <vertAlign val="subscript"/>
      <sz val="10"/>
      <color theme="9" tint="-0.24997711111789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8D4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12" fillId="2" borderId="6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 wrapText="1"/>
    </xf>
    <xf numFmtId="0" fontId="12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center" wrapText="1"/>
    </xf>
    <xf numFmtId="0" fontId="16" fillId="2" borderId="3" xfId="0" applyFont="1" applyFill="1" applyBorder="1" applyAlignment="1">
      <alignment horizontal="left"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 wrapText="1"/>
    </xf>
    <xf numFmtId="0" fontId="18" fillId="2" borderId="7" xfId="0" applyFont="1" applyFill="1" applyBorder="1" applyAlignment="1">
      <alignment horizontal="center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left" wrapText="1"/>
    </xf>
    <xf numFmtId="0" fontId="22" fillId="2" borderId="0" xfId="0" applyFont="1" applyFill="1" applyAlignment="1">
      <alignment horizontal="center" wrapText="1"/>
    </xf>
    <xf numFmtId="0" fontId="27" fillId="2" borderId="3" xfId="0" applyFont="1" applyFill="1" applyBorder="1" applyAlignment="1">
      <alignment horizontal="left" wrapText="1"/>
    </xf>
    <xf numFmtId="0" fontId="21" fillId="2" borderId="4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30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21" fillId="2" borderId="0" xfId="0" applyFont="1" applyFill="1" applyBorder="1" applyAlignment="1">
      <alignment horizontal="left" wrapText="1"/>
    </xf>
    <xf numFmtId="0" fontId="29" fillId="2" borderId="0" xfId="0" applyFont="1" applyFill="1" applyBorder="1" applyAlignment="1">
      <alignment horizontal="left" wrapText="1"/>
    </xf>
    <xf numFmtId="0" fontId="30" fillId="2" borderId="0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left"/>
    </xf>
    <xf numFmtId="0" fontId="9" fillId="0" borderId="0" xfId="0" applyFont="1" applyBorder="1"/>
    <xf numFmtId="0" fontId="9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wrapText="1"/>
    </xf>
    <xf numFmtId="0" fontId="0" fillId="2" borderId="0" xfId="0" applyFill="1" applyBorder="1" applyAlignment="1">
      <alignment vertical="center" textRotation="90"/>
    </xf>
    <xf numFmtId="0" fontId="32" fillId="2" borderId="4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horizontal="center" wrapText="1"/>
    </xf>
    <xf numFmtId="0" fontId="32" fillId="2" borderId="6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left"/>
    </xf>
    <xf numFmtId="0" fontId="3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30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3" fillId="6" borderId="3" xfId="0" applyFont="1" applyFill="1" applyBorder="1" applyAlignment="1">
      <alignment horizontal="left"/>
    </xf>
    <xf numFmtId="0" fontId="44" fillId="2" borderId="0" xfId="0" applyFont="1" applyFill="1" applyAlignment="1">
      <alignment horizontal="left"/>
    </xf>
    <xf numFmtId="0" fontId="43" fillId="2" borderId="0" xfId="0" applyFont="1" applyFill="1" applyAlignment="1">
      <alignment horizontal="left"/>
    </xf>
    <xf numFmtId="2" fontId="43" fillId="6" borderId="0" xfId="0" applyNumberFormat="1" applyFont="1" applyFill="1" applyBorder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8" xfId="0" applyFont="1" applyFill="1" applyBorder="1" applyAlignment="1">
      <alignment horizontal="left"/>
    </xf>
    <xf numFmtId="0" fontId="46" fillId="2" borderId="0" xfId="0" applyFont="1" applyFill="1" applyBorder="1" applyAlignment="1">
      <alignment wrapText="1"/>
    </xf>
    <xf numFmtId="0" fontId="46" fillId="2" borderId="0" xfId="0" applyFont="1" applyFill="1" applyBorder="1" applyAlignment="1">
      <alignment horizontal="left" wrapText="1"/>
    </xf>
    <xf numFmtId="0" fontId="48" fillId="2" borderId="0" xfId="0" applyFont="1" applyFill="1" applyAlignment="1"/>
    <xf numFmtId="0" fontId="48" fillId="2" borderId="0" xfId="0" applyFont="1" applyFill="1" applyBorder="1" applyAlignment="1"/>
    <xf numFmtId="165" fontId="0" fillId="2" borderId="0" xfId="0" applyNumberFormat="1" applyFill="1" applyAlignment="1">
      <alignment horizontal="left"/>
    </xf>
    <xf numFmtId="165" fontId="43" fillId="2" borderId="0" xfId="0" applyNumberFormat="1" applyFont="1" applyFill="1" applyAlignment="1">
      <alignment horizontal="left"/>
    </xf>
    <xf numFmtId="165" fontId="48" fillId="2" borderId="0" xfId="0" applyNumberFormat="1" applyFont="1" applyFill="1" applyAlignment="1"/>
    <xf numFmtId="165" fontId="46" fillId="2" borderId="0" xfId="0" applyNumberFormat="1" applyFont="1" applyFill="1" applyBorder="1" applyAlignment="1">
      <alignment wrapText="1"/>
    </xf>
    <xf numFmtId="165" fontId="43" fillId="6" borderId="4" xfId="0" applyNumberFormat="1" applyFont="1" applyFill="1" applyBorder="1" applyAlignment="1">
      <alignment horizontal="left"/>
    </xf>
    <xf numFmtId="165" fontId="43" fillId="6" borderId="0" xfId="0" applyNumberFormat="1" applyFont="1" applyFill="1" applyBorder="1" applyAlignment="1">
      <alignment horizontal="left"/>
    </xf>
    <xf numFmtId="2" fontId="43" fillId="6" borderId="9" xfId="0" applyNumberFormat="1" applyFont="1" applyFill="1" applyBorder="1" applyAlignment="1">
      <alignment horizontal="left"/>
    </xf>
    <xf numFmtId="165" fontId="43" fillId="6" borderId="9" xfId="0" applyNumberFormat="1" applyFont="1" applyFill="1" applyBorder="1" applyAlignment="1">
      <alignment horizontal="left"/>
    </xf>
    <xf numFmtId="0" fontId="45" fillId="2" borderId="0" xfId="0" applyFont="1" applyFill="1" applyBorder="1" applyAlignment="1"/>
    <xf numFmtId="2" fontId="43" fillId="6" borderId="4" xfId="0" applyNumberFormat="1" applyFont="1" applyFill="1" applyBorder="1" applyAlignment="1">
      <alignment horizontal="left"/>
    </xf>
    <xf numFmtId="165" fontId="43" fillId="6" borderId="5" xfId="0" applyNumberFormat="1" applyFont="1" applyFill="1" applyBorder="1" applyAlignment="1">
      <alignment horizontal="left"/>
    </xf>
    <xf numFmtId="165" fontId="43" fillId="6" borderId="7" xfId="0" applyNumberFormat="1" applyFont="1" applyFill="1" applyBorder="1" applyAlignment="1">
      <alignment horizontal="left"/>
    </xf>
    <xf numFmtId="165" fontId="43" fillId="6" borderId="10" xfId="0" applyNumberFormat="1" applyFont="1" applyFill="1" applyBorder="1" applyAlignment="1">
      <alignment horizontal="left"/>
    </xf>
    <xf numFmtId="165" fontId="14" fillId="2" borderId="0" xfId="0" applyNumberFormat="1" applyFont="1" applyFill="1" applyBorder="1" applyAlignment="1">
      <alignment horizontal="center"/>
    </xf>
    <xf numFmtId="0" fontId="14" fillId="3" borderId="2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4" fillId="5" borderId="5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 wrapText="1"/>
      <protection locked="0"/>
    </xf>
    <xf numFmtId="0" fontId="14" fillId="5" borderId="7" xfId="0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Alignment="1" applyProtection="1">
      <alignment horizontal="center"/>
      <protection locked="0"/>
    </xf>
    <xf numFmtId="0" fontId="24" fillId="2" borderId="0" xfId="0" applyFont="1" applyFill="1" applyBorder="1" applyAlignment="1">
      <alignment horizontal="left"/>
    </xf>
    <xf numFmtId="164" fontId="11" fillId="6" borderId="14" xfId="0" applyNumberFormat="1" applyFont="1" applyFill="1" applyBorder="1" applyAlignment="1">
      <alignment horizontal="center"/>
    </xf>
    <xf numFmtId="165" fontId="11" fillId="6" borderId="15" xfId="0" applyNumberFormat="1" applyFont="1" applyFill="1" applyBorder="1" applyAlignment="1">
      <alignment horizontal="center"/>
    </xf>
    <xf numFmtId="2" fontId="11" fillId="6" borderId="15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165" fontId="11" fillId="6" borderId="16" xfId="0" applyNumberFormat="1" applyFont="1" applyFill="1" applyBorder="1" applyAlignment="1">
      <alignment horizontal="center"/>
    </xf>
    <xf numFmtId="164" fontId="11" fillId="6" borderId="13" xfId="0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51" fillId="0" borderId="2" xfId="0" applyFont="1" applyBorder="1"/>
    <xf numFmtId="166" fontId="52" fillId="5" borderId="2" xfId="0" applyNumberFormat="1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/>
    </xf>
    <xf numFmtId="166" fontId="52" fillId="0" borderId="0" xfId="0" applyNumberFormat="1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D4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00782294027483"/>
          <c:y val="0.12915821717373407"/>
          <c:w val="0.68192647239830562"/>
          <c:h val="0.777115727398270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WorkSheet!$S$6</c:f>
              <c:strCache>
                <c:ptCount val="1"/>
                <c:pt idx="0">
                  <c:v>ksoil1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WorkSheet!$S$8:$S$67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4.5925888793794001E-4</c:v>
                </c:pt>
                <c:pt idx="10">
                  <c:v>1.3616134230305676E-3</c:v>
                </c:pt>
                <c:pt idx="11">
                  <c:v>2.8715960862765442E-3</c:v>
                </c:pt>
                <c:pt idx="12">
                  <c:v>5.3370317102745014E-3</c:v>
                </c:pt>
                <c:pt idx="13">
                  <c:v>9.1935735207933876E-3</c:v>
                </c:pt>
                <c:pt idx="14">
                  <c:v>1.5003057720066113E-2</c:v>
                </c:pt>
                <c:pt idx="15">
                  <c:v>2.3480243747916522E-2</c:v>
                </c:pt>
                <c:pt idx="16">
                  <c:v>3.5520236959888214E-2</c:v>
                </c:pt>
                <c:pt idx="17">
                  <c:v>5.2228000126832846E-2</c:v>
                </c:pt>
                <c:pt idx="18">
                  <c:v>7.4950331077162757E-2</c:v>
                </c:pt>
                <c:pt idx="19">
                  <c:v>0.10531049791441752</c:v>
                </c:pt>
                <c:pt idx="20">
                  <c:v>0.14524568383104364</c:v>
                </c:pt>
                <c:pt idx="21">
                  <c:v>0.19704739054208348</c:v>
                </c:pt>
                <c:pt idx="22">
                  <c:v>0.26340495830866423</c:v>
                </c:pt>
                <c:pt idx="23">
                  <c:v>0.34745237470956025</c:v>
                </c:pt>
                <c:pt idx="24">
                  <c:v>0.45281856168104484</c:v>
                </c:pt>
                <c:pt idx="25">
                  <c:v>0.58368135024671663</c:v>
                </c:pt>
                <c:pt idx="26">
                  <c:v>0.74482537467739096</c:v>
                </c:pt>
                <c:pt idx="27">
                  <c:v>0.94170414265257341</c:v>
                </c:pt>
                <c:pt idx="28">
                  <c:v>1.1805065655457774</c:v>
                </c:pt>
                <c:pt idx="29">
                  <c:v>1.4682282635072366</c:v>
                </c:pt>
                <c:pt idx="30">
                  <c:v>1.812747993913171</c:v>
                </c:pt>
                <c:pt idx="31">
                  <c:v>2.2229095893939594</c:v>
                </c:pt>
                <c:pt idx="32">
                  <c:v>2.7086098335157511</c:v>
                </c:pt>
                <c:pt idx="33">
                  <c:v>3.2808927488128257</c:v>
                </c:pt>
                <c:pt idx="34">
                  <c:v>3.9520508238798979</c:v>
                </c:pt>
                <c:pt idx="35">
                  <c:v>4.7357337643565272</c:v>
                </c:pt>
                <c:pt idx="36">
                  <c:v>5.6470654177066297</c:v>
                </c:pt>
                <c:pt idx="37">
                  <c:v>6.7027695946832884</c:v>
                </c:pt>
                <c:pt idx="38">
                  <c:v>7.9213055923924749</c:v>
                </c:pt>
                <c:pt idx="39">
                  <c:v>9.3230143162290542</c:v>
                </c:pt>
                <c:pt idx="40">
                  <c:v>10.930276002175972</c:v>
                </c:pt>
                <c:pt idx="41">
                  <c:v>12.767680658793845</c:v>
                </c:pt>
                <c:pt idx="42">
                  <c:v>14.862212481749824</c:v>
                </c:pt>
                <c:pt idx="43">
                  <c:v>17.243449645369402</c:v>
                </c:pt>
                <c:pt idx="44">
                  <c:v>19.94378104827738</c:v>
                </c:pt>
                <c:pt idx="45">
                  <c:v>22.998641787083621</c:v>
                </c:pt>
                <c:pt idx="46">
                  <c:v>26.446769357223328</c:v>
                </c:pt>
                <c:pt idx="47">
                  <c:v>30.330482838165832</c:v>
                </c:pt>
                <c:pt idx="48">
                  <c:v>34.695987616838806</c:v>
                </c:pt>
                <c:pt idx="49">
                  <c:v>39.59370854492181</c:v>
                </c:pt>
                <c:pt idx="50">
                  <c:v>45.078654820580034</c:v>
                </c:pt>
                <c:pt idx="51">
                  <c:v>51.210820342780124</c:v>
                </c:pt>
                <c:pt idx="52">
                  <c:v>58.055623818019448</c:v>
                </c:pt>
                <c:pt idx="53">
                  <c:v>65.684393518993474</c:v>
                </c:pt>
                <c:pt idx="54">
                  <c:v>74.174902319225055</c:v>
                </c:pt>
                <c:pt idx="55">
                  <c:v>83.611959477491524</c:v>
                </c:pt>
                <c:pt idx="56">
                  <c:v>94.088066646031905</c:v>
                </c:pt>
                <c:pt idx="57">
                  <c:v>105.70414675778086</c:v>
                </c:pt>
                <c:pt idx="58">
                  <c:v>118.57035584815631</c:v>
                </c:pt>
                <c:pt idx="59">
                  <c:v>132.80698953325199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354D-95A2-8A5BAE8216D9}"/>
            </c:ext>
          </c:extLst>
        </c:ser>
        <c:ser>
          <c:idx val="1"/>
          <c:order val="1"/>
          <c:tx>
            <c:strRef>
              <c:f>WorkSheet!$Y$6</c:f>
              <c:strCache>
                <c:ptCount val="1"/>
                <c:pt idx="0">
                  <c:v>ksoilToCollar1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WorkSheet!$Y$8:$Y$67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4.5910480274279379E-4</c:v>
                </c:pt>
                <c:pt idx="10">
                  <c:v>1.3602598950913313E-3</c:v>
                </c:pt>
                <c:pt idx="11">
                  <c:v>2.8655825797312406E-3</c:v>
                </c:pt>
                <c:pt idx="12">
                  <c:v>5.316296878539792E-3</c:v>
                </c:pt>
                <c:pt idx="13">
                  <c:v>9.1322182127808633E-3</c:v>
                </c:pt>
                <c:pt idx="14">
                  <c:v>1.4840347305453874E-2</c:v>
                </c:pt>
                <c:pt idx="15">
                  <c:v>2.3084141026052558E-2</c:v>
                </c:pt>
                <c:pt idx="16">
                  <c:v>3.4621539051072632E-2</c:v>
                </c:pt>
                <c:pt idx="17">
                  <c:v>5.0307869269171697E-2</c:v>
                </c:pt>
                <c:pt idx="18">
                  <c:v>7.1058269614329539E-2</c:v>
                </c:pt>
                <c:pt idx="19">
                  <c:v>9.778499721024439E-2</c:v>
                </c:pt>
                <c:pt idx="20">
                  <c:v>0.13130813576865469</c:v>
                </c:pt>
                <c:pt idx="21">
                  <c:v>0.17224423734157626</c:v>
                </c:pt>
                <c:pt idx="22">
                  <c:v>0.22088591565340021</c:v>
                </c:pt>
                <c:pt idx="23">
                  <c:v>0.27709424360789786</c:v>
                </c:pt>
                <c:pt idx="24">
                  <c:v>0.34023115666120018</c:v>
                </c:pt>
                <c:pt idx="25">
                  <c:v>0.409156639513995</c:v>
                </c:pt>
                <c:pt idx="26">
                  <c:v>0.48230315270739788</c:v>
                </c:pt>
                <c:pt idx="27">
                  <c:v>0.55782005427798043</c:v>
                </c:pt>
                <c:pt idx="28">
                  <c:v>0.63376089545272862</c:v>
                </c:pt>
                <c:pt idx="29">
                  <c:v>0.70827490266880677</c:v>
                </c:pt>
                <c:pt idx="30">
                  <c:v>0.77976550527831168</c:v>
                </c:pt>
                <c:pt idx="31">
                  <c:v>0.84699176825559819</c:v>
                </c:pt>
                <c:pt idx="32">
                  <c:v>0.90910640943844057</c:v>
                </c:pt>
                <c:pt idx="33">
                  <c:v>0.96563940463757103</c:v>
                </c:pt>
                <c:pt idx="34">
                  <c:v>1.0164447024421746</c:v>
                </c:pt>
                <c:pt idx="35">
                  <c:v>1.0616289552302225</c:v>
                </c:pt>
                <c:pt idx="36">
                  <c:v>1.1014777167099887</c:v>
                </c:pt>
                <c:pt idx="37">
                  <c:v>1.1363891703321813</c:v>
                </c:pt>
                <c:pt idx="38">
                  <c:v>1.166820321044034</c:v>
                </c:pt>
                <c:pt idx="39">
                  <c:v>1.1932467762058712</c:v>
                </c:pt>
                <c:pt idx="40">
                  <c:v>1.2161349505004408</c:v>
                </c:pt>
                <c:pt idx="41">
                  <c:v>1.2359244757316503</c:v>
                </c:pt>
                <c:pt idx="42">
                  <c:v>1.253018363735048</c:v>
                </c:pt>
                <c:pt idx="43">
                  <c:v>1.2677786885825035</c:v>
                </c:pt>
                <c:pt idx="44">
                  <c:v>1.2805259605188766</c:v>
                </c:pt>
                <c:pt idx="45">
                  <c:v>1.2915408019288817</c:v>
                </c:pt>
                <c:pt idx="46">
                  <c:v>1.3010669269379471</c:v>
                </c:pt>
                <c:pt idx="47">
                  <c:v>1.3093147422195068</c:v>
                </c:pt>
                <c:pt idx="48">
                  <c:v>1.3164651252438047</c:v>
                </c:pt>
                <c:pt idx="49">
                  <c:v>1.3226731077108129</c:v>
                </c:pt>
                <c:pt idx="50">
                  <c:v>1.3280713101470438</c:v>
                </c:pt>
                <c:pt idx="51">
                  <c:v>1.3327730520587682</c:v>
                </c:pt>
                <c:pt idx="52">
                  <c:v>1.3368751119396871</c:v>
                </c:pt>
                <c:pt idx="53">
                  <c:v>1.3404601416348407</c:v>
                </c:pt>
                <c:pt idx="54">
                  <c:v>1.3435987565710525</c:v>
                </c:pt>
                <c:pt idx="55">
                  <c:v>1.346351331808286</c:v>
                </c:pt>
                <c:pt idx="56">
                  <c:v>1.3487695369447354</c:v>
                </c:pt>
                <c:pt idx="57">
                  <c:v>1.3508976427741337</c:v>
                </c:pt>
                <c:pt idx="58">
                  <c:v>1.3527736306600466</c:v>
                </c:pt>
                <c:pt idx="59">
                  <c:v>1.3544301327622559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C-354D-95A2-8A5BAE8216D9}"/>
            </c:ext>
          </c:extLst>
        </c:ser>
        <c:ser>
          <c:idx val="2"/>
          <c:order val="2"/>
          <c:tx>
            <c:strRef>
              <c:f>WorkSheet!$I$22</c:f>
              <c:strCache>
                <c:ptCount val="1"/>
                <c:pt idx="0">
                  <c:v>kroot1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WorkSheet!$Q$8:$Q$67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WorkSheet!$V$8:$V$67</c:f>
              <c:numCache>
                <c:formatCode>0.000</c:formatCode>
                <c:ptCount val="60"/>
                <c:pt idx="0">
                  <c:v>1.368385593142037</c:v>
                </c:pt>
                <c:pt idx="1">
                  <c:v>1.368385593142037</c:v>
                </c:pt>
                <c:pt idx="2">
                  <c:v>1.368385593142037</c:v>
                </c:pt>
                <c:pt idx="3">
                  <c:v>1.368385593142037</c:v>
                </c:pt>
                <c:pt idx="4">
                  <c:v>1.368385593142037</c:v>
                </c:pt>
                <c:pt idx="5">
                  <c:v>1.368385593142037</c:v>
                </c:pt>
                <c:pt idx="6">
                  <c:v>1.368385593142037</c:v>
                </c:pt>
                <c:pt idx="7">
                  <c:v>1.368385593142037</c:v>
                </c:pt>
                <c:pt idx="8">
                  <c:v>1.368385593142037</c:v>
                </c:pt>
                <c:pt idx="9">
                  <c:v>1.368385593142037</c:v>
                </c:pt>
                <c:pt idx="10">
                  <c:v>1.368385593142037</c:v>
                </c:pt>
                <c:pt idx="11">
                  <c:v>1.368385593142037</c:v>
                </c:pt>
                <c:pt idx="12">
                  <c:v>1.368385593142037</c:v>
                </c:pt>
                <c:pt idx="13">
                  <c:v>1.368385593142037</c:v>
                </c:pt>
                <c:pt idx="14">
                  <c:v>1.368385593142037</c:v>
                </c:pt>
                <c:pt idx="15">
                  <c:v>1.368385593142037</c:v>
                </c:pt>
                <c:pt idx="16">
                  <c:v>1.368385593142037</c:v>
                </c:pt>
                <c:pt idx="17">
                  <c:v>1.368385593142037</c:v>
                </c:pt>
                <c:pt idx="18">
                  <c:v>1.368385593142037</c:v>
                </c:pt>
                <c:pt idx="19">
                  <c:v>1.368385593142037</c:v>
                </c:pt>
                <c:pt idx="20">
                  <c:v>1.368385593142037</c:v>
                </c:pt>
                <c:pt idx="21">
                  <c:v>1.368385593142037</c:v>
                </c:pt>
                <c:pt idx="22">
                  <c:v>1.368385593142037</c:v>
                </c:pt>
                <c:pt idx="23">
                  <c:v>1.368385593142037</c:v>
                </c:pt>
                <c:pt idx="24">
                  <c:v>1.368385593142037</c:v>
                </c:pt>
                <c:pt idx="25">
                  <c:v>1.368385593142037</c:v>
                </c:pt>
                <c:pt idx="26">
                  <c:v>1.368385593142037</c:v>
                </c:pt>
                <c:pt idx="27">
                  <c:v>1.368385593142037</c:v>
                </c:pt>
                <c:pt idx="28">
                  <c:v>1.368385593142037</c:v>
                </c:pt>
                <c:pt idx="29">
                  <c:v>1.368385593142037</c:v>
                </c:pt>
                <c:pt idx="30">
                  <c:v>1.368385593142037</c:v>
                </c:pt>
                <c:pt idx="31">
                  <c:v>1.368385593142037</c:v>
                </c:pt>
                <c:pt idx="32">
                  <c:v>1.368385593142037</c:v>
                </c:pt>
                <c:pt idx="33">
                  <c:v>1.368385593142037</c:v>
                </c:pt>
                <c:pt idx="34">
                  <c:v>1.368385593142037</c:v>
                </c:pt>
                <c:pt idx="35">
                  <c:v>1.368385593142037</c:v>
                </c:pt>
                <c:pt idx="36">
                  <c:v>1.368385593142037</c:v>
                </c:pt>
                <c:pt idx="37">
                  <c:v>1.368385593142037</c:v>
                </c:pt>
                <c:pt idx="38">
                  <c:v>1.368385593142037</c:v>
                </c:pt>
                <c:pt idx="39">
                  <c:v>1.368385593142037</c:v>
                </c:pt>
                <c:pt idx="40">
                  <c:v>1.368385593142037</c:v>
                </c:pt>
                <c:pt idx="41">
                  <c:v>1.368385593142037</c:v>
                </c:pt>
                <c:pt idx="42">
                  <c:v>1.368385593142037</c:v>
                </c:pt>
                <c:pt idx="43">
                  <c:v>1.368385593142037</c:v>
                </c:pt>
                <c:pt idx="44">
                  <c:v>1.368385593142037</c:v>
                </c:pt>
                <c:pt idx="45">
                  <c:v>1.368385593142037</c:v>
                </c:pt>
                <c:pt idx="46">
                  <c:v>1.368385593142037</c:v>
                </c:pt>
                <c:pt idx="47">
                  <c:v>1.368385593142037</c:v>
                </c:pt>
                <c:pt idx="48">
                  <c:v>1.368385593142037</c:v>
                </c:pt>
                <c:pt idx="49">
                  <c:v>1.368385593142037</c:v>
                </c:pt>
                <c:pt idx="50">
                  <c:v>1.368385593142037</c:v>
                </c:pt>
                <c:pt idx="51">
                  <c:v>1.368385593142037</c:v>
                </c:pt>
                <c:pt idx="52">
                  <c:v>1.368385593142037</c:v>
                </c:pt>
                <c:pt idx="53">
                  <c:v>1.368385593142037</c:v>
                </c:pt>
                <c:pt idx="54">
                  <c:v>1.368385593142037</c:v>
                </c:pt>
                <c:pt idx="55">
                  <c:v>1.368385593142037</c:v>
                </c:pt>
                <c:pt idx="56">
                  <c:v>1.368385593142037</c:v>
                </c:pt>
                <c:pt idx="57">
                  <c:v>1.368385593142037</c:v>
                </c:pt>
                <c:pt idx="58">
                  <c:v>1.368385593142037</c:v>
                </c:pt>
                <c:pt idx="59">
                  <c:v>1.368385593142037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C-354D-95A2-8A5BAE8216D9}"/>
            </c:ext>
          </c:extLst>
        </c:ser>
        <c:ser>
          <c:idx val="3"/>
          <c:order val="3"/>
          <c:tx>
            <c:strRef>
              <c:f>WorkSheet!$B$20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WorkSheet!$G$20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C-354D-95A2-8A5BAE82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52239"/>
        <c:axId val="1630013327"/>
      </c:scatterChart>
      <c:valAx>
        <c:axId val="1630252239"/>
        <c:scaling>
          <c:orientation val="minMax"/>
          <c:max val="0.620000000000000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Soil water</a:t>
                </a:r>
                <a:r>
                  <a:rPr lang="fr-FR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content (m3.m-3)</a:t>
                </a: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73637552353731"/>
              <c:y val="0.938934583291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013327"/>
        <c:crossesAt val="0"/>
        <c:crossBetween val="midCat"/>
      </c:valAx>
      <c:valAx>
        <c:axId val="16300133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conductance (mmol.MPar.m2.s-1)</a:t>
                </a:r>
              </a:p>
              <a:p>
                <a:pPr>
                  <a:defRPr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52239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838538952361312"/>
          <c:y val="0.45771129902728208"/>
          <c:w val="0.16465458567567584"/>
          <c:h val="0.1935223024850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Psi-SWC</a:t>
            </a:r>
            <a:r>
              <a:rPr lang="fr-FR" baseline="0"/>
              <a:t> relationship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WorkSheet!$AC$18:$AC$35</c:f>
              <c:numCache>
                <c:formatCode>General</c:formatCode>
                <c:ptCount val="18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</c:numCache>
            </c:numRef>
          </c:xVal>
          <c:yVal>
            <c:numRef>
              <c:f>WorkSheet!$AE$18:$AE$35</c:f>
              <c:numCache>
                <c:formatCode>General</c:formatCode>
                <c:ptCount val="18"/>
                <c:pt idx="0">
                  <c:v>-40.03627388240605</c:v>
                </c:pt>
                <c:pt idx="1">
                  <c:v>-15.812802138851525</c:v>
                </c:pt>
                <c:pt idx="2">
                  <c:v>-8.573309019436488</c:v>
                </c:pt>
                <c:pt idx="3">
                  <c:v>-5.4251618951836793</c:v>
                </c:pt>
                <c:pt idx="4">
                  <c:v>-3.7628840854179857</c:v>
                </c:pt>
                <c:pt idx="5">
                  <c:v>-2.7733271364219005</c:v>
                </c:pt>
                <c:pt idx="6">
                  <c:v>-2.1340109821626103</c:v>
                </c:pt>
                <c:pt idx="7">
                  <c:v>-1.695629994580736</c:v>
                </c:pt>
                <c:pt idx="8">
                  <c:v>-1.3810808706842324</c:v>
                </c:pt>
                <c:pt idx="9">
                  <c:v>-1.1471658159994846</c:v>
                </c:pt>
                <c:pt idx="10">
                  <c:v>-0.968101443057651</c:v>
                </c:pt>
                <c:pt idx="11">
                  <c:v>-0.82769874290523227</c:v>
                </c:pt>
                <c:pt idx="12">
                  <c:v>-0.71536206370457789</c:v>
                </c:pt>
                <c:pt idx="13">
                  <c:v>-0.62391201418098852</c:v>
                </c:pt>
                <c:pt idx="14">
                  <c:v>-0.54833885676102501</c:v>
                </c:pt>
                <c:pt idx="15">
                  <c:v>-0.48505736422050805</c:v>
                </c:pt>
                <c:pt idx="16">
                  <c:v>-0.43144475917474873</c:v>
                </c:pt>
                <c:pt idx="17">
                  <c:v>-0.38554494183855909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6E46-830B-068F9BAD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16927"/>
        <c:axId val="1290897999"/>
      </c:scatterChart>
      <c:valAx>
        <c:axId val="1290916927"/>
        <c:scaling>
          <c:orientation val="minMax"/>
          <c:max val="0.5"/>
          <c:min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897999"/>
        <c:crosses val="autoZero"/>
        <c:crossBetween val="midCat"/>
      </c:valAx>
      <c:valAx>
        <c:axId val="1290897999"/>
        <c:scaling>
          <c:orientation val="minMax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09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1043763</xdr:colOff>
      <xdr:row>1</xdr:row>
      <xdr:rowOff>137632</xdr:rowOff>
    </xdr:from>
    <xdr:ext cx="2941342" cy="415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7D47744F-54E6-2B49-BE1F-66B5FBF6C7C3}"/>
                </a:ext>
              </a:extLst>
            </xdr:cNvPr>
            <xdr:cNvSpPr txBox="1"/>
          </xdr:nvSpPr>
          <xdr:spPr>
            <a:xfrm>
              <a:off x="24228647" y="388679"/>
              <a:ext cx="2941342" cy="415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𝑘_(𝑠𝑜𝑖𝑙,𝑖)=〖〖𝐵_𝑖.𝐾〗_𝑠𝑎𝑡.〖𝑅𝐸𝑊〗^𝐼.[1−〖(1−〖𝑅𝐸𝑊〗^□(64&amp;1/𝑚))〗^𝑚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96273</xdr:colOff>
      <xdr:row>1</xdr:row>
      <xdr:rowOff>115781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6AAA3189-F470-D44C-8FB8-47F346287412}"/>
                </a:ext>
              </a:extLst>
            </xdr:cNvPr>
            <xdr:cNvSpPr txBox="1"/>
          </xdr:nvSpPr>
          <xdr:spPr>
            <a:xfrm>
              <a:off x="28124878" y="366828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15</xdr:col>
      <xdr:colOff>1409112</xdr:colOff>
      <xdr:row>1</xdr:row>
      <xdr:rowOff>164756</xdr:rowOff>
    </xdr:from>
    <xdr:ext cx="2069469" cy="53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𝑅𝐸𝑊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𝑆𝑊𝐶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A1BD9D21-FA36-094C-9FDC-C7ACCAB95E1D}"/>
                </a:ext>
              </a:extLst>
            </xdr:cNvPr>
            <xdr:cNvSpPr txBox="1"/>
          </xdr:nvSpPr>
          <xdr:spPr>
            <a:xfrm>
              <a:off x="19883182" y="415803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𝑅𝐸𝑊=  (𝑆𝑊𝐶−𝑟𝑐)/(𝑠𝑐−𝑟𝑐)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</xdr:col>
      <xdr:colOff>651934</xdr:colOff>
      <xdr:row>34</xdr:row>
      <xdr:rowOff>175593</xdr:rowOff>
    </xdr:from>
    <xdr:to>
      <xdr:col>8</xdr:col>
      <xdr:colOff>375654</xdr:colOff>
      <xdr:row>56</xdr:row>
      <xdr:rowOff>28966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EA2ADA2-6603-A545-B358-8767B9F7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151855</xdr:colOff>
      <xdr:row>0</xdr:row>
      <xdr:rowOff>244474</xdr:rowOff>
    </xdr:from>
    <xdr:ext cx="1451615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den>
                                </m:f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sup>
                            </m:s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  <m:sup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56DA5A5-940F-F54E-8548-B2BCB4079CE2}"/>
                </a:ext>
              </a:extLst>
            </xdr:cNvPr>
            <xdr:cNvSpPr txBox="1"/>
          </xdr:nvSpPr>
          <xdr:spPr>
            <a:xfrm>
              <a:off x="34936166" y="244474"/>
              <a:ext cx="1451615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fr-FR" sz="1100" b="0" i="0">
                  <a:latin typeface="Cambria Math" panose="02040503050406030204" pitchFamily="18" charset="0"/>
                </a:rPr>
                <a:t>𝑠𝑜𝑖𝑙=  ((〖〖(1/𝑅𝐸𝑊)〗^(1/𝑚)−1)〗^(1/𝑛))/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9</xdr:col>
      <xdr:colOff>560147</xdr:colOff>
      <xdr:row>35</xdr:row>
      <xdr:rowOff>49451</xdr:rowOff>
    </xdr:from>
    <xdr:to>
      <xdr:col>13</xdr:col>
      <xdr:colOff>689607</xdr:colOff>
      <xdr:row>55</xdr:row>
      <xdr:rowOff>129023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A65EBF-F3F4-FB42-9BFA-C00BF4A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482600</xdr:colOff>
      <xdr:row>25</xdr:row>
      <xdr:rowOff>114300</xdr:rowOff>
    </xdr:from>
    <xdr:to>
      <xdr:col>25</xdr:col>
      <xdr:colOff>345063</xdr:colOff>
      <xdr:row>62</xdr:row>
      <xdr:rowOff>148855</xdr:rowOff>
    </xdr:to>
    <xdr:pic>
      <xdr:nvPicPr>
        <xdr:cNvPr id="2" name="Image 1" descr="USDA soil classification. | Download Scientific Diagram">
          <a:extLst>
            <a:ext uri="{FF2B5EF4-FFF2-40B4-BE49-F238E27FC236}">
              <a16:creationId xmlns:a16="http://schemas.microsoft.com/office/drawing/2014/main" id="{FFE35641-F7AD-CD42-BE12-0D191E90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5245100"/>
          <a:ext cx="7406263" cy="7552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AE67"/>
  <sheetViews>
    <sheetView tabSelected="1" zoomScale="88" zoomScaleNormal="64" workbookViewId="0">
      <selection activeCell="I18" sqref="I18"/>
    </sheetView>
  </sheetViews>
  <sheetFormatPr baseColWidth="10" defaultRowHeight="16" x14ac:dyDescent="0.2"/>
  <cols>
    <col min="1" max="1" width="2.1640625" style="1" customWidth="1"/>
    <col min="2" max="2" width="13.1640625" style="1" customWidth="1"/>
    <col min="3" max="3" width="14.5" style="1" customWidth="1"/>
    <col min="4" max="4" width="25.6640625" style="1" customWidth="1"/>
    <col min="5" max="5" width="16.5" style="1" customWidth="1"/>
    <col min="6" max="6" width="13" style="1" customWidth="1"/>
    <col min="7" max="7" width="11.83203125" style="1" customWidth="1"/>
    <col min="8" max="8" width="5" style="1" customWidth="1"/>
    <col min="9" max="9" width="11.33203125" style="1" customWidth="1"/>
    <col min="10" max="10" width="9.83203125" style="1" customWidth="1"/>
    <col min="11" max="11" width="24.5" style="1" customWidth="1"/>
    <col min="12" max="12" width="23.6640625" style="1" customWidth="1"/>
    <col min="13" max="13" width="29.83203125" style="20" customWidth="1"/>
    <col min="14" max="14" width="17" style="1" customWidth="1"/>
    <col min="15" max="15" width="9.6640625" style="1" customWidth="1"/>
    <col min="16" max="16" width="23.1640625" style="1" customWidth="1"/>
    <col min="17" max="17" width="24.6640625" style="1" customWidth="1"/>
    <col min="18" max="18" width="14" style="1" customWidth="1"/>
    <col min="19" max="19" width="15.83203125" style="124" customWidth="1"/>
    <col min="20" max="26" width="15.83203125" style="1" customWidth="1"/>
    <col min="27" max="27" width="21" style="1" customWidth="1"/>
    <col min="28" max="28" width="19.1640625" style="1" customWidth="1"/>
    <col min="29" max="29" width="24" style="1" customWidth="1"/>
    <col min="30" max="16384" width="10.83203125" style="1"/>
  </cols>
  <sheetData>
    <row r="1" spans="2:31" ht="20" x14ac:dyDescent="0.2">
      <c r="B1" s="13" t="s">
        <v>50</v>
      </c>
      <c r="C1" s="13"/>
      <c r="D1" s="13"/>
    </row>
    <row r="2" spans="2:31" x14ac:dyDescent="0.2">
      <c r="B2" s="14" t="s">
        <v>27</v>
      </c>
      <c r="C2" s="14"/>
      <c r="D2" s="14"/>
    </row>
    <row r="3" spans="2:31" x14ac:dyDescent="0.2">
      <c r="B3" s="19" t="s">
        <v>44</v>
      </c>
      <c r="C3" s="14"/>
      <c r="D3" s="14"/>
    </row>
    <row r="5" spans="2:31" ht="34" x14ac:dyDescent="0.2">
      <c r="B5" s="38" t="s">
        <v>28</v>
      </c>
      <c r="C5" s="38"/>
      <c r="D5" s="38"/>
      <c r="E5" s="39"/>
      <c r="F5" s="39"/>
      <c r="G5" s="39"/>
      <c r="I5" s="15" t="s">
        <v>136</v>
      </c>
      <c r="J5" s="15"/>
      <c r="Q5" s="115" t="s">
        <v>116</v>
      </c>
      <c r="R5" s="116"/>
      <c r="S5" s="125"/>
      <c r="T5" s="116"/>
      <c r="U5" s="116"/>
      <c r="V5" s="116"/>
      <c r="W5" s="116"/>
      <c r="X5" s="116"/>
      <c r="Z5" s="116"/>
      <c r="AA5" s="116"/>
      <c r="AC5" s="11" t="s">
        <v>154</v>
      </c>
      <c r="AD5" s="152"/>
      <c r="AE5" s="152"/>
    </row>
    <row r="6" spans="2:31" ht="18" customHeight="1" thickBot="1" x14ac:dyDescent="0.25">
      <c r="B6" s="62" t="s">
        <v>14</v>
      </c>
      <c r="C6" s="62" t="s">
        <v>33</v>
      </c>
      <c r="D6" s="62" t="s">
        <v>13</v>
      </c>
      <c r="E6" s="63" t="s">
        <v>29</v>
      </c>
      <c r="F6" s="63" t="s">
        <v>30</v>
      </c>
      <c r="G6" s="63" t="s">
        <v>15</v>
      </c>
      <c r="I6" s="16" t="s">
        <v>14</v>
      </c>
      <c r="J6" s="16" t="s">
        <v>33</v>
      </c>
      <c r="K6" s="16" t="s">
        <v>13</v>
      </c>
      <c r="L6" s="17" t="s">
        <v>29</v>
      </c>
      <c r="M6" s="145" t="s">
        <v>22</v>
      </c>
      <c r="N6" s="18" t="s">
        <v>21</v>
      </c>
      <c r="O6" s="17" t="s">
        <v>15</v>
      </c>
      <c r="Q6" s="122" t="s">
        <v>134</v>
      </c>
      <c r="R6" s="123" t="s">
        <v>24</v>
      </c>
      <c r="S6" s="126" t="s">
        <v>25</v>
      </c>
      <c r="T6" s="122" t="s">
        <v>117</v>
      </c>
      <c r="U6" s="122" t="s">
        <v>135</v>
      </c>
      <c r="V6" s="122" t="s">
        <v>108</v>
      </c>
      <c r="W6" s="122" t="s">
        <v>109</v>
      </c>
      <c r="X6" s="122" t="s">
        <v>110</v>
      </c>
      <c r="Y6" s="122" t="s">
        <v>4</v>
      </c>
      <c r="Z6" s="122" t="s">
        <v>5</v>
      </c>
      <c r="AA6" s="122" t="s">
        <v>6</v>
      </c>
      <c r="AC6" s="153" t="str">
        <f>Q6</f>
        <v>Soil water content (SWC)</v>
      </c>
      <c r="AD6" s="153" t="str">
        <f>R6</f>
        <v>REW</v>
      </c>
      <c r="AE6" s="153" t="s">
        <v>152</v>
      </c>
    </row>
    <row r="7" spans="2:31" ht="18" customHeight="1" x14ac:dyDescent="0.2">
      <c r="B7" s="25" t="s">
        <v>67</v>
      </c>
      <c r="C7" s="26" t="s">
        <v>95</v>
      </c>
      <c r="D7" s="27" t="s">
        <v>149</v>
      </c>
      <c r="E7" s="78" t="s">
        <v>1</v>
      </c>
      <c r="F7" s="28" t="s">
        <v>94</v>
      </c>
      <c r="G7" s="138">
        <v>0.5</v>
      </c>
      <c r="I7" s="71" t="s">
        <v>45</v>
      </c>
      <c r="J7" s="72" t="s">
        <v>45</v>
      </c>
      <c r="K7" s="21" t="s">
        <v>46</v>
      </c>
      <c r="L7" s="77" t="s">
        <v>121</v>
      </c>
      <c r="M7" s="21" t="s">
        <v>88</v>
      </c>
      <c r="N7" s="7" t="s">
        <v>3</v>
      </c>
      <c r="O7" s="146">
        <f>LAI*fRootToLeaf</f>
        <v>6</v>
      </c>
      <c r="Q7" s="121" t="s">
        <v>133</v>
      </c>
      <c r="R7" s="132" t="s">
        <v>3</v>
      </c>
      <c r="S7" s="127" t="s">
        <v>131</v>
      </c>
      <c r="T7" s="120" t="s">
        <v>131</v>
      </c>
      <c r="U7" s="120" t="s">
        <v>131</v>
      </c>
      <c r="V7" s="127" t="s">
        <v>131</v>
      </c>
      <c r="W7" s="120" t="s">
        <v>131</v>
      </c>
      <c r="X7" s="120" t="s">
        <v>131</v>
      </c>
      <c r="Y7" s="120" t="s">
        <v>131</v>
      </c>
      <c r="Z7" s="120" t="s">
        <v>131</v>
      </c>
      <c r="AA7" s="120" t="s">
        <v>131</v>
      </c>
      <c r="AC7" s="154" t="str">
        <f t="shared" ref="AC7:AC67" si="0">Q7</f>
        <v>cm3.cm-3</v>
      </c>
      <c r="AD7" s="154" t="str">
        <f t="shared" ref="AD7:AD67" si="1">R7</f>
        <v>-</v>
      </c>
      <c r="AE7" s="154" t="s">
        <v>153</v>
      </c>
    </row>
    <row r="8" spans="2:31" ht="18" customHeight="1" x14ac:dyDescent="0.2">
      <c r="B8" s="29" t="s">
        <v>68</v>
      </c>
      <c r="C8" s="30" t="s">
        <v>96</v>
      </c>
      <c r="D8" s="31" t="s">
        <v>150</v>
      </c>
      <c r="E8" s="79" t="s">
        <v>1</v>
      </c>
      <c r="F8" s="32" t="s">
        <v>99</v>
      </c>
      <c r="G8" s="138">
        <v>1</v>
      </c>
      <c r="I8" s="73" t="s">
        <v>1</v>
      </c>
      <c r="J8" s="74" t="s">
        <v>23</v>
      </c>
      <c r="K8" s="70" t="s">
        <v>119</v>
      </c>
      <c r="L8" s="92" t="s">
        <v>3</v>
      </c>
      <c r="M8" s="70" t="s">
        <v>120</v>
      </c>
      <c r="N8" s="3" t="s">
        <v>3</v>
      </c>
      <c r="O8" s="147">
        <f>1-(1/n)</f>
        <v>0.35483870967741937</v>
      </c>
      <c r="Q8" s="114">
        <v>0.01</v>
      </c>
      <c r="R8" s="133">
        <f t="shared" ref="R8:R39" si="2">MAX((Q8-rc_vg)/(sc_vg-rc_vg),0)</f>
        <v>0</v>
      </c>
      <c r="S8" s="128">
        <f t="shared" ref="S8:S39" si="3">Bgc_1*Ksat*R8^I*(1-(1-Q8^(1/m))^m)^2</f>
        <v>0</v>
      </c>
      <c r="T8" s="128">
        <f t="shared" ref="T8:T39" si="4">Bgc_2*Ksat*R8^I*(1-(1-Q8^(1/m))^m)^2</f>
        <v>0</v>
      </c>
      <c r="U8" s="128">
        <f t="shared" ref="U8:U39" si="5">Bgc_3*Ksat*R8^I*(1-(1-Q8^(1/m))^m)^2</f>
        <v>0</v>
      </c>
      <c r="V8" s="128">
        <f t="shared" ref="V8:V39" si="6">kroot1</f>
        <v>1.368385593142037</v>
      </c>
      <c r="W8" s="128">
        <f t="shared" ref="W8:W39" si="7">kroot2</f>
        <v>0.29839751798850311</v>
      </c>
      <c r="X8" s="128">
        <f t="shared" ref="X8:X39" si="8">kroot3</f>
        <v>8.3207940750375742E-2</v>
      </c>
      <c r="Y8" s="128" t="e">
        <f t="shared" ref="Y8:Y39" si="9">1/((1/kroot1)+(1/S8))</f>
        <v>#DIV/0!</v>
      </c>
      <c r="Z8" s="128" t="e">
        <f t="shared" ref="Z8:Z39" si="10">1/((1/kroot2)+(1/T8))</f>
        <v>#DIV/0!</v>
      </c>
      <c r="AA8" s="134" t="e">
        <f t="shared" ref="AA8:AA39" si="11">1/((1/kroot3)+(1/U8))</f>
        <v>#DIV/0!</v>
      </c>
      <c r="AC8" s="155">
        <f t="shared" si="0"/>
        <v>0.01</v>
      </c>
      <c r="AD8" s="156">
        <f t="shared" si="1"/>
        <v>0</v>
      </c>
      <c r="AE8" s="157" t="e">
        <f t="shared" ref="AE8:AE35" si="12">(-1 * ((((1 / AD8)^(1 / m)) - 1)^(1 / n)) / alpha / 10000)</f>
        <v>#DIV/0!</v>
      </c>
    </row>
    <row r="9" spans="2:31" ht="18" customHeight="1" x14ac:dyDescent="0.2">
      <c r="B9" s="29" t="s">
        <v>69</v>
      </c>
      <c r="C9" s="30" t="s">
        <v>97</v>
      </c>
      <c r="D9" s="31" t="s">
        <v>151</v>
      </c>
      <c r="E9" s="79" t="s">
        <v>1</v>
      </c>
      <c r="F9" s="88" t="s">
        <v>98</v>
      </c>
      <c r="G9" s="138">
        <v>4</v>
      </c>
      <c r="I9" s="73" t="s">
        <v>79</v>
      </c>
      <c r="J9" s="74"/>
      <c r="K9" s="70" t="s">
        <v>47</v>
      </c>
      <c r="L9" s="94" t="s">
        <v>3</v>
      </c>
      <c r="M9" s="70" t="s">
        <v>89</v>
      </c>
      <c r="N9" s="70" t="s">
        <v>100</v>
      </c>
      <c r="O9" s="147">
        <f>1-beta^(100*depth1)</f>
        <v>0.78193462465259256</v>
      </c>
      <c r="Q9" s="118">
        <v>0.02</v>
      </c>
      <c r="R9" s="117">
        <f t="shared" si="2"/>
        <v>0</v>
      </c>
      <c r="S9" s="129">
        <f t="shared" si="3"/>
        <v>0</v>
      </c>
      <c r="T9" s="129">
        <f t="shared" si="4"/>
        <v>0</v>
      </c>
      <c r="U9" s="129">
        <f t="shared" si="5"/>
        <v>0</v>
      </c>
      <c r="V9" s="129">
        <f t="shared" si="6"/>
        <v>1.368385593142037</v>
      </c>
      <c r="W9" s="129">
        <f t="shared" si="7"/>
        <v>0.29839751798850311</v>
      </c>
      <c r="X9" s="129">
        <f t="shared" si="8"/>
        <v>8.3207940750375742E-2</v>
      </c>
      <c r="Y9" s="129" t="e">
        <f t="shared" si="9"/>
        <v>#DIV/0!</v>
      </c>
      <c r="Z9" s="129" t="e">
        <f t="shared" si="10"/>
        <v>#DIV/0!</v>
      </c>
      <c r="AA9" s="135" t="e">
        <f t="shared" si="11"/>
        <v>#DIV/0!</v>
      </c>
      <c r="AC9" s="158">
        <f t="shared" si="0"/>
        <v>0.02</v>
      </c>
      <c r="AD9" s="159">
        <f t="shared" si="1"/>
        <v>0</v>
      </c>
      <c r="AE9" s="160" t="e">
        <f t="shared" si="12"/>
        <v>#DIV/0!</v>
      </c>
    </row>
    <row r="10" spans="2:31" ht="18" customHeight="1" x14ac:dyDescent="0.2">
      <c r="B10" s="29" t="s">
        <v>60</v>
      </c>
      <c r="C10" s="30" t="s">
        <v>52</v>
      </c>
      <c r="D10" s="31" t="s">
        <v>146</v>
      </c>
      <c r="E10" s="79" t="s">
        <v>2</v>
      </c>
      <c r="F10" s="32" t="s">
        <v>32</v>
      </c>
      <c r="G10" s="138">
        <v>75</v>
      </c>
      <c r="I10" s="73" t="s">
        <v>80</v>
      </c>
      <c r="J10" s="74"/>
      <c r="K10" s="70" t="s">
        <v>48</v>
      </c>
      <c r="L10" s="94" t="s">
        <v>3</v>
      </c>
      <c r="M10" s="70" t="s">
        <v>90</v>
      </c>
      <c r="N10" s="8" t="s">
        <v>58</v>
      </c>
      <c r="O10" s="148">
        <f>1-(beta^(100*depth2))-rootP1</f>
        <v>0.17051286742200178</v>
      </c>
      <c r="Q10" s="118">
        <v>0.03</v>
      </c>
      <c r="R10" s="117">
        <f t="shared" si="2"/>
        <v>0</v>
      </c>
      <c r="S10" s="129">
        <f t="shared" si="3"/>
        <v>0</v>
      </c>
      <c r="T10" s="129">
        <f t="shared" si="4"/>
        <v>0</v>
      </c>
      <c r="U10" s="129">
        <f t="shared" si="5"/>
        <v>0</v>
      </c>
      <c r="V10" s="129">
        <f t="shared" si="6"/>
        <v>1.368385593142037</v>
      </c>
      <c r="W10" s="129">
        <f t="shared" si="7"/>
        <v>0.29839751798850311</v>
      </c>
      <c r="X10" s="129">
        <f t="shared" si="8"/>
        <v>8.3207940750375742E-2</v>
      </c>
      <c r="Y10" s="129" t="e">
        <f t="shared" si="9"/>
        <v>#DIV/0!</v>
      </c>
      <c r="Z10" s="129" t="e">
        <f t="shared" si="10"/>
        <v>#DIV/0!</v>
      </c>
      <c r="AA10" s="135" t="e">
        <f t="shared" si="11"/>
        <v>#DIV/0!</v>
      </c>
      <c r="AC10" s="158">
        <f t="shared" si="0"/>
        <v>0.03</v>
      </c>
      <c r="AD10" s="159">
        <f t="shared" si="1"/>
        <v>0</v>
      </c>
      <c r="AE10" s="160" t="e">
        <f t="shared" si="12"/>
        <v>#DIV/0!</v>
      </c>
    </row>
    <row r="11" spans="2:31" ht="18" customHeight="1" x14ac:dyDescent="0.2">
      <c r="B11" s="29" t="s">
        <v>61</v>
      </c>
      <c r="C11" s="30" t="s">
        <v>53</v>
      </c>
      <c r="D11" s="31" t="s">
        <v>147</v>
      </c>
      <c r="E11" s="79" t="s">
        <v>2</v>
      </c>
      <c r="F11" s="32" t="s">
        <v>32</v>
      </c>
      <c r="G11" s="138">
        <v>85</v>
      </c>
      <c r="I11" s="73" t="s">
        <v>81</v>
      </c>
      <c r="J11" s="74"/>
      <c r="K11" s="70" t="s">
        <v>49</v>
      </c>
      <c r="L11" s="94" t="s">
        <v>3</v>
      </c>
      <c r="M11" s="70" t="s">
        <v>91</v>
      </c>
      <c r="N11" s="8" t="s">
        <v>58</v>
      </c>
      <c r="O11" s="148">
        <f>1-(beta^(100*depth3))-rootP1-rootP2</f>
        <v>4.7547394714500424E-2</v>
      </c>
      <c r="Q11" s="118">
        <v>0.04</v>
      </c>
      <c r="R11" s="117">
        <f t="shared" si="2"/>
        <v>0</v>
      </c>
      <c r="S11" s="129">
        <f t="shared" si="3"/>
        <v>0</v>
      </c>
      <c r="T11" s="129">
        <f t="shared" si="4"/>
        <v>0</v>
      </c>
      <c r="U11" s="129">
        <f t="shared" si="5"/>
        <v>0</v>
      </c>
      <c r="V11" s="129">
        <f t="shared" si="6"/>
        <v>1.368385593142037</v>
      </c>
      <c r="W11" s="129">
        <f t="shared" si="7"/>
        <v>0.29839751798850311</v>
      </c>
      <c r="X11" s="129">
        <f t="shared" si="8"/>
        <v>8.3207940750375742E-2</v>
      </c>
      <c r="Y11" s="129" t="e">
        <f t="shared" si="9"/>
        <v>#DIV/0!</v>
      </c>
      <c r="Z11" s="129" t="e">
        <f t="shared" si="10"/>
        <v>#DIV/0!</v>
      </c>
      <c r="AA11" s="135" t="e">
        <f t="shared" si="11"/>
        <v>#DIV/0!</v>
      </c>
      <c r="AC11" s="158">
        <f t="shared" si="0"/>
        <v>0.04</v>
      </c>
      <c r="AD11" s="159">
        <f t="shared" si="1"/>
        <v>0</v>
      </c>
      <c r="AE11" s="160" t="e">
        <f t="shared" si="12"/>
        <v>#DIV/0!</v>
      </c>
    </row>
    <row r="12" spans="2:31" ht="18" customHeight="1" x14ac:dyDescent="0.2">
      <c r="B12" s="33" t="s">
        <v>62</v>
      </c>
      <c r="C12" s="34" t="s">
        <v>54</v>
      </c>
      <c r="D12" s="35" t="s">
        <v>148</v>
      </c>
      <c r="E12" s="80" t="s">
        <v>2</v>
      </c>
      <c r="F12" s="36" t="s">
        <v>32</v>
      </c>
      <c r="G12" s="138">
        <v>95</v>
      </c>
      <c r="I12" s="73" t="s">
        <v>19</v>
      </c>
      <c r="J12" s="74" t="s">
        <v>3</v>
      </c>
      <c r="K12" s="90" t="s">
        <v>102</v>
      </c>
      <c r="L12" s="94" t="s">
        <v>103</v>
      </c>
      <c r="M12" s="90" t="s">
        <v>83</v>
      </c>
      <c r="N12" s="8"/>
      <c r="O12" s="149">
        <f>RAI/(2*PI()*root_radius)</f>
        <v>4774.6482927568604</v>
      </c>
      <c r="Q12" s="118">
        <v>0.05</v>
      </c>
      <c r="R12" s="117">
        <f t="shared" si="2"/>
        <v>0</v>
      </c>
      <c r="S12" s="129">
        <f t="shared" si="3"/>
        <v>0</v>
      </c>
      <c r="T12" s="129">
        <f t="shared" si="4"/>
        <v>0</v>
      </c>
      <c r="U12" s="129">
        <f t="shared" si="5"/>
        <v>0</v>
      </c>
      <c r="V12" s="129">
        <f t="shared" si="6"/>
        <v>1.368385593142037</v>
      </c>
      <c r="W12" s="129">
        <f t="shared" si="7"/>
        <v>0.29839751798850311</v>
      </c>
      <c r="X12" s="129">
        <f t="shared" si="8"/>
        <v>8.3207940750375742E-2</v>
      </c>
      <c r="Y12" s="129" t="e">
        <f t="shared" si="9"/>
        <v>#DIV/0!</v>
      </c>
      <c r="Z12" s="129" t="e">
        <f t="shared" si="10"/>
        <v>#DIV/0!</v>
      </c>
      <c r="AA12" s="135" t="e">
        <f t="shared" si="11"/>
        <v>#DIV/0!</v>
      </c>
      <c r="AC12" s="158">
        <f t="shared" si="0"/>
        <v>0.05</v>
      </c>
      <c r="AD12" s="159">
        <f t="shared" si="1"/>
        <v>0</v>
      </c>
      <c r="AE12" s="160" t="e">
        <f t="shared" si="12"/>
        <v>#DIV/0!</v>
      </c>
    </row>
    <row r="13" spans="2:31" ht="18" customHeight="1" x14ac:dyDescent="0.2">
      <c r="B13" s="64"/>
      <c r="C13" s="64"/>
      <c r="D13" s="65"/>
      <c r="E13" s="64"/>
      <c r="F13" s="109"/>
      <c r="G13" s="109"/>
      <c r="I13" s="73" t="s">
        <v>70</v>
      </c>
      <c r="J13" s="74" t="s">
        <v>122</v>
      </c>
      <c r="K13" s="90" t="s">
        <v>102</v>
      </c>
      <c r="L13" s="94" t="s">
        <v>103</v>
      </c>
      <c r="M13" s="70" t="s">
        <v>84</v>
      </c>
      <c r="N13" s="8" t="s">
        <v>58</v>
      </c>
      <c r="O13" s="149">
        <f>La*rootP1</f>
        <v>3733.4628206449775</v>
      </c>
      <c r="Q13" s="118">
        <v>0.06</v>
      </c>
      <c r="R13" s="117">
        <f t="shared" si="2"/>
        <v>0</v>
      </c>
      <c r="S13" s="129">
        <f t="shared" si="3"/>
        <v>0</v>
      </c>
      <c r="T13" s="129">
        <f t="shared" si="4"/>
        <v>0</v>
      </c>
      <c r="U13" s="129">
        <f t="shared" si="5"/>
        <v>0</v>
      </c>
      <c r="V13" s="129">
        <f t="shared" si="6"/>
        <v>1.368385593142037</v>
      </c>
      <c r="W13" s="129">
        <f t="shared" si="7"/>
        <v>0.29839751798850311</v>
      </c>
      <c r="X13" s="129">
        <f t="shared" si="8"/>
        <v>8.3207940750375742E-2</v>
      </c>
      <c r="Y13" s="129" t="e">
        <f t="shared" si="9"/>
        <v>#DIV/0!</v>
      </c>
      <c r="Z13" s="129" t="e">
        <f t="shared" si="10"/>
        <v>#DIV/0!</v>
      </c>
      <c r="AA13" s="135" t="e">
        <f t="shared" si="11"/>
        <v>#DIV/0!</v>
      </c>
      <c r="AC13" s="158">
        <f t="shared" si="0"/>
        <v>0.06</v>
      </c>
      <c r="AD13" s="159">
        <f t="shared" si="1"/>
        <v>0</v>
      </c>
      <c r="AE13" s="160" t="e">
        <f t="shared" si="12"/>
        <v>#DIV/0!</v>
      </c>
    </row>
    <row r="14" spans="2:31" ht="18" customHeight="1" x14ac:dyDescent="0.2">
      <c r="B14" s="10" t="s">
        <v>31</v>
      </c>
      <c r="C14" s="37"/>
      <c r="D14" s="38"/>
      <c r="E14" s="97"/>
      <c r="F14" s="110"/>
      <c r="G14" s="113"/>
      <c r="I14" s="73" t="s">
        <v>71</v>
      </c>
      <c r="J14" s="74" t="s">
        <v>123</v>
      </c>
      <c r="K14" s="91" t="s">
        <v>102</v>
      </c>
      <c r="L14" s="94" t="s">
        <v>103</v>
      </c>
      <c r="M14" s="70" t="s">
        <v>85</v>
      </c>
      <c r="N14" s="8" t="s">
        <v>58</v>
      </c>
      <c r="O14" s="149">
        <f>La*rootP2</f>
        <v>814.13897132953764</v>
      </c>
      <c r="Q14" s="118">
        <v>7.0000000000000007E-2</v>
      </c>
      <c r="R14" s="117">
        <f t="shared" si="2"/>
        <v>0</v>
      </c>
      <c r="S14" s="129">
        <f t="shared" si="3"/>
        <v>0</v>
      </c>
      <c r="T14" s="129">
        <f t="shared" si="4"/>
        <v>0</v>
      </c>
      <c r="U14" s="129">
        <f t="shared" si="5"/>
        <v>0</v>
      </c>
      <c r="V14" s="129">
        <f t="shared" si="6"/>
        <v>1.368385593142037</v>
      </c>
      <c r="W14" s="129">
        <f t="shared" si="7"/>
        <v>0.29839751798850311</v>
      </c>
      <c r="X14" s="129">
        <f t="shared" si="8"/>
        <v>8.3207940750375742E-2</v>
      </c>
      <c r="Y14" s="129" t="e">
        <f t="shared" si="9"/>
        <v>#DIV/0!</v>
      </c>
      <c r="Z14" s="129" t="e">
        <f t="shared" si="10"/>
        <v>#DIV/0!</v>
      </c>
      <c r="AA14" s="135" t="e">
        <f t="shared" si="11"/>
        <v>#DIV/0!</v>
      </c>
      <c r="AC14" s="158">
        <f t="shared" si="0"/>
        <v>7.0000000000000007E-2</v>
      </c>
      <c r="AD14" s="159">
        <f t="shared" si="1"/>
        <v>0</v>
      </c>
      <c r="AE14" s="160" t="e">
        <f t="shared" si="12"/>
        <v>#DIV/0!</v>
      </c>
    </row>
    <row r="15" spans="2:31" ht="18" customHeight="1" x14ac:dyDescent="0.2">
      <c r="B15" s="40" t="s">
        <v>14</v>
      </c>
      <c r="C15" s="40" t="s">
        <v>33</v>
      </c>
      <c r="D15" s="40" t="s">
        <v>13</v>
      </c>
      <c r="E15" s="98" t="s">
        <v>29</v>
      </c>
      <c r="F15" s="41" t="s">
        <v>30</v>
      </c>
      <c r="G15" s="41" t="s">
        <v>15</v>
      </c>
      <c r="I15" s="73" t="s">
        <v>72</v>
      </c>
      <c r="J15" s="74" t="s">
        <v>124</v>
      </c>
      <c r="K15" s="90" t="s">
        <v>102</v>
      </c>
      <c r="L15" s="94" t="s">
        <v>103</v>
      </c>
      <c r="M15" s="70" t="s">
        <v>86</v>
      </c>
      <c r="N15" s="8" t="s">
        <v>58</v>
      </c>
      <c r="O15" s="149">
        <f>La*rootP3</f>
        <v>227.02208699862601</v>
      </c>
      <c r="Q15" s="118">
        <v>0.08</v>
      </c>
      <c r="R15" s="117">
        <f t="shared" si="2"/>
        <v>0</v>
      </c>
      <c r="S15" s="129">
        <f t="shared" si="3"/>
        <v>0</v>
      </c>
      <c r="T15" s="129">
        <f t="shared" si="4"/>
        <v>0</v>
      </c>
      <c r="U15" s="129">
        <f t="shared" si="5"/>
        <v>0</v>
      </c>
      <c r="V15" s="129">
        <f t="shared" si="6"/>
        <v>1.368385593142037</v>
      </c>
      <c r="W15" s="129">
        <f t="shared" si="7"/>
        <v>0.29839751798850311</v>
      </c>
      <c r="X15" s="129">
        <f t="shared" si="8"/>
        <v>8.3207940750375742E-2</v>
      </c>
      <c r="Y15" s="129" t="e">
        <f t="shared" si="9"/>
        <v>#DIV/0!</v>
      </c>
      <c r="Z15" s="129" t="e">
        <f t="shared" si="10"/>
        <v>#DIV/0!</v>
      </c>
      <c r="AA15" s="135" t="e">
        <f t="shared" si="11"/>
        <v>#DIV/0!</v>
      </c>
      <c r="AC15" s="158">
        <f t="shared" si="0"/>
        <v>0.08</v>
      </c>
      <c r="AD15" s="159">
        <f t="shared" si="1"/>
        <v>0</v>
      </c>
      <c r="AE15" s="160" t="e">
        <f t="shared" si="12"/>
        <v>#DIV/0!</v>
      </c>
    </row>
    <row r="16" spans="2:31" ht="18" customHeight="1" x14ac:dyDescent="0.2">
      <c r="B16" s="42" t="s">
        <v>38</v>
      </c>
      <c r="C16" s="43" t="s">
        <v>7</v>
      </c>
      <c r="D16" s="44" t="s">
        <v>40</v>
      </c>
      <c r="E16" s="81" t="s">
        <v>63</v>
      </c>
      <c r="F16" s="45"/>
      <c r="G16" s="139">
        <v>1E-3</v>
      </c>
      <c r="I16" s="73" t="s">
        <v>73</v>
      </c>
      <c r="J16" s="74" t="s">
        <v>125</v>
      </c>
      <c r="K16" s="70" t="s">
        <v>101</v>
      </c>
      <c r="L16" s="94" t="s">
        <v>104</v>
      </c>
      <c r="M16" s="70" t="s">
        <v>87</v>
      </c>
      <c r="N16" s="8"/>
      <c r="O16" s="149">
        <f>La_1/(depth1*(1-(RFC_1/100)))</f>
        <v>29867.70256515982</v>
      </c>
      <c r="Q16" s="118">
        <v>0.09</v>
      </c>
      <c r="R16" s="117">
        <f t="shared" si="2"/>
        <v>0</v>
      </c>
      <c r="S16" s="129">
        <f t="shared" si="3"/>
        <v>0</v>
      </c>
      <c r="T16" s="129">
        <f t="shared" si="4"/>
        <v>0</v>
      </c>
      <c r="U16" s="129">
        <f t="shared" si="5"/>
        <v>0</v>
      </c>
      <c r="V16" s="129">
        <f t="shared" si="6"/>
        <v>1.368385593142037</v>
      </c>
      <c r="W16" s="129">
        <f t="shared" si="7"/>
        <v>0.29839751798850311</v>
      </c>
      <c r="X16" s="129">
        <f t="shared" si="8"/>
        <v>8.3207940750375742E-2</v>
      </c>
      <c r="Y16" s="129" t="e">
        <f t="shared" si="9"/>
        <v>#DIV/0!</v>
      </c>
      <c r="Z16" s="129" t="e">
        <f t="shared" si="10"/>
        <v>#DIV/0!</v>
      </c>
      <c r="AA16" s="135" t="e">
        <f t="shared" si="11"/>
        <v>#DIV/0!</v>
      </c>
      <c r="AC16" s="158">
        <f t="shared" si="0"/>
        <v>0.09</v>
      </c>
      <c r="AD16" s="159">
        <f t="shared" si="1"/>
        <v>0</v>
      </c>
      <c r="AE16" s="160" t="e">
        <f t="shared" si="12"/>
        <v>#DIV/0!</v>
      </c>
    </row>
    <row r="17" spans="1:31" ht="18" customHeight="1" x14ac:dyDescent="0.2">
      <c r="B17" s="46" t="s">
        <v>37</v>
      </c>
      <c r="C17" s="47" t="s">
        <v>10</v>
      </c>
      <c r="D17" s="48" t="s">
        <v>40</v>
      </c>
      <c r="E17" s="82" t="s">
        <v>3</v>
      </c>
      <c r="F17" s="49"/>
      <c r="G17" s="139">
        <v>1.55</v>
      </c>
      <c r="I17" s="73" t="s">
        <v>74</v>
      </c>
      <c r="J17" s="74" t="s">
        <v>126</v>
      </c>
      <c r="K17" s="70" t="s">
        <v>101</v>
      </c>
      <c r="L17" s="94" t="s">
        <v>104</v>
      </c>
      <c r="M17" s="70" t="s">
        <v>92</v>
      </c>
      <c r="N17" s="8" t="s">
        <v>58</v>
      </c>
      <c r="O17" s="149">
        <f>La_2/((depth2-depth1)*(1-(RFC_2/100)))</f>
        <v>10855.186284393834</v>
      </c>
      <c r="Q17" s="118">
        <v>0.1</v>
      </c>
      <c r="R17" s="117">
        <f t="shared" si="2"/>
        <v>1.2345679012345689E-2</v>
      </c>
      <c r="S17" s="129">
        <f t="shared" si="3"/>
        <v>4.5925888793794001E-4</v>
      </c>
      <c r="T17" s="129">
        <f t="shared" si="4"/>
        <v>8.4783936930846957E-5</v>
      </c>
      <c r="U17" s="129">
        <f t="shared" si="5"/>
        <v>1.8205099893128233E-5</v>
      </c>
      <c r="V17" s="129">
        <f t="shared" si="6"/>
        <v>1.368385593142037</v>
      </c>
      <c r="W17" s="129">
        <f t="shared" si="7"/>
        <v>0.29839751798850311</v>
      </c>
      <c r="X17" s="129">
        <f t="shared" si="8"/>
        <v>8.3207940750375742E-2</v>
      </c>
      <c r="Y17" s="129">
        <f t="shared" si="9"/>
        <v>4.5910480274279379E-4</v>
      </c>
      <c r="Z17" s="129">
        <f t="shared" si="10"/>
        <v>8.475985404246421E-5</v>
      </c>
      <c r="AA17" s="135">
        <f t="shared" si="11"/>
        <v>1.8201117663040167E-5</v>
      </c>
      <c r="AC17" s="158">
        <f t="shared" si="0"/>
        <v>0.1</v>
      </c>
      <c r="AD17" s="159">
        <f t="shared" si="1"/>
        <v>1.2345679012345689E-2</v>
      </c>
      <c r="AE17" s="160">
        <f t="shared" si="12"/>
        <v>-295.10161713880905</v>
      </c>
    </row>
    <row r="18" spans="1:31" ht="18" customHeight="1" x14ac:dyDescent="0.2">
      <c r="B18" s="46" t="s">
        <v>36</v>
      </c>
      <c r="C18" s="47" t="s">
        <v>8</v>
      </c>
      <c r="D18" s="48" t="s">
        <v>41</v>
      </c>
      <c r="E18" s="82" t="s">
        <v>3</v>
      </c>
      <c r="F18" s="49"/>
      <c r="G18" s="139">
        <v>0.5</v>
      </c>
      <c r="I18" s="73" t="s">
        <v>75</v>
      </c>
      <c r="J18" s="74" t="s">
        <v>127</v>
      </c>
      <c r="K18" s="70" t="s">
        <v>101</v>
      </c>
      <c r="L18" s="94" t="s">
        <v>104</v>
      </c>
      <c r="M18" s="70" t="s">
        <v>93</v>
      </c>
      <c r="N18" s="8" t="s">
        <v>58</v>
      </c>
      <c r="O18" s="149">
        <f>La_3/((depth3-depth2)*(1-(RFC_3/100)))</f>
        <v>1513.4805799908388</v>
      </c>
      <c r="Q18" s="118">
        <v>0.11</v>
      </c>
      <c r="R18" s="117">
        <f t="shared" si="2"/>
        <v>3.7037037037037035E-2</v>
      </c>
      <c r="S18" s="129">
        <f t="shared" si="3"/>
        <v>1.3616134230305676E-3</v>
      </c>
      <c r="T18" s="129">
        <f t="shared" si="4"/>
        <v>2.5136790950471092E-4</v>
      </c>
      <c r="U18" s="129">
        <f t="shared" si="5"/>
        <v>5.3974586084538481E-5</v>
      </c>
      <c r="V18" s="129">
        <f t="shared" si="6"/>
        <v>1.368385593142037</v>
      </c>
      <c r="W18" s="129">
        <f t="shared" si="7"/>
        <v>0.29839751798850311</v>
      </c>
      <c r="X18" s="129">
        <f t="shared" si="8"/>
        <v>8.3207940750375742E-2</v>
      </c>
      <c r="Y18" s="129">
        <f t="shared" si="9"/>
        <v>1.3602598950913313E-3</v>
      </c>
      <c r="Z18" s="129">
        <f t="shared" si="10"/>
        <v>2.511563372239747E-4</v>
      </c>
      <c r="AA18" s="135">
        <f t="shared" si="11"/>
        <v>5.3939597027041723E-5</v>
      </c>
      <c r="AC18" s="158">
        <f t="shared" si="0"/>
        <v>0.11</v>
      </c>
      <c r="AD18" s="159">
        <f t="shared" si="1"/>
        <v>3.7037037037037035E-2</v>
      </c>
      <c r="AE18" s="160">
        <f t="shared" si="12"/>
        <v>-40.03627388240605</v>
      </c>
    </row>
    <row r="19" spans="1:31" ht="18" customHeight="1" x14ac:dyDescent="0.2">
      <c r="B19" s="46" t="s">
        <v>9</v>
      </c>
      <c r="C19" s="47" t="s">
        <v>9</v>
      </c>
      <c r="D19" s="48" t="s">
        <v>42</v>
      </c>
      <c r="E19" s="82" t="s">
        <v>64</v>
      </c>
      <c r="F19" s="49"/>
      <c r="G19" s="139">
        <v>1.69</v>
      </c>
      <c r="I19" s="73" t="s">
        <v>76</v>
      </c>
      <c r="J19" s="74"/>
      <c r="K19" s="70"/>
      <c r="L19" s="8"/>
      <c r="M19" s="90" t="s">
        <v>105</v>
      </c>
      <c r="N19" s="8"/>
      <c r="O19" s="149">
        <f>2*PI()*La_1/LN((1/SQRT(PI()*Lv_1))/root_radius)</f>
        <v>8400.1862183303838</v>
      </c>
      <c r="Q19" s="118">
        <v>0.12</v>
      </c>
      <c r="R19" s="117">
        <f t="shared" si="2"/>
        <v>6.1728395061728378E-2</v>
      </c>
      <c r="S19" s="129">
        <f t="shared" si="3"/>
        <v>2.8715960862765442E-3</v>
      </c>
      <c r="T19" s="129">
        <f t="shared" si="4"/>
        <v>5.3012631407720761E-4</v>
      </c>
      <c r="U19" s="129">
        <f t="shared" si="5"/>
        <v>1.1383055391286166E-4</v>
      </c>
      <c r="V19" s="129">
        <f t="shared" si="6"/>
        <v>1.368385593142037</v>
      </c>
      <c r="W19" s="129">
        <f t="shared" si="7"/>
        <v>0.29839751798850311</v>
      </c>
      <c r="X19" s="129">
        <f t="shared" si="8"/>
        <v>8.3207940750375742E-2</v>
      </c>
      <c r="Y19" s="129">
        <f t="shared" si="9"/>
        <v>2.8655825797312406E-3</v>
      </c>
      <c r="Z19" s="129">
        <f t="shared" si="10"/>
        <v>5.2918617383178876E-4</v>
      </c>
      <c r="AA19" s="135">
        <f t="shared" si="11"/>
        <v>1.1367504359663485E-4</v>
      </c>
      <c r="AC19" s="158">
        <f t="shared" si="0"/>
        <v>0.12</v>
      </c>
      <c r="AD19" s="159">
        <f t="shared" si="1"/>
        <v>6.1728395061728378E-2</v>
      </c>
      <c r="AE19" s="160">
        <f t="shared" si="12"/>
        <v>-15.812802138851525</v>
      </c>
    </row>
    <row r="20" spans="1:31" ht="18" customHeight="1" x14ac:dyDescent="0.2">
      <c r="B20" s="46" t="s">
        <v>34</v>
      </c>
      <c r="C20" s="47" t="s">
        <v>11</v>
      </c>
      <c r="D20" s="48" t="s">
        <v>16</v>
      </c>
      <c r="E20" s="82" t="s">
        <v>132</v>
      </c>
      <c r="F20" s="49" t="s">
        <v>142</v>
      </c>
      <c r="G20" s="139">
        <v>0.5</v>
      </c>
      <c r="I20" s="73" t="s">
        <v>77</v>
      </c>
      <c r="J20" s="74"/>
      <c r="K20" s="3"/>
      <c r="L20" s="8"/>
      <c r="M20" s="90" t="s">
        <v>107</v>
      </c>
      <c r="N20" s="8" t="s">
        <v>58</v>
      </c>
      <c r="O20" s="149">
        <f>2*PI()*La_2/LN((1/SQRT(PI()*Lv_2))/root_radius)</f>
        <v>1550.7611877476247</v>
      </c>
      <c r="Q20" s="118">
        <v>0.13</v>
      </c>
      <c r="R20" s="117">
        <f t="shared" si="2"/>
        <v>8.6419753086419762E-2</v>
      </c>
      <c r="S20" s="129">
        <f t="shared" si="3"/>
        <v>5.3370317102745014E-3</v>
      </c>
      <c r="T20" s="129">
        <f t="shared" si="4"/>
        <v>9.8527120934671923E-4</v>
      </c>
      <c r="U20" s="129">
        <f t="shared" si="5"/>
        <v>2.1156083849480076E-4</v>
      </c>
      <c r="V20" s="129">
        <f t="shared" si="6"/>
        <v>1.368385593142037</v>
      </c>
      <c r="W20" s="129">
        <f t="shared" si="7"/>
        <v>0.29839751798850311</v>
      </c>
      <c r="X20" s="129">
        <f t="shared" si="8"/>
        <v>8.3207940750375742E-2</v>
      </c>
      <c r="Y20" s="129">
        <f t="shared" si="9"/>
        <v>5.316296878539792E-3</v>
      </c>
      <c r="Z20" s="129">
        <f t="shared" si="10"/>
        <v>9.8202867373347116E-4</v>
      </c>
      <c r="AA20" s="135">
        <f t="shared" si="11"/>
        <v>2.1102429742787839E-4</v>
      </c>
      <c r="AC20" s="158">
        <f t="shared" si="0"/>
        <v>0.13</v>
      </c>
      <c r="AD20" s="159">
        <f t="shared" si="1"/>
        <v>8.6419753086419762E-2</v>
      </c>
      <c r="AE20" s="160">
        <f t="shared" si="12"/>
        <v>-8.573309019436488</v>
      </c>
    </row>
    <row r="21" spans="1:31" ht="18" customHeight="1" thickBot="1" x14ac:dyDescent="0.25">
      <c r="B21" s="50" t="s">
        <v>35</v>
      </c>
      <c r="C21" s="51" t="s">
        <v>12</v>
      </c>
      <c r="D21" s="52" t="s">
        <v>17</v>
      </c>
      <c r="E21" s="83" t="s">
        <v>26</v>
      </c>
      <c r="F21" s="53" t="s">
        <v>141</v>
      </c>
      <c r="G21" s="140">
        <v>9.5000000000000001E-2</v>
      </c>
      <c r="I21" s="73" t="s">
        <v>78</v>
      </c>
      <c r="J21" s="74"/>
      <c r="K21" s="70"/>
      <c r="L21" s="8"/>
      <c r="M21" s="90" t="s">
        <v>106</v>
      </c>
      <c r="N21" s="8" t="s">
        <v>58</v>
      </c>
      <c r="O21" s="149">
        <f>2*PI()*La_3/LN((1/SQRT(PI()*Lv_3))/root_radius)</f>
        <v>332.98480060389988</v>
      </c>
      <c r="Q21" s="118">
        <v>0.14000000000000001</v>
      </c>
      <c r="R21" s="117">
        <f t="shared" si="2"/>
        <v>0.11111111111111113</v>
      </c>
      <c r="S21" s="129">
        <f t="shared" si="3"/>
        <v>9.1935735207933876E-3</v>
      </c>
      <c r="T21" s="129">
        <f t="shared" si="4"/>
        <v>1.6972286830546463E-3</v>
      </c>
      <c r="U21" s="129">
        <f t="shared" si="5"/>
        <v>3.6443480728777771E-4</v>
      </c>
      <c r="V21" s="129">
        <f t="shared" si="6"/>
        <v>1.368385593142037</v>
      </c>
      <c r="W21" s="129">
        <f t="shared" si="7"/>
        <v>0.29839751798850311</v>
      </c>
      <c r="X21" s="129">
        <f t="shared" si="8"/>
        <v>8.3207940750375742E-2</v>
      </c>
      <c r="Y21" s="129">
        <f t="shared" si="9"/>
        <v>9.1322182127808633E-3</v>
      </c>
      <c r="Z21" s="129">
        <f t="shared" si="10"/>
        <v>1.6876297639314931E-3</v>
      </c>
      <c r="AA21" s="135">
        <f t="shared" si="11"/>
        <v>3.6284561315662317E-4</v>
      </c>
      <c r="AC21" s="158">
        <f t="shared" si="0"/>
        <v>0.14000000000000001</v>
      </c>
      <c r="AD21" s="159">
        <f t="shared" si="1"/>
        <v>0.11111111111111113</v>
      </c>
      <c r="AE21" s="160">
        <f t="shared" si="12"/>
        <v>-5.4251618951836793</v>
      </c>
    </row>
    <row r="22" spans="1:31" ht="18" customHeight="1" x14ac:dyDescent="0.2">
      <c r="B22" s="39"/>
      <c r="C22" s="39"/>
      <c r="D22" s="39"/>
      <c r="E22" s="39"/>
      <c r="F22" s="110"/>
      <c r="G22" s="110"/>
      <c r="I22" s="73" t="s">
        <v>108</v>
      </c>
      <c r="J22" s="74" t="s">
        <v>128</v>
      </c>
      <c r="K22" s="70" t="s">
        <v>112</v>
      </c>
      <c r="L22" s="95" t="s">
        <v>115</v>
      </c>
      <c r="M22" s="5"/>
      <c r="N22" s="3"/>
      <c r="O22" s="147">
        <f>KRootTotal*rootP1</f>
        <v>1.368385593142037</v>
      </c>
      <c r="Q22" s="118">
        <v>0.15</v>
      </c>
      <c r="R22" s="117">
        <f t="shared" si="2"/>
        <v>0.13580246913580243</v>
      </c>
      <c r="S22" s="129">
        <f t="shared" si="3"/>
        <v>1.5003057720066113E-2</v>
      </c>
      <c r="T22" s="129">
        <f t="shared" si="4"/>
        <v>2.7697195044373989E-3</v>
      </c>
      <c r="U22" s="129">
        <f t="shared" si="5"/>
        <v>5.9472374225032069E-4</v>
      </c>
      <c r="V22" s="129">
        <f t="shared" si="6"/>
        <v>1.368385593142037</v>
      </c>
      <c r="W22" s="129">
        <f t="shared" si="7"/>
        <v>0.29839751798850311</v>
      </c>
      <c r="X22" s="129">
        <f t="shared" si="8"/>
        <v>8.3207940750375742E-2</v>
      </c>
      <c r="Y22" s="129">
        <f t="shared" si="9"/>
        <v>1.4840347305453874E-2</v>
      </c>
      <c r="Z22" s="129">
        <f t="shared" si="10"/>
        <v>2.7442474570888195E-3</v>
      </c>
      <c r="AA22" s="135">
        <f t="shared" si="11"/>
        <v>5.9050315652386866E-4</v>
      </c>
      <c r="AC22" s="158">
        <f t="shared" si="0"/>
        <v>0.15</v>
      </c>
      <c r="AD22" s="159">
        <f t="shared" si="1"/>
        <v>0.13580246913580243</v>
      </c>
      <c r="AE22" s="160">
        <f t="shared" si="12"/>
        <v>-3.7628840854179857</v>
      </c>
    </row>
    <row r="23" spans="1:31" ht="18" customHeight="1" x14ac:dyDescent="0.2">
      <c r="B23" s="11" t="s">
        <v>39</v>
      </c>
      <c r="C23" s="54"/>
      <c r="D23" s="54"/>
      <c r="E23" s="55"/>
      <c r="F23" s="111"/>
      <c r="G23" s="111"/>
      <c r="I23" s="73" t="s">
        <v>109</v>
      </c>
      <c r="J23" s="74" t="s">
        <v>129</v>
      </c>
      <c r="K23" s="70" t="s">
        <v>111</v>
      </c>
      <c r="L23" s="94" t="s">
        <v>115</v>
      </c>
      <c r="M23" s="5"/>
      <c r="N23" s="3"/>
      <c r="O23" s="147">
        <f>KRootTotal*rootP2</f>
        <v>0.29839751798850311</v>
      </c>
      <c r="Q23" s="118">
        <v>0.16</v>
      </c>
      <c r="R23" s="117">
        <f t="shared" si="2"/>
        <v>0.16049382716049382</v>
      </c>
      <c r="S23" s="129">
        <f t="shared" si="3"/>
        <v>2.3480243747916522E-2</v>
      </c>
      <c r="T23" s="129">
        <f t="shared" si="4"/>
        <v>4.3346956527780455E-3</v>
      </c>
      <c r="U23" s="129">
        <f t="shared" si="5"/>
        <v>9.3076082830994232E-4</v>
      </c>
      <c r="V23" s="129">
        <f t="shared" si="6"/>
        <v>1.368385593142037</v>
      </c>
      <c r="W23" s="129">
        <f t="shared" si="7"/>
        <v>0.29839751798850311</v>
      </c>
      <c r="X23" s="129">
        <f t="shared" si="8"/>
        <v>8.3207940750375742E-2</v>
      </c>
      <c r="Y23" s="129">
        <f t="shared" si="9"/>
        <v>2.3084141026052558E-2</v>
      </c>
      <c r="Z23" s="129">
        <f t="shared" si="10"/>
        <v>4.2726289629593092E-3</v>
      </c>
      <c r="AA23" s="135">
        <f t="shared" si="11"/>
        <v>9.2046454724948354E-4</v>
      </c>
      <c r="AC23" s="158">
        <f t="shared" si="0"/>
        <v>0.16</v>
      </c>
      <c r="AD23" s="159">
        <f t="shared" si="1"/>
        <v>0.16049382716049382</v>
      </c>
      <c r="AE23" s="160">
        <f t="shared" si="12"/>
        <v>-2.7733271364219005</v>
      </c>
    </row>
    <row r="24" spans="1:31" ht="18" customHeight="1" thickBot="1" x14ac:dyDescent="0.25">
      <c r="B24" s="56" t="s">
        <v>14</v>
      </c>
      <c r="C24" s="56" t="s">
        <v>33</v>
      </c>
      <c r="D24" s="56" t="s">
        <v>13</v>
      </c>
      <c r="E24" s="57" t="s">
        <v>29</v>
      </c>
      <c r="F24" s="57" t="s">
        <v>30</v>
      </c>
      <c r="G24" s="57" t="s">
        <v>15</v>
      </c>
      <c r="I24" s="75" t="s">
        <v>110</v>
      </c>
      <c r="J24" s="76" t="s">
        <v>130</v>
      </c>
      <c r="K24" s="22" t="s">
        <v>113</v>
      </c>
      <c r="L24" s="96" t="s">
        <v>115</v>
      </c>
      <c r="M24" s="6"/>
      <c r="N24" s="4"/>
      <c r="O24" s="150">
        <f>KRootTotal*rootP3</f>
        <v>8.3207940750375742E-2</v>
      </c>
      <c r="Q24" s="118">
        <v>0.17</v>
      </c>
      <c r="R24" s="117">
        <f t="shared" si="2"/>
        <v>0.1851851851851852</v>
      </c>
      <c r="S24" s="129">
        <f t="shared" si="3"/>
        <v>3.5520236959888214E-2</v>
      </c>
      <c r="T24" s="129">
        <f t="shared" si="4"/>
        <v>6.5574028271889514E-3</v>
      </c>
      <c r="U24" s="129">
        <f t="shared" si="5"/>
        <v>1.4080281929562412E-3</v>
      </c>
      <c r="V24" s="129">
        <f t="shared" si="6"/>
        <v>1.368385593142037</v>
      </c>
      <c r="W24" s="129">
        <f t="shared" si="7"/>
        <v>0.29839751798850311</v>
      </c>
      <c r="X24" s="129">
        <f t="shared" si="8"/>
        <v>8.3207940750375742E-2</v>
      </c>
      <c r="Y24" s="129">
        <f t="shared" si="9"/>
        <v>3.4621539051072632E-2</v>
      </c>
      <c r="Z24" s="129">
        <f t="shared" si="10"/>
        <v>6.4163999152732796E-3</v>
      </c>
      <c r="AA24" s="135">
        <f t="shared" si="11"/>
        <v>1.3845982964849576E-3</v>
      </c>
      <c r="AC24" s="158">
        <f t="shared" si="0"/>
        <v>0.17</v>
      </c>
      <c r="AD24" s="159">
        <f t="shared" si="1"/>
        <v>0.1851851851851852</v>
      </c>
      <c r="AE24" s="160">
        <f t="shared" si="12"/>
        <v>-2.1340109821626103</v>
      </c>
    </row>
    <row r="25" spans="1:31" ht="18" customHeight="1" x14ac:dyDescent="0.2">
      <c r="B25" s="58" t="s">
        <v>59</v>
      </c>
      <c r="C25" s="59" t="s">
        <v>43</v>
      </c>
      <c r="D25" s="60" t="s">
        <v>18</v>
      </c>
      <c r="E25" s="100" t="s">
        <v>1</v>
      </c>
      <c r="F25" s="61"/>
      <c r="G25" s="141">
        <v>2.0000000000000001E-4</v>
      </c>
      <c r="Q25" s="118">
        <v>0.18</v>
      </c>
      <c r="R25" s="117">
        <f t="shared" si="2"/>
        <v>0.2098765432098765</v>
      </c>
      <c r="S25" s="129">
        <f t="shared" si="3"/>
        <v>5.2228000126832846E-2</v>
      </c>
      <c r="T25" s="129">
        <f t="shared" si="4"/>
        <v>9.6418285744227887E-3</v>
      </c>
      <c r="U25" s="129">
        <f t="shared" si="5"/>
        <v>2.0703267470694882E-3</v>
      </c>
      <c r="V25" s="129">
        <f t="shared" si="6"/>
        <v>1.368385593142037</v>
      </c>
      <c r="W25" s="129">
        <f t="shared" si="7"/>
        <v>0.29839751798850311</v>
      </c>
      <c r="X25" s="129">
        <f t="shared" si="8"/>
        <v>8.3207940750375742E-2</v>
      </c>
      <c r="Y25" s="129">
        <f t="shared" si="9"/>
        <v>5.0307869269171697E-2</v>
      </c>
      <c r="Z25" s="129">
        <f t="shared" si="10"/>
        <v>9.3400331729721342E-3</v>
      </c>
      <c r="AA25" s="135">
        <f t="shared" si="11"/>
        <v>2.0200647874235593E-3</v>
      </c>
      <c r="AC25" s="158">
        <f t="shared" si="0"/>
        <v>0.18</v>
      </c>
      <c r="AD25" s="159">
        <f t="shared" si="1"/>
        <v>0.2098765432098765</v>
      </c>
      <c r="AE25" s="160">
        <f t="shared" si="12"/>
        <v>-1.695629994580736</v>
      </c>
    </row>
    <row r="26" spans="1:31" ht="18" customHeight="1" x14ac:dyDescent="0.2">
      <c r="B26" s="69" t="s">
        <v>51</v>
      </c>
      <c r="C26" s="66" t="s">
        <v>3</v>
      </c>
      <c r="D26" s="67" t="s">
        <v>145</v>
      </c>
      <c r="E26" s="101" t="s">
        <v>114</v>
      </c>
      <c r="F26" s="68" t="s">
        <v>55</v>
      </c>
      <c r="G26" s="142">
        <v>1.75</v>
      </c>
      <c r="Q26" s="118">
        <v>0.19</v>
      </c>
      <c r="R26" s="117">
        <f t="shared" si="2"/>
        <v>0.23456790123456789</v>
      </c>
      <c r="S26" s="129">
        <f t="shared" si="3"/>
        <v>7.4950331077162757E-2</v>
      </c>
      <c r="T26" s="129">
        <f t="shared" si="4"/>
        <v>1.383660569210577E-2</v>
      </c>
      <c r="U26" s="129">
        <f t="shared" si="5"/>
        <v>2.971043784060995E-3</v>
      </c>
      <c r="V26" s="129">
        <f t="shared" si="6"/>
        <v>1.368385593142037</v>
      </c>
      <c r="W26" s="129">
        <f t="shared" si="7"/>
        <v>0.29839751798850311</v>
      </c>
      <c r="X26" s="129">
        <f t="shared" si="8"/>
        <v>8.3207940750375742E-2</v>
      </c>
      <c r="Y26" s="129">
        <f t="shared" si="9"/>
        <v>7.1058269614329539E-2</v>
      </c>
      <c r="Z26" s="129">
        <f t="shared" si="10"/>
        <v>1.3223438704391598E-2</v>
      </c>
      <c r="AA26" s="135">
        <f t="shared" si="11"/>
        <v>2.8686162465993508E-3</v>
      </c>
      <c r="AC26" s="158">
        <f t="shared" si="0"/>
        <v>0.19</v>
      </c>
      <c r="AD26" s="159">
        <f t="shared" si="1"/>
        <v>0.23456790123456789</v>
      </c>
      <c r="AE26" s="160">
        <f t="shared" si="12"/>
        <v>-1.3810808706842324</v>
      </c>
    </row>
    <row r="27" spans="1:31" x14ac:dyDescent="0.2">
      <c r="B27" s="102" t="s">
        <v>56</v>
      </c>
      <c r="C27" s="103" t="s">
        <v>56</v>
      </c>
      <c r="D27" s="104" t="s">
        <v>118</v>
      </c>
      <c r="E27" s="105" t="s">
        <v>3</v>
      </c>
      <c r="F27" s="112" t="s">
        <v>55</v>
      </c>
      <c r="G27" s="143">
        <v>1</v>
      </c>
      <c r="Q27" s="118">
        <v>0.2</v>
      </c>
      <c r="R27" s="117">
        <f t="shared" si="2"/>
        <v>0.25925925925925924</v>
      </c>
      <c r="S27" s="129">
        <f t="shared" si="3"/>
        <v>0.10531049791441752</v>
      </c>
      <c r="T27" s="129">
        <f t="shared" si="4"/>
        <v>1.9441406247838581E-2</v>
      </c>
      <c r="U27" s="129">
        <f t="shared" si="5"/>
        <v>4.1745259257478205E-3</v>
      </c>
      <c r="V27" s="129">
        <f t="shared" si="6"/>
        <v>1.368385593142037</v>
      </c>
      <c r="W27" s="129">
        <f t="shared" si="7"/>
        <v>0.29839751798850311</v>
      </c>
      <c r="X27" s="129">
        <f t="shared" si="8"/>
        <v>8.3207940750375742E-2</v>
      </c>
      <c r="Y27" s="129">
        <f t="shared" si="9"/>
        <v>9.778499721024439E-2</v>
      </c>
      <c r="Z27" s="129">
        <f t="shared" si="10"/>
        <v>1.8252224407377643E-2</v>
      </c>
      <c r="AA27" s="135">
        <f t="shared" si="11"/>
        <v>3.9750961388852991E-3</v>
      </c>
      <c r="AC27" s="158">
        <f t="shared" si="0"/>
        <v>0.2</v>
      </c>
      <c r="AD27" s="159">
        <f t="shared" si="1"/>
        <v>0.25925925925925924</v>
      </c>
      <c r="AE27" s="160">
        <f t="shared" si="12"/>
        <v>-1.1471658159994846</v>
      </c>
    </row>
    <row r="28" spans="1:31" x14ac:dyDescent="0.2">
      <c r="B28" s="102" t="s">
        <v>0</v>
      </c>
      <c r="C28" s="103" t="s">
        <v>0</v>
      </c>
      <c r="D28" s="104" t="s">
        <v>20</v>
      </c>
      <c r="E28" s="106" t="s">
        <v>143</v>
      </c>
      <c r="F28" s="112" t="s">
        <v>57</v>
      </c>
      <c r="G28" s="143">
        <v>6</v>
      </c>
      <c r="Q28" s="118">
        <v>0.21</v>
      </c>
      <c r="R28" s="117">
        <f t="shared" si="2"/>
        <v>0.2839506172839506</v>
      </c>
      <c r="S28" s="129">
        <f t="shared" si="3"/>
        <v>0.14524568383104364</v>
      </c>
      <c r="T28" s="129">
        <f t="shared" si="4"/>
        <v>2.6813854278794076E-2</v>
      </c>
      <c r="U28" s="129">
        <f t="shared" si="5"/>
        <v>5.7575634410959604E-3</v>
      </c>
      <c r="V28" s="129">
        <f t="shared" si="6"/>
        <v>1.368385593142037</v>
      </c>
      <c r="W28" s="129">
        <f t="shared" si="7"/>
        <v>0.29839751798850311</v>
      </c>
      <c r="X28" s="129">
        <f t="shared" si="8"/>
        <v>8.3207940750375742E-2</v>
      </c>
      <c r="Y28" s="129">
        <f t="shared" si="9"/>
        <v>0.13130813576865469</v>
      </c>
      <c r="Z28" s="129">
        <f t="shared" si="10"/>
        <v>2.4603037429826512E-2</v>
      </c>
      <c r="AA28" s="135">
        <f t="shared" si="11"/>
        <v>5.3849523141258904E-3</v>
      </c>
      <c r="AC28" s="158">
        <f t="shared" si="0"/>
        <v>0.21</v>
      </c>
      <c r="AD28" s="159">
        <f t="shared" si="1"/>
        <v>0.2839506172839506</v>
      </c>
      <c r="AE28" s="160">
        <f t="shared" si="12"/>
        <v>-0.968101443057651</v>
      </c>
    </row>
    <row r="29" spans="1:31" x14ac:dyDescent="0.2">
      <c r="A29" s="3"/>
      <c r="B29" s="107" t="s">
        <v>82</v>
      </c>
      <c r="C29" s="24" t="s">
        <v>65</v>
      </c>
      <c r="D29" s="23" t="s">
        <v>144</v>
      </c>
      <c r="E29" s="108" t="s">
        <v>3</v>
      </c>
      <c r="F29" s="108" t="s">
        <v>66</v>
      </c>
      <c r="G29" s="144">
        <v>0.97</v>
      </c>
      <c r="I29" s="15" t="s">
        <v>137</v>
      </c>
      <c r="J29" s="15"/>
      <c r="Q29" s="118">
        <v>0.22</v>
      </c>
      <c r="R29" s="117">
        <f t="shared" si="2"/>
        <v>0.30864197530864196</v>
      </c>
      <c r="S29" s="129">
        <f t="shared" si="3"/>
        <v>0.19704739054208348</v>
      </c>
      <c r="T29" s="129">
        <f t="shared" si="4"/>
        <v>3.6376984683126112E-2</v>
      </c>
      <c r="U29" s="129">
        <f t="shared" si="5"/>
        <v>7.8109918451564767E-3</v>
      </c>
      <c r="V29" s="129">
        <f t="shared" si="6"/>
        <v>1.368385593142037</v>
      </c>
      <c r="W29" s="129">
        <f t="shared" si="7"/>
        <v>0.29839751798850311</v>
      </c>
      <c r="X29" s="129">
        <f t="shared" si="8"/>
        <v>8.3207940750375742E-2</v>
      </c>
      <c r="Y29" s="129">
        <f t="shared" si="9"/>
        <v>0.17224423734157626</v>
      </c>
      <c r="Z29" s="129">
        <f t="shared" si="10"/>
        <v>3.242421945137737E-2</v>
      </c>
      <c r="AA29" s="135">
        <f t="shared" si="11"/>
        <v>7.1406742324876607E-3</v>
      </c>
      <c r="AC29" s="158">
        <f t="shared" si="0"/>
        <v>0.22</v>
      </c>
      <c r="AD29" s="159">
        <f t="shared" si="1"/>
        <v>0.30864197530864196</v>
      </c>
      <c r="AE29" s="160">
        <f t="shared" si="12"/>
        <v>-0.82769874290523227</v>
      </c>
    </row>
    <row r="30" spans="1:31" ht="17" thickBot="1" x14ac:dyDescent="0.25">
      <c r="A30" s="3"/>
      <c r="B30" s="3"/>
      <c r="C30" s="3"/>
      <c r="D30" s="3"/>
      <c r="E30" s="3"/>
      <c r="F30" s="3"/>
      <c r="G30" s="3"/>
      <c r="I30" s="16" t="s">
        <v>14</v>
      </c>
      <c r="J30" s="16" t="s">
        <v>33</v>
      </c>
      <c r="K30" s="16" t="s">
        <v>13</v>
      </c>
      <c r="L30" s="17" t="s">
        <v>29</v>
      </c>
      <c r="M30" s="84" t="s">
        <v>22</v>
      </c>
      <c r="N30" s="18" t="s">
        <v>21</v>
      </c>
      <c r="O30" s="17" t="s">
        <v>15</v>
      </c>
      <c r="Q30" s="118">
        <v>0.23</v>
      </c>
      <c r="R30" s="117">
        <f t="shared" si="2"/>
        <v>0.33333333333333331</v>
      </c>
      <c r="S30" s="129">
        <f t="shared" si="3"/>
        <v>0.26340495830866423</v>
      </c>
      <c r="T30" s="129">
        <f t="shared" si="4"/>
        <v>4.8627277466063906E-2</v>
      </c>
      <c r="U30" s="129">
        <f t="shared" si="5"/>
        <v>1.0441417040147742E-2</v>
      </c>
      <c r="V30" s="129">
        <f t="shared" si="6"/>
        <v>1.368385593142037</v>
      </c>
      <c r="W30" s="129">
        <f t="shared" si="7"/>
        <v>0.29839751798850311</v>
      </c>
      <c r="X30" s="129">
        <f t="shared" si="8"/>
        <v>8.3207940750375742E-2</v>
      </c>
      <c r="Y30" s="129">
        <f t="shared" si="9"/>
        <v>0.22088591565340021</v>
      </c>
      <c r="Z30" s="129">
        <f t="shared" si="10"/>
        <v>4.1813320236684465E-2</v>
      </c>
      <c r="AA30" s="135">
        <f t="shared" si="11"/>
        <v>9.2772532660602303E-3</v>
      </c>
      <c r="AC30" s="158">
        <f t="shared" si="0"/>
        <v>0.23</v>
      </c>
      <c r="AD30" s="159">
        <f t="shared" si="1"/>
        <v>0.33333333333333331</v>
      </c>
      <c r="AE30" s="160">
        <f t="shared" si="12"/>
        <v>-0.71536206370457789</v>
      </c>
    </row>
    <row r="31" spans="1:31" ht="17" thickBot="1" x14ac:dyDescent="0.25">
      <c r="A31" s="3"/>
      <c r="B31" s="3"/>
      <c r="C31" s="3"/>
      <c r="D31" s="3"/>
      <c r="E31" s="3"/>
      <c r="F31" s="3"/>
      <c r="G31" s="3"/>
      <c r="I31" s="85" t="s">
        <v>139</v>
      </c>
      <c r="J31" s="86" t="s">
        <v>3</v>
      </c>
      <c r="K31" s="87" t="s">
        <v>140</v>
      </c>
      <c r="L31" s="93" t="s">
        <v>138</v>
      </c>
      <c r="M31" s="87" t="s">
        <v>3</v>
      </c>
      <c r="N31" s="89" t="s">
        <v>3</v>
      </c>
      <c r="O31" s="151">
        <f>1000*(sc_vg-rc_vg)*((depth1*(1-RFC_1/100)+(depth2-depth1)*(1-RFC_2/100))+((depth3-depth2)*(1-RFC_3/100)))</f>
        <v>141.75000000000006</v>
      </c>
      <c r="Q31" s="118">
        <v>0.24</v>
      </c>
      <c r="R31" s="117">
        <f t="shared" si="2"/>
        <v>0.35802469135802462</v>
      </c>
      <c r="S31" s="129">
        <f t="shared" si="3"/>
        <v>0.34745237470956025</v>
      </c>
      <c r="T31" s="129">
        <f t="shared" si="4"/>
        <v>6.4143299122888395E-2</v>
      </c>
      <c r="U31" s="129">
        <f t="shared" si="5"/>
        <v>1.3773070823066846E-2</v>
      </c>
      <c r="V31" s="129">
        <f t="shared" si="6"/>
        <v>1.368385593142037</v>
      </c>
      <c r="W31" s="129">
        <f t="shared" si="7"/>
        <v>0.29839751798850311</v>
      </c>
      <c r="X31" s="129">
        <f t="shared" si="8"/>
        <v>8.3207940750375742E-2</v>
      </c>
      <c r="Y31" s="129">
        <f t="shared" si="9"/>
        <v>0.27709424360789786</v>
      </c>
      <c r="Z31" s="129">
        <f t="shared" si="10"/>
        <v>5.279461056652044E-2</v>
      </c>
      <c r="AA31" s="135">
        <f t="shared" si="11"/>
        <v>1.1817043794481364E-2</v>
      </c>
      <c r="AC31" s="158">
        <f t="shared" si="0"/>
        <v>0.24</v>
      </c>
      <c r="AD31" s="159">
        <f t="shared" si="1"/>
        <v>0.35802469135802462</v>
      </c>
      <c r="AE31" s="160">
        <f t="shared" si="12"/>
        <v>-0.62391201418098852</v>
      </c>
    </row>
    <row r="32" spans="1:31" x14ac:dyDescent="0.2">
      <c r="A32" s="3"/>
      <c r="B32" s="3"/>
      <c r="C32" s="3"/>
      <c r="D32" s="3"/>
      <c r="E32" s="3"/>
      <c r="F32" s="3"/>
      <c r="G32" s="3"/>
      <c r="Q32" s="118">
        <v>0.25</v>
      </c>
      <c r="R32" s="117">
        <f t="shared" si="2"/>
        <v>0.38271604938271603</v>
      </c>
      <c r="S32" s="129">
        <f t="shared" si="3"/>
        <v>0.45281856168104484</v>
      </c>
      <c r="T32" s="129">
        <f t="shared" si="4"/>
        <v>8.3594986146180897E-2</v>
      </c>
      <c r="U32" s="129">
        <f t="shared" si="5"/>
        <v>1.7949804272443467E-2</v>
      </c>
      <c r="V32" s="129">
        <f t="shared" si="6"/>
        <v>1.368385593142037</v>
      </c>
      <c r="W32" s="129">
        <f t="shared" si="7"/>
        <v>0.29839751798850311</v>
      </c>
      <c r="X32" s="129">
        <f t="shared" si="8"/>
        <v>8.3207940750375742E-2</v>
      </c>
      <c r="Y32" s="129">
        <f t="shared" si="9"/>
        <v>0.34023115666120018</v>
      </c>
      <c r="Z32" s="129">
        <f t="shared" si="10"/>
        <v>6.5301114844674199E-2</v>
      </c>
      <c r="AA32" s="135">
        <f t="shared" si="11"/>
        <v>1.4764724639180103E-2</v>
      </c>
      <c r="AC32" s="158">
        <f t="shared" si="0"/>
        <v>0.25</v>
      </c>
      <c r="AD32" s="159">
        <f t="shared" si="1"/>
        <v>0.38271604938271603</v>
      </c>
      <c r="AE32" s="160">
        <f t="shared" si="12"/>
        <v>-0.54833885676102501</v>
      </c>
    </row>
    <row r="33" spans="1:31" x14ac:dyDescent="0.2">
      <c r="A33" s="3"/>
      <c r="B33" s="9"/>
      <c r="C33" s="3"/>
      <c r="D33" s="3"/>
      <c r="E33" s="3"/>
      <c r="F33" s="3"/>
      <c r="G33" s="3"/>
      <c r="H33" s="3"/>
      <c r="I33" s="74"/>
      <c r="J33" s="74"/>
      <c r="K33" s="70"/>
      <c r="L33" s="92"/>
      <c r="M33" s="70"/>
      <c r="N33" s="3"/>
      <c r="O33" s="137"/>
      <c r="Q33" s="118">
        <v>0.26</v>
      </c>
      <c r="R33" s="117">
        <f t="shared" si="2"/>
        <v>0.40740740740740738</v>
      </c>
      <c r="S33" s="129">
        <f t="shared" si="3"/>
        <v>0.58368135024671663</v>
      </c>
      <c r="T33" s="129">
        <f t="shared" si="4"/>
        <v>0.10775360931875183</v>
      </c>
      <c r="U33" s="129">
        <f t="shared" si="5"/>
        <v>2.313722731574732E-2</v>
      </c>
      <c r="V33" s="129">
        <f t="shared" si="6"/>
        <v>1.368385593142037</v>
      </c>
      <c r="W33" s="129">
        <f t="shared" si="7"/>
        <v>0.29839751798850311</v>
      </c>
      <c r="X33" s="129">
        <f t="shared" si="8"/>
        <v>8.3207940750375742E-2</v>
      </c>
      <c r="Y33" s="129">
        <f t="shared" si="9"/>
        <v>0.409156639513995</v>
      </c>
      <c r="Z33" s="129">
        <f t="shared" si="10"/>
        <v>7.9166121704973627E-2</v>
      </c>
      <c r="AA33" s="135">
        <f t="shared" si="11"/>
        <v>1.8103324059064261E-2</v>
      </c>
      <c r="AC33" s="158">
        <f t="shared" si="0"/>
        <v>0.26</v>
      </c>
      <c r="AD33" s="159">
        <f t="shared" si="1"/>
        <v>0.40740740740740738</v>
      </c>
      <c r="AE33" s="160">
        <f t="shared" si="12"/>
        <v>-0.48505736422050805</v>
      </c>
    </row>
    <row r="34" spans="1:31" x14ac:dyDescent="0.2">
      <c r="A34" s="3"/>
      <c r="B34" s="9"/>
      <c r="C34" s="9"/>
      <c r="D34" s="9"/>
      <c r="E34" s="3"/>
      <c r="F34" s="2"/>
      <c r="G34" s="2"/>
      <c r="Q34" s="118">
        <v>0.27</v>
      </c>
      <c r="R34" s="117">
        <f t="shared" si="2"/>
        <v>0.4320987654320988</v>
      </c>
      <c r="S34" s="129">
        <f t="shared" si="3"/>
        <v>0.74482537467739096</v>
      </c>
      <c r="T34" s="129">
        <f t="shared" si="4"/>
        <v>0.13750246157386459</v>
      </c>
      <c r="U34" s="129">
        <f t="shared" si="5"/>
        <v>2.9525003663665384E-2</v>
      </c>
      <c r="V34" s="129">
        <f t="shared" si="6"/>
        <v>1.368385593142037</v>
      </c>
      <c r="W34" s="129">
        <f t="shared" si="7"/>
        <v>0.29839751798850311</v>
      </c>
      <c r="X34" s="129">
        <f t="shared" si="8"/>
        <v>8.3207940750375742E-2</v>
      </c>
      <c r="Y34" s="129">
        <f t="shared" si="9"/>
        <v>0.48230315270739788</v>
      </c>
      <c r="Z34" s="129">
        <f t="shared" si="10"/>
        <v>9.4127999941968729E-2</v>
      </c>
      <c r="AA34" s="135">
        <f t="shared" si="11"/>
        <v>2.1792340901502321E-2</v>
      </c>
      <c r="AC34" s="158">
        <f t="shared" si="0"/>
        <v>0.27</v>
      </c>
      <c r="AD34" s="159">
        <f t="shared" si="1"/>
        <v>0.4320987654320988</v>
      </c>
      <c r="AE34" s="160">
        <f t="shared" si="12"/>
        <v>-0.43144475917474873</v>
      </c>
    </row>
    <row r="35" spans="1:31" x14ac:dyDescent="0.2">
      <c r="A35" s="3"/>
      <c r="B35" s="9"/>
      <c r="C35" s="9"/>
      <c r="D35" s="9"/>
      <c r="E35" s="3"/>
      <c r="F35" s="2"/>
      <c r="G35" s="2"/>
      <c r="Q35" s="118">
        <v>0.28000000000000003</v>
      </c>
      <c r="R35" s="117">
        <f t="shared" si="2"/>
        <v>0.45679012345679015</v>
      </c>
      <c r="S35" s="129">
        <f t="shared" si="3"/>
        <v>0.94170414265257341</v>
      </c>
      <c r="T35" s="129">
        <f t="shared" si="4"/>
        <v>0.17384831678850846</v>
      </c>
      <c r="U35" s="129">
        <f t="shared" si="5"/>
        <v>3.7329311281787181E-2</v>
      </c>
      <c r="V35" s="129">
        <f t="shared" si="6"/>
        <v>1.368385593142037</v>
      </c>
      <c r="W35" s="129">
        <f t="shared" si="7"/>
        <v>0.29839751798850311</v>
      </c>
      <c r="X35" s="129">
        <f t="shared" si="8"/>
        <v>8.3207940750375742E-2</v>
      </c>
      <c r="Y35" s="129">
        <f t="shared" si="9"/>
        <v>0.55782005427798043</v>
      </c>
      <c r="Z35" s="129">
        <f t="shared" si="10"/>
        <v>0.10984936746062583</v>
      </c>
      <c r="AA35" s="135">
        <f t="shared" si="11"/>
        <v>2.5768756704014472E-2</v>
      </c>
      <c r="AC35" s="158">
        <f t="shared" si="0"/>
        <v>0.28000000000000003</v>
      </c>
      <c r="AD35" s="159">
        <f t="shared" si="1"/>
        <v>0.45679012345679015</v>
      </c>
      <c r="AE35" s="160">
        <f t="shared" si="12"/>
        <v>-0.38554494183855909</v>
      </c>
    </row>
    <row r="36" spans="1:31" x14ac:dyDescent="0.2">
      <c r="A36" s="3"/>
      <c r="B36" s="9"/>
      <c r="C36" s="9"/>
      <c r="D36" s="9"/>
      <c r="E36" s="2"/>
      <c r="F36" s="2"/>
      <c r="G36" s="2"/>
      <c r="Q36" s="118">
        <v>0.28999999999999998</v>
      </c>
      <c r="R36" s="117">
        <f t="shared" si="2"/>
        <v>0.4814814814814814</v>
      </c>
      <c r="S36" s="129">
        <f t="shared" si="3"/>
        <v>1.1805065655457774</v>
      </c>
      <c r="T36" s="129">
        <f t="shared" si="4"/>
        <v>0.21793371196162661</v>
      </c>
      <c r="U36" s="129">
        <f t="shared" si="5"/>
        <v>4.679547966235275E-2</v>
      </c>
      <c r="V36" s="129">
        <f t="shared" si="6"/>
        <v>1.368385593142037</v>
      </c>
      <c r="W36" s="129">
        <f t="shared" si="7"/>
        <v>0.29839751798850311</v>
      </c>
      <c r="X36" s="129">
        <f t="shared" si="8"/>
        <v>8.3207940750375742E-2</v>
      </c>
      <c r="Y36" s="129">
        <f t="shared" si="9"/>
        <v>0.63376089545272862</v>
      </c>
      <c r="Z36" s="129">
        <f t="shared" si="10"/>
        <v>0.1259479864149449</v>
      </c>
      <c r="AA36" s="135">
        <f t="shared" si="11"/>
        <v>2.9951177336478972E-2</v>
      </c>
      <c r="AC36" s="158">
        <f t="shared" si="0"/>
        <v>0.28999999999999998</v>
      </c>
      <c r="AD36" s="159">
        <f t="shared" si="1"/>
        <v>0.4814814814814814</v>
      </c>
      <c r="AE36" s="160">
        <f>MAX(0,(-1*((((1/AD36)^(1/m))-1)^(1/n))/alpha/10000))</f>
        <v>0</v>
      </c>
    </row>
    <row r="37" spans="1:31" x14ac:dyDescent="0.2">
      <c r="A37" s="3"/>
      <c r="B37" s="9"/>
      <c r="C37" s="9"/>
      <c r="D37" s="9"/>
      <c r="E37" s="2"/>
      <c r="F37" s="2"/>
      <c r="G37" s="2"/>
      <c r="Q37" s="118">
        <v>0.3</v>
      </c>
      <c r="R37" s="117">
        <f t="shared" si="2"/>
        <v>0.50617283950617276</v>
      </c>
      <c r="S37" s="129">
        <f t="shared" si="3"/>
        <v>1.4682282635072366</v>
      </c>
      <c r="T37" s="129">
        <f t="shared" si="4"/>
        <v>0.27105011086928787</v>
      </c>
      <c r="U37" s="129">
        <f t="shared" si="5"/>
        <v>5.8200816369775706E-2</v>
      </c>
      <c r="V37" s="129">
        <f t="shared" si="6"/>
        <v>1.368385593142037</v>
      </c>
      <c r="W37" s="129">
        <f t="shared" si="7"/>
        <v>0.29839751798850311</v>
      </c>
      <c r="X37" s="129">
        <f t="shared" si="8"/>
        <v>8.3207940750375742E-2</v>
      </c>
      <c r="Y37" s="129">
        <f t="shared" si="9"/>
        <v>0.70827490266880677</v>
      </c>
      <c r="Z37" s="129">
        <f t="shared" si="10"/>
        <v>0.14203357119272955</v>
      </c>
      <c r="AA37" s="135">
        <f t="shared" si="11"/>
        <v>3.4246606636992194E-2</v>
      </c>
      <c r="AC37" s="158">
        <f t="shared" si="0"/>
        <v>0.3</v>
      </c>
      <c r="AD37" s="159">
        <f t="shared" si="1"/>
        <v>0.50617283950617276</v>
      </c>
      <c r="AE37" s="160">
        <f t="shared" ref="AE37:AE67" si="13">(-1 * ((((1 / AD37)^(1 / m)) - 1)^(1 / n)) / alpha / 10000)</f>
        <v>-0.3112880463053686</v>
      </c>
    </row>
    <row r="38" spans="1:31" x14ac:dyDescent="0.2">
      <c r="A38" s="3"/>
      <c r="B38" s="9"/>
      <c r="C38" s="9"/>
      <c r="D38" s="9"/>
      <c r="E38" s="2"/>
      <c r="F38" s="2"/>
      <c r="G38" s="2"/>
      <c r="Q38" s="118">
        <v>0.31</v>
      </c>
      <c r="R38" s="117">
        <f t="shared" si="2"/>
        <v>0.53086419753086411</v>
      </c>
      <c r="S38" s="129">
        <f t="shared" si="3"/>
        <v>1.812747993913171</v>
      </c>
      <c r="T38" s="129">
        <f t="shared" si="4"/>
        <v>0.33465201354627272</v>
      </c>
      <c r="U38" s="129">
        <f t="shared" si="5"/>
        <v>7.1857636677282052E-2</v>
      </c>
      <c r="V38" s="129">
        <f t="shared" si="6"/>
        <v>1.368385593142037</v>
      </c>
      <c r="W38" s="129">
        <f t="shared" si="7"/>
        <v>0.29839751798850311</v>
      </c>
      <c r="X38" s="129">
        <f t="shared" si="8"/>
        <v>8.3207940750375742E-2</v>
      </c>
      <c r="Y38" s="129">
        <f t="shared" si="9"/>
        <v>0.77976550527831168</v>
      </c>
      <c r="Z38" s="129">
        <f t="shared" si="10"/>
        <v>0.15774331273883432</v>
      </c>
      <c r="AA38" s="135">
        <f t="shared" si="11"/>
        <v>3.8558692872341267E-2</v>
      </c>
      <c r="AC38" s="158">
        <f t="shared" si="0"/>
        <v>0.31</v>
      </c>
      <c r="AD38" s="159">
        <f t="shared" si="1"/>
        <v>0.53086419753086411</v>
      </c>
      <c r="AE38" s="160">
        <f t="shared" si="13"/>
        <v>-0.28089442929918113</v>
      </c>
    </row>
    <row r="39" spans="1:31" x14ac:dyDescent="0.2">
      <c r="A39" s="3"/>
      <c r="B39" s="9"/>
      <c r="C39" s="9"/>
      <c r="D39" s="9"/>
      <c r="E39" s="2"/>
      <c r="F39" s="2"/>
      <c r="G39" s="2"/>
      <c r="Q39" s="118">
        <v>0.32</v>
      </c>
      <c r="R39" s="117">
        <f t="shared" si="2"/>
        <v>0.55555555555555558</v>
      </c>
      <c r="S39" s="129">
        <f t="shared" si="3"/>
        <v>2.2229095893939594</v>
      </c>
      <c r="T39" s="129">
        <f t="shared" si="4"/>
        <v>0.41037208289286298</v>
      </c>
      <c r="U39" s="129">
        <f t="shared" si="5"/>
        <v>8.8116511604187417E-2</v>
      </c>
      <c r="V39" s="129">
        <f t="shared" si="6"/>
        <v>1.368385593142037</v>
      </c>
      <c r="W39" s="129">
        <f t="shared" si="7"/>
        <v>0.29839751798850311</v>
      </c>
      <c r="X39" s="129">
        <f t="shared" si="8"/>
        <v>8.3207940750375742E-2</v>
      </c>
      <c r="Y39" s="129">
        <f t="shared" si="9"/>
        <v>0.84699176825559819</v>
      </c>
      <c r="Z39" s="129">
        <f t="shared" si="10"/>
        <v>0.17276984062906914</v>
      </c>
      <c r="AA39" s="135">
        <f t="shared" si="11"/>
        <v>4.2795954552460234E-2</v>
      </c>
      <c r="AC39" s="158">
        <f t="shared" si="0"/>
        <v>0.32</v>
      </c>
      <c r="AD39" s="159">
        <f t="shared" si="1"/>
        <v>0.55555555555555558</v>
      </c>
      <c r="AE39" s="160">
        <f t="shared" si="13"/>
        <v>-0.25398636654803403</v>
      </c>
    </row>
    <row r="40" spans="1:31" x14ac:dyDescent="0.2">
      <c r="A40" s="3"/>
      <c r="B40" s="9"/>
      <c r="C40" s="9"/>
      <c r="D40" s="9"/>
      <c r="E40" s="2"/>
      <c r="F40" s="2"/>
      <c r="G40" s="2"/>
      <c r="Q40" s="118">
        <v>0.33</v>
      </c>
      <c r="R40" s="117">
        <f t="shared" ref="R40:R66" si="14">MAX((Q40-rc_vg)/(sc_vg-rc_vg),0)</f>
        <v>0.58024691358024694</v>
      </c>
      <c r="S40" s="129">
        <f t="shared" ref="S40:S67" si="15">Bgc_1*Ksat*R40^I*(1-(1-Q40^(1/m))^m)^2</f>
        <v>2.7086098335157511</v>
      </c>
      <c r="T40" s="129">
        <f t="shared" ref="T40:T67" si="16">Bgc_2*Ksat*R40^I*(1-(1-Q40^(1/m))^m)^2</f>
        <v>0.5000373674338201</v>
      </c>
      <c r="U40" s="129">
        <f t="shared" ref="U40:U67" si="17">Bgc_3*Ksat*R40^I*(1-(1-Q40^(1/m))^m)^2</f>
        <v>0.10736975132275949</v>
      </c>
      <c r="V40" s="129">
        <f t="shared" ref="V40:V67" si="18">kroot1</f>
        <v>1.368385593142037</v>
      </c>
      <c r="W40" s="129">
        <f t="shared" ref="W40:W67" si="19">kroot2</f>
        <v>0.29839751798850311</v>
      </c>
      <c r="X40" s="129">
        <f t="shared" ref="X40:X67" si="20">kroot3</f>
        <v>8.3207940750375742E-2</v>
      </c>
      <c r="Y40" s="129">
        <f t="shared" ref="Y40:Y67" si="21">1/((1/kroot1)+(1/S40))</f>
        <v>0.90910640943844057</v>
      </c>
      <c r="Z40" s="129">
        <f t="shared" ref="Z40:Z67" si="22">1/((1/kroot2)+(1/T40))</f>
        <v>0.18687799351957696</v>
      </c>
      <c r="AA40" s="135">
        <f t="shared" ref="AA40:AA67" si="23">1/((1/kroot3)+(1/U40))</f>
        <v>4.6878602680413779E-2</v>
      </c>
      <c r="AC40" s="158">
        <f t="shared" si="0"/>
        <v>0.33</v>
      </c>
      <c r="AD40" s="159">
        <f t="shared" si="1"/>
        <v>0.58024691358024694</v>
      </c>
      <c r="AE40" s="160">
        <f t="shared" si="13"/>
        <v>-0.22999826025010989</v>
      </c>
    </row>
    <row r="41" spans="1:31" x14ac:dyDescent="0.2">
      <c r="A41" s="3"/>
      <c r="B41" s="12"/>
      <c r="C41" s="9"/>
      <c r="D41" s="9"/>
      <c r="E41" s="2"/>
      <c r="F41" s="2"/>
      <c r="G41" s="2"/>
      <c r="Q41" s="118">
        <v>0.34</v>
      </c>
      <c r="R41" s="117">
        <f t="shared" si="14"/>
        <v>0.60493827160493829</v>
      </c>
      <c r="S41" s="129">
        <f t="shared" si="15"/>
        <v>3.2808927488128257</v>
      </c>
      <c r="T41" s="129">
        <f t="shared" si="16"/>
        <v>0.60568670786358014</v>
      </c>
      <c r="U41" s="129">
        <f t="shared" si="17"/>
        <v>0.13005514275174745</v>
      </c>
      <c r="V41" s="129">
        <f t="shared" si="18"/>
        <v>1.368385593142037</v>
      </c>
      <c r="W41" s="129">
        <f t="shared" si="19"/>
        <v>0.29839751798850311</v>
      </c>
      <c r="X41" s="129">
        <f t="shared" si="20"/>
        <v>8.3207940750375742E-2</v>
      </c>
      <c r="Y41" s="129">
        <f t="shared" si="21"/>
        <v>0.96563940463757103</v>
      </c>
      <c r="Z41" s="129">
        <f t="shared" si="22"/>
        <v>0.1999099255766574</v>
      </c>
      <c r="AA41" s="135">
        <f t="shared" si="23"/>
        <v>5.0743056110136957E-2</v>
      </c>
      <c r="AC41" s="158">
        <f t="shared" si="0"/>
        <v>0.34</v>
      </c>
      <c r="AD41" s="159">
        <f t="shared" si="1"/>
        <v>0.60493827160493829</v>
      </c>
      <c r="AE41" s="160">
        <f t="shared" si="13"/>
        <v>-0.20847238432764578</v>
      </c>
    </row>
    <row r="42" spans="1:31" x14ac:dyDescent="0.2">
      <c r="A42" s="99"/>
      <c r="B42" s="12"/>
      <c r="C42" s="12"/>
      <c r="D42" s="12"/>
      <c r="E42" s="3"/>
      <c r="F42" s="12"/>
      <c r="G42" s="12"/>
      <c r="Q42" s="118">
        <v>0.35</v>
      </c>
      <c r="R42" s="117">
        <f t="shared" si="14"/>
        <v>0.62962962962962965</v>
      </c>
      <c r="S42" s="129">
        <f t="shared" si="15"/>
        <v>3.9520508238798979</v>
      </c>
      <c r="T42" s="129">
        <f t="shared" si="16"/>
        <v>0.72958942461362519</v>
      </c>
      <c r="U42" s="129">
        <f t="shared" si="17"/>
        <v>0.15665996221541953</v>
      </c>
      <c r="V42" s="129">
        <f t="shared" si="18"/>
        <v>1.368385593142037</v>
      </c>
      <c r="W42" s="129">
        <f t="shared" si="19"/>
        <v>0.29839751798850311</v>
      </c>
      <c r="X42" s="129">
        <f t="shared" si="20"/>
        <v>8.3207940750375742E-2</v>
      </c>
      <c r="Y42" s="129">
        <f t="shared" si="21"/>
        <v>1.0164447024421746</v>
      </c>
      <c r="Z42" s="129">
        <f t="shared" si="22"/>
        <v>0.2117805824500899</v>
      </c>
      <c r="AA42" s="135">
        <f t="shared" si="23"/>
        <v>5.4343881331365744E-2</v>
      </c>
      <c r="AC42" s="158">
        <f t="shared" si="0"/>
        <v>0.35</v>
      </c>
      <c r="AD42" s="159">
        <f t="shared" si="1"/>
        <v>0.62962962962962965</v>
      </c>
      <c r="AE42" s="160">
        <f t="shared" si="13"/>
        <v>-0.18903439682681863</v>
      </c>
    </row>
    <row r="43" spans="1:31" x14ac:dyDescent="0.2">
      <c r="A43" s="99"/>
      <c r="B43" s="12"/>
      <c r="C43" s="12"/>
      <c r="D43" s="12"/>
      <c r="E43" s="3"/>
      <c r="F43" s="12"/>
      <c r="G43" s="12"/>
      <c r="Q43" s="118">
        <v>0.36</v>
      </c>
      <c r="R43" s="117">
        <f t="shared" si="14"/>
        <v>0.65432098765432101</v>
      </c>
      <c r="S43" s="129">
        <f t="shared" si="15"/>
        <v>4.7357337643565272</v>
      </c>
      <c r="T43" s="129">
        <f t="shared" si="16"/>
        <v>0.87426539440809503</v>
      </c>
      <c r="U43" s="129">
        <f t="shared" si="17"/>
        <v>0.18772528635095465</v>
      </c>
      <c r="V43" s="129">
        <f t="shared" si="18"/>
        <v>1.368385593142037</v>
      </c>
      <c r="W43" s="129">
        <f t="shared" si="19"/>
        <v>0.29839751798850311</v>
      </c>
      <c r="X43" s="129">
        <f t="shared" si="20"/>
        <v>8.3207940750375742E-2</v>
      </c>
      <c r="Y43" s="129">
        <f t="shared" si="21"/>
        <v>1.0616289552302225</v>
      </c>
      <c r="Z43" s="129">
        <f t="shared" si="22"/>
        <v>0.22246684959231097</v>
      </c>
      <c r="AA43" s="135">
        <f t="shared" si="23"/>
        <v>5.7653447202308299E-2</v>
      </c>
      <c r="AC43" s="158">
        <f t="shared" si="0"/>
        <v>0.36</v>
      </c>
      <c r="AD43" s="159">
        <f t="shared" si="1"/>
        <v>0.65432098765432101</v>
      </c>
      <c r="AE43" s="160">
        <f t="shared" si="13"/>
        <v>-0.17137497238380819</v>
      </c>
    </row>
    <row r="44" spans="1:31" x14ac:dyDescent="0.2">
      <c r="A44" s="99"/>
      <c r="B44" s="12"/>
      <c r="C44" s="12"/>
      <c r="D44" s="12"/>
      <c r="E44" s="3"/>
      <c r="F44" s="12"/>
      <c r="G44" s="12"/>
      <c r="Q44" s="118">
        <v>0.37</v>
      </c>
      <c r="R44" s="117">
        <f t="shared" si="14"/>
        <v>0.67901234567901236</v>
      </c>
      <c r="S44" s="129">
        <f t="shared" si="15"/>
        <v>5.6470654177066297</v>
      </c>
      <c r="T44" s="129">
        <f t="shared" si="16"/>
        <v>1.0425066357864452</v>
      </c>
      <c r="U44" s="129">
        <f t="shared" si="17"/>
        <v>0.22385062702645242</v>
      </c>
      <c r="V44" s="129">
        <f t="shared" si="18"/>
        <v>1.368385593142037</v>
      </c>
      <c r="W44" s="129">
        <f t="shared" si="19"/>
        <v>0.29839751798850311</v>
      </c>
      <c r="X44" s="129">
        <f t="shared" si="20"/>
        <v>8.3207940750375742E-2</v>
      </c>
      <c r="Y44" s="129">
        <f t="shared" si="21"/>
        <v>1.1014777167099887</v>
      </c>
      <c r="Z44" s="129">
        <f t="shared" si="22"/>
        <v>0.23199375714472595</v>
      </c>
      <c r="AA44" s="135">
        <f t="shared" si="23"/>
        <v>6.0659925060580294E-2</v>
      </c>
      <c r="AC44" s="158">
        <f t="shared" si="0"/>
        <v>0.37</v>
      </c>
      <c r="AD44" s="159">
        <f t="shared" si="1"/>
        <v>0.67901234567901236</v>
      </c>
      <c r="AE44" s="160">
        <f t="shared" si="13"/>
        <v>-0.15523581232288602</v>
      </c>
    </row>
    <row r="45" spans="1:31" x14ac:dyDescent="0.2">
      <c r="A45" s="99"/>
      <c r="B45" s="12"/>
      <c r="C45" s="12"/>
      <c r="D45" s="12"/>
      <c r="E45" s="3"/>
      <c r="F45" s="12"/>
      <c r="G45" s="12"/>
      <c r="Q45" s="118">
        <v>0.38</v>
      </c>
      <c r="R45" s="117">
        <f t="shared" si="14"/>
        <v>0.70370370370370372</v>
      </c>
      <c r="S45" s="129">
        <f t="shared" si="15"/>
        <v>6.7027695946832884</v>
      </c>
      <c r="T45" s="129">
        <f t="shared" si="16"/>
        <v>1.2374005370461543</v>
      </c>
      <c r="U45" s="129">
        <f t="shared" si="17"/>
        <v>0.26569891892505126</v>
      </c>
      <c r="V45" s="129">
        <f t="shared" si="18"/>
        <v>1.368385593142037</v>
      </c>
      <c r="W45" s="129">
        <f t="shared" si="19"/>
        <v>0.29839751798850311</v>
      </c>
      <c r="X45" s="129">
        <f t="shared" si="20"/>
        <v>8.3207940750375742E-2</v>
      </c>
      <c r="Y45" s="129">
        <f t="shared" si="21"/>
        <v>1.1363891703321813</v>
      </c>
      <c r="Z45" s="129">
        <f t="shared" si="22"/>
        <v>0.24042044317075323</v>
      </c>
      <c r="AA45" s="135">
        <f t="shared" si="23"/>
        <v>6.3364360115822638E-2</v>
      </c>
      <c r="AC45" s="158">
        <f t="shared" si="0"/>
        <v>0.38</v>
      </c>
      <c r="AD45" s="159">
        <f t="shared" si="1"/>
        <v>0.70370370370370372</v>
      </c>
      <c r="AE45" s="160">
        <f t="shared" si="13"/>
        <v>-0.14039880681261674</v>
      </c>
    </row>
    <row r="46" spans="1:31" x14ac:dyDescent="0.2">
      <c r="A46" s="99"/>
      <c r="B46" s="12"/>
      <c r="C46" s="12"/>
      <c r="D46" s="12"/>
      <c r="E46" s="3"/>
      <c r="F46" s="12"/>
      <c r="G46" s="12"/>
      <c r="Q46" s="118">
        <v>0.39</v>
      </c>
      <c r="R46" s="117">
        <f t="shared" si="14"/>
        <v>0.72839506172839508</v>
      </c>
      <c r="S46" s="129">
        <f t="shared" si="15"/>
        <v>7.9213055923924749</v>
      </c>
      <c r="T46" s="129">
        <f t="shared" si="16"/>
        <v>1.4623548752008533</v>
      </c>
      <c r="U46" s="129">
        <f t="shared" si="17"/>
        <v>0.31400189170206605</v>
      </c>
      <c r="V46" s="129">
        <f t="shared" si="18"/>
        <v>1.368385593142037</v>
      </c>
      <c r="W46" s="129">
        <f t="shared" si="19"/>
        <v>0.29839751798850311</v>
      </c>
      <c r="X46" s="129">
        <f t="shared" si="20"/>
        <v>8.3207940750375742E-2</v>
      </c>
      <c r="Y46" s="129">
        <f t="shared" si="21"/>
        <v>1.166820321044034</v>
      </c>
      <c r="Z46" s="129">
        <f t="shared" si="22"/>
        <v>0.24782761441426257</v>
      </c>
      <c r="AA46" s="135">
        <f t="shared" si="23"/>
        <v>6.5777452282427248E-2</v>
      </c>
      <c r="AC46" s="158">
        <f t="shared" si="0"/>
        <v>0.39</v>
      </c>
      <c r="AD46" s="159">
        <f t="shared" si="1"/>
        <v>0.72839506172839508</v>
      </c>
      <c r="AE46" s="160">
        <f t="shared" si="13"/>
        <v>-0.12667746234775107</v>
      </c>
    </row>
    <row r="47" spans="1:31" x14ac:dyDescent="0.2">
      <c r="A47" s="99"/>
      <c r="B47" s="3"/>
      <c r="C47" s="12"/>
      <c r="D47" s="12"/>
      <c r="E47" s="3"/>
      <c r="F47" s="12"/>
      <c r="G47" s="12"/>
      <c r="Q47" s="118">
        <v>0.4</v>
      </c>
      <c r="R47" s="117">
        <f t="shared" si="14"/>
        <v>0.75308641975308654</v>
      </c>
      <c r="S47" s="129">
        <f t="shared" si="15"/>
        <v>9.3230143162290542</v>
      </c>
      <c r="T47" s="129">
        <f t="shared" si="16"/>
        <v>1.7211247915998102</v>
      </c>
      <c r="U47" s="129">
        <f t="shared" si="17"/>
        <v>0.36956586228321364</v>
      </c>
      <c r="V47" s="129">
        <f t="shared" si="18"/>
        <v>1.368385593142037</v>
      </c>
      <c r="W47" s="129">
        <f t="shared" si="19"/>
        <v>0.29839751798850311</v>
      </c>
      <c r="X47" s="129">
        <f t="shared" si="20"/>
        <v>8.3207940750375742E-2</v>
      </c>
      <c r="Y47" s="129">
        <f t="shared" si="21"/>
        <v>1.1932467762058712</v>
      </c>
      <c r="Z47" s="129">
        <f t="shared" si="22"/>
        <v>0.25430734957642431</v>
      </c>
      <c r="AA47" s="135">
        <f t="shared" si="23"/>
        <v>6.7916505253158135E-2</v>
      </c>
      <c r="AC47" s="158">
        <f t="shared" si="0"/>
        <v>0.4</v>
      </c>
      <c r="AD47" s="159">
        <f t="shared" si="1"/>
        <v>0.75308641975308654</v>
      </c>
      <c r="AE47" s="160">
        <f t="shared" si="13"/>
        <v>-0.1139099244926758</v>
      </c>
    </row>
    <row r="48" spans="1:31" x14ac:dyDescent="0.2">
      <c r="A48" s="3"/>
      <c r="C48" s="3"/>
      <c r="D48" s="3"/>
      <c r="E48" s="3"/>
      <c r="F48" s="3"/>
      <c r="G48" s="3"/>
      <c r="Q48" s="118">
        <v>0.41</v>
      </c>
      <c r="R48" s="117">
        <f t="shared" si="14"/>
        <v>0.77777777777777757</v>
      </c>
      <c r="S48" s="129">
        <f t="shared" si="15"/>
        <v>10.930276002175972</v>
      </c>
      <c r="T48" s="129">
        <f t="shared" si="16"/>
        <v>2.0178419090943427</v>
      </c>
      <c r="U48" s="129">
        <f t="shared" si="17"/>
        <v>0.43327798700319359</v>
      </c>
      <c r="V48" s="129">
        <f t="shared" si="18"/>
        <v>1.368385593142037</v>
      </c>
      <c r="W48" s="129">
        <f t="shared" si="19"/>
        <v>0.29839751798850311</v>
      </c>
      <c r="X48" s="129">
        <f t="shared" si="20"/>
        <v>8.3207940750375742E-2</v>
      </c>
      <c r="Y48" s="129">
        <f t="shared" si="21"/>
        <v>1.2161349505004408</v>
      </c>
      <c r="Z48" s="129">
        <f t="shared" si="22"/>
        <v>0.25995543048210035</v>
      </c>
      <c r="AA48" s="135">
        <f t="shared" si="23"/>
        <v>6.980280997743922E-2</v>
      </c>
      <c r="AC48" s="158">
        <f t="shared" si="0"/>
        <v>0.41</v>
      </c>
      <c r="AD48" s="159">
        <f t="shared" si="1"/>
        <v>0.77777777777777757</v>
      </c>
      <c r="AE48" s="160">
        <f t="shared" si="13"/>
        <v>-0.10195304955261535</v>
      </c>
    </row>
    <row r="49" spans="17:31" x14ac:dyDescent="0.2">
      <c r="Q49" s="118">
        <v>0.42</v>
      </c>
      <c r="R49" s="117">
        <f t="shared" si="14"/>
        <v>0.80246913580246892</v>
      </c>
      <c r="S49" s="129">
        <f t="shared" si="15"/>
        <v>12.767680658793845</v>
      </c>
      <c r="T49" s="129">
        <f t="shared" si="16"/>
        <v>2.3570457973905348</v>
      </c>
      <c r="U49" s="129">
        <f t="shared" si="17"/>
        <v>0.50611301795494612</v>
      </c>
      <c r="V49" s="129">
        <f t="shared" si="18"/>
        <v>1.368385593142037</v>
      </c>
      <c r="W49" s="129">
        <f t="shared" si="19"/>
        <v>0.29839751798850311</v>
      </c>
      <c r="X49" s="129">
        <f t="shared" si="20"/>
        <v>8.3207940750375742E-2</v>
      </c>
      <c r="Y49" s="129">
        <f t="shared" si="21"/>
        <v>1.2359244757316503</v>
      </c>
      <c r="Z49" s="129">
        <f t="shared" si="22"/>
        <v>0.26486598740526063</v>
      </c>
      <c r="AA49" s="135">
        <f t="shared" si="23"/>
        <v>7.1459569507770701E-2</v>
      </c>
      <c r="AC49" s="158">
        <f t="shared" si="0"/>
        <v>0.42</v>
      </c>
      <c r="AD49" s="159">
        <f t="shared" si="1"/>
        <v>0.80246913580246892</v>
      </c>
      <c r="AE49" s="160">
        <f t="shared" si="13"/>
        <v>-9.0677015761655322E-2</v>
      </c>
    </row>
    <row r="50" spans="17:31" x14ac:dyDescent="0.2">
      <c r="Q50" s="118">
        <v>0.43</v>
      </c>
      <c r="R50" s="117">
        <f t="shared" si="14"/>
        <v>0.82716049382716039</v>
      </c>
      <c r="S50" s="129">
        <f t="shared" si="15"/>
        <v>14.862212481749824</v>
      </c>
      <c r="T50" s="129">
        <f t="shared" si="16"/>
        <v>2.7437180178770948</v>
      </c>
      <c r="U50" s="129">
        <f t="shared" si="17"/>
        <v>0.58914061321272659</v>
      </c>
      <c r="V50" s="129">
        <f t="shared" si="18"/>
        <v>1.368385593142037</v>
      </c>
      <c r="W50" s="129">
        <f t="shared" si="19"/>
        <v>0.29839751798850311</v>
      </c>
      <c r="X50" s="129">
        <f t="shared" si="20"/>
        <v>8.3207940750375742E-2</v>
      </c>
      <c r="Y50" s="129">
        <f t="shared" si="21"/>
        <v>1.253018363735048</v>
      </c>
      <c r="Z50" s="129">
        <f t="shared" si="22"/>
        <v>0.26912805807091206</v>
      </c>
      <c r="AA50" s="135">
        <f t="shared" si="23"/>
        <v>7.2910363157462535E-2</v>
      </c>
      <c r="AC50" s="158">
        <f t="shared" si="0"/>
        <v>0.43</v>
      </c>
      <c r="AD50" s="159">
        <f t="shared" si="1"/>
        <v>0.82716049382716039</v>
      </c>
      <c r="AE50" s="160">
        <f t="shared" si="13"/>
        <v>-7.9959889996252656E-2</v>
      </c>
    </row>
    <row r="51" spans="17:31" x14ac:dyDescent="0.2">
      <c r="Q51" s="118">
        <v>0.44</v>
      </c>
      <c r="R51" s="117">
        <f t="shared" si="14"/>
        <v>0.85185185185185175</v>
      </c>
      <c r="S51" s="129">
        <f t="shared" si="15"/>
        <v>17.243449645369402</v>
      </c>
      <c r="T51" s="129">
        <f t="shared" si="16"/>
        <v>3.1833190072105726</v>
      </c>
      <c r="U51" s="129">
        <f t="shared" si="17"/>
        <v>0.6835332566029656</v>
      </c>
      <c r="V51" s="129">
        <f t="shared" si="18"/>
        <v>1.368385593142037</v>
      </c>
      <c r="W51" s="129">
        <f t="shared" si="19"/>
        <v>0.29839751798850311</v>
      </c>
      <c r="X51" s="129">
        <f t="shared" si="20"/>
        <v>8.3207940750375742E-2</v>
      </c>
      <c r="Y51" s="129">
        <f t="shared" si="21"/>
        <v>1.2677786885825035</v>
      </c>
      <c r="Z51" s="129">
        <f t="shared" si="22"/>
        <v>0.27282361554777873</v>
      </c>
      <c r="AA51" s="135">
        <f t="shared" si="23"/>
        <v>7.4178086312115504E-2</v>
      </c>
      <c r="AC51" s="158">
        <f t="shared" si="0"/>
        <v>0.44</v>
      </c>
      <c r="AD51" s="159">
        <f t="shared" si="1"/>
        <v>0.85185185185185175</v>
      </c>
      <c r="AE51" s="160">
        <f t="shared" si="13"/>
        <v>-6.9681292615027479E-2</v>
      </c>
    </row>
    <row r="52" spans="17:31" x14ac:dyDescent="0.2">
      <c r="Q52" s="118">
        <v>0.45</v>
      </c>
      <c r="R52" s="117">
        <f t="shared" si="14"/>
        <v>0.87654320987654311</v>
      </c>
      <c r="S52" s="129">
        <f t="shared" si="15"/>
        <v>19.94378104827738</v>
      </c>
      <c r="T52" s="129">
        <f t="shared" si="16"/>
        <v>3.6818280908006389</v>
      </c>
      <c r="U52" s="129">
        <f t="shared" si="17"/>
        <v>0.79057484953808987</v>
      </c>
      <c r="V52" s="129">
        <f t="shared" si="18"/>
        <v>1.368385593142037</v>
      </c>
      <c r="W52" s="129">
        <f t="shared" si="19"/>
        <v>0.29839751798850311</v>
      </c>
      <c r="X52" s="129">
        <f t="shared" si="20"/>
        <v>8.3207940750375742E-2</v>
      </c>
      <c r="Y52" s="129">
        <f t="shared" si="21"/>
        <v>1.2805259605188766</v>
      </c>
      <c r="Z52" s="129">
        <f t="shared" si="22"/>
        <v>0.27602665575770935</v>
      </c>
      <c r="AA52" s="135">
        <f t="shared" si="23"/>
        <v>7.5284276561896665E-2</v>
      </c>
      <c r="AC52" s="158">
        <f t="shared" si="0"/>
        <v>0.45</v>
      </c>
      <c r="AD52" s="159">
        <f t="shared" si="1"/>
        <v>0.87654320987654311</v>
      </c>
      <c r="AE52" s="160">
        <f t="shared" si="13"/>
        <v>-5.9713577299716769E-2</v>
      </c>
    </row>
    <row r="53" spans="17:31" x14ac:dyDescent="0.2">
      <c r="Q53" s="118">
        <v>0.46</v>
      </c>
      <c r="R53" s="117">
        <f t="shared" si="14"/>
        <v>0.90123456790123446</v>
      </c>
      <c r="S53" s="129">
        <f t="shared" si="15"/>
        <v>22.998641787083621</v>
      </c>
      <c r="T53" s="129">
        <f t="shared" si="16"/>
        <v>4.2457869536859842</v>
      </c>
      <c r="U53" s="129">
        <f t="shared" si="17"/>
        <v>0.91167004523319917</v>
      </c>
      <c r="V53" s="129">
        <f t="shared" si="18"/>
        <v>1.368385593142037</v>
      </c>
      <c r="W53" s="129">
        <f t="shared" si="19"/>
        <v>0.29839751798850311</v>
      </c>
      <c r="X53" s="129">
        <f t="shared" si="20"/>
        <v>8.3207940750375742E-2</v>
      </c>
      <c r="Y53" s="129">
        <f t="shared" si="21"/>
        <v>1.2915408019288817</v>
      </c>
      <c r="Z53" s="129">
        <f t="shared" si="22"/>
        <v>0.27880300564052873</v>
      </c>
      <c r="AA53" s="135">
        <f t="shared" si="23"/>
        <v>7.6248734192927256E-2</v>
      </c>
      <c r="AC53" s="158">
        <f t="shared" si="0"/>
        <v>0.46</v>
      </c>
      <c r="AD53" s="159">
        <f t="shared" si="1"/>
        <v>0.90123456790123446</v>
      </c>
      <c r="AE53" s="160">
        <f t="shared" si="13"/>
        <v>-4.9906980966632077E-2</v>
      </c>
    </row>
    <row r="54" spans="17:31" x14ac:dyDescent="0.2">
      <c r="Q54" s="118">
        <v>0.47</v>
      </c>
      <c r="R54" s="117">
        <f t="shared" si="14"/>
        <v>0.92592592592592582</v>
      </c>
      <c r="S54" s="129">
        <f t="shared" si="15"/>
        <v>26.446769357223328</v>
      </c>
      <c r="T54" s="129">
        <f t="shared" si="16"/>
        <v>4.882346937857144</v>
      </c>
      <c r="U54" s="129">
        <f t="shared" si="17"/>
        <v>1.0483544045506517</v>
      </c>
      <c r="V54" s="129">
        <f t="shared" si="18"/>
        <v>1.368385593142037</v>
      </c>
      <c r="W54" s="129">
        <f t="shared" si="19"/>
        <v>0.29839751798850311</v>
      </c>
      <c r="X54" s="129">
        <f t="shared" si="20"/>
        <v>8.3207940750375742E-2</v>
      </c>
      <c r="Y54" s="129">
        <f t="shared" si="21"/>
        <v>1.3010669269379471</v>
      </c>
      <c r="Z54" s="129">
        <f t="shared" si="22"/>
        <v>0.28121059060758774</v>
      </c>
      <c r="AA54" s="135">
        <f t="shared" si="23"/>
        <v>7.708935485657227E-2</v>
      </c>
      <c r="AC54" s="158">
        <f t="shared" si="0"/>
        <v>0.47</v>
      </c>
      <c r="AD54" s="159">
        <f t="shared" si="1"/>
        <v>0.92592592592592582</v>
      </c>
      <c r="AE54" s="160">
        <f t="shared" si="13"/>
        <v>-4.0059166658069092E-2</v>
      </c>
    </row>
    <row r="55" spans="17:31" x14ac:dyDescent="0.2">
      <c r="Q55" s="118">
        <v>0.48</v>
      </c>
      <c r="R55" s="117">
        <f t="shared" si="14"/>
        <v>0.95061728395061729</v>
      </c>
      <c r="S55" s="129">
        <f t="shared" si="15"/>
        <v>30.330482838165832</v>
      </c>
      <c r="T55" s="129">
        <f t="shared" si="16"/>
        <v>5.5993205827312851</v>
      </c>
      <c r="U55" s="129">
        <f t="shared" si="17"/>
        <v>1.2023054629488972</v>
      </c>
      <c r="V55" s="129">
        <f t="shared" si="18"/>
        <v>1.368385593142037</v>
      </c>
      <c r="W55" s="129">
        <f t="shared" si="19"/>
        <v>0.29839751798850311</v>
      </c>
      <c r="X55" s="129">
        <f t="shared" si="20"/>
        <v>8.3207940750375742E-2</v>
      </c>
      <c r="Y55" s="129">
        <f t="shared" si="21"/>
        <v>1.3093147422195068</v>
      </c>
      <c r="Z55" s="129">
        <f t="shared" si="22"/>
        <v>0.28329997056065431</v>
      </c>
      <c r="AA55" s="135">
        <f t="shared" si="23"/>
        <v>7.782210705623116E-2</v>
      </c>
      <c r="AC55" s="158">
        <f t="shared" si="0"/>
        <v>0.48</v>
      </c>
      <c r="AD55" s="159">
        <f t="shared" si="1"/>
        <v>0.95061728395061729</v>
      </c>
      <c r="AE55" s="160">
        <f t="shared" si="13"/>
        <v>-2.9836323237022209E-2</v>
      </c>
    </row>
    <row r="56" spans="17:31" x14ac:dyDescent="0.2">
      <c r="Q56" s="118">
        <v>0.49</v>
      </c>
      <c r="R56" s="117">
        <f t="shared" si="14"/>
        <v>0.97530864197530864</v>
      </c>
      <c r="S56" s="129">
        <f t="shared" si="15"/>
        <v>34.695987616838806</v>
      </c>
      <c r="T56" s="129">
        <f t="shared" si="16"/>
        <v>6.4052378802454824</v>
      </c>
      <c r="U56" s="129">
        <f t="shared" si="17"/>
        <v>1.3753548097704866</v>
      </c>
      <c r="V56" s="129">
        <f t="shared" si="18"/>
        <v>1.368385593142037</v>
      </c>
      <c r="W56" s="129">
        <f t="shared" si="19"/>
        <v>0.29839751798850311</v>
      </c>
      <c r="X56" s="129">
        <f t="shared" si="20"/>
        <v>8.3207940750375742E-2</v>
      </c>
      <c r="Y56" s="129">
        <f t="shared" si="21"/>
        <v>1.3164651252438047</v>
      </c>
      <c r="Z56" s="129">
        <f t="shared" si="22"/>
        <v>0.28511501178818738</v>
      </c>
      <c r="AA56" s="135">
        <f t="shared" si="23"/>
        <v>7.8461102534847768E-2</v>
      </c>
      <c r="AC56" s="158">
        <f t="shared" si="0"/>
        <v>0.49</v>
      </c>
      <c r="AD56" s="159">
        <f t="shared" si="1"/>
        <v>0.97530864197530864</v>
      </c>
      <c r="AE56" s="160">
        <f t="shared" si="13"/>
        <v>-1.8478166964546325E-2</v>
      </c>
    </row>
    <row r="57" spans="17:31" x14ac:dyDescent="0.2">
      <c r="Q57" s="118">
        <v>0.5</v>
      </c>
      <c r="R57" s="117">
        <f t="shared" si="14"/>
        <v>1</v>
      </c>
      <c r="S57" s="129">
        <f t="shared" si="15"/>
        <v>39.59370854492181</v>
      </c>
      <c r="T57" s="129">
        <f t="shared" si="16"/>
        <v>7.3094077791361309</v>
      </c>
      <c r="U57" s="129">
        <f t="shared" si="17"/>
        <v>1.569501294653463</v>
      </c>
      <c r="V57" s="129">
        <f t="shared" si="18"/>
        <v>1.368385593142037</v>
      </c>
      <c r="W57" s="129">
        <f t="shared" si="19"/>
        <v>0.29839751798850311</v>
      </c>
      <c r="X57" s="129">
        <f t="shared" si="20"/>
        <v>8.3207940750375742E-2</v>
      </c>
      <c r="Y57" s="129">
        <f t="shared" si="21"/>
        <v>1.3226731077108129</v>
      </c>
      <c r="Z57" s="129">
        <f t="shared" si="22"/>
        <v>0.28669360664164567</v>
      </c>
      <c r="AA57" s="135">
        <f t="shared" si="23"/>
        <v>7.9018721463883237E-2</v>
      </c>
      <c r="AC57" s="158">
        <f t="shared" si="0"/>
        <v>0.5</v>
      </c>
      <c r="AD57" s="159">
        <f t="shared" si="1"/>
        <v>1</v>
      </c>
      <c r="AE57" s="160">
        <f t="shared" si="13"/>
        <v>0</v>
      </c>
    </row>
    <row r="58" spans="17:31" x14ac:dyDescent="0.2">
      <c r="Q58" s="118">
        <v>0.51</v>
      </c>
      <c r="R58" s="117">
        <f t="shared" si="14"/>
        <v>1.0246913580246915</v>
      </c>
      <c r="S58" s="129">
        <f t="shared" si="15"/>
        <v>45.078654820580034</v>
      </c>
      <c r="T58" s="129">
        <f t="shared" si="16"/>
        <v>8.3219855458778635</v>
      </c>
      <c r="U58" s="129">
        <f t="shared" si="17"/>
        <v>1.7869254915049195</v>
      </c>
      <c r="V58" s="129">
        <f t="shared" si="18"/>
        <v>1.368385593142037</v>
      </c>
      <c r="W58" s="129">
        <f t="shared" si="19"/>
        <v>0.29839751798850311</v>
      </c>
      <c r="X58" s="129">
        <f t="shared" si="20"/>
        <v>8.3207940750375742E-2</v>
      </c>
      <c r="Y58" s="129">
        <f t="shared" si="21"/>
        <v>1.3280713101470438</v>
      </c>
      <c r="Z58" s="129">
        <f t="shared" si="22"/>
        <v>0.28806838550308861</v>
      </c>
      <c r="AA58" s="135">
        <f t="shared" si="23"/>
        <v>7.9505765662489875E-2</v>
      </c>
      <c r="AC58" s="158">
        <f t="shared" si="0"/>
        <v>0.51</v>
      </c>
      <c r="AD58" s="159">
        <f t="shared" si="1"/>
        <v>1.0246913580246915</v>
      </c>
      <c r="AE58" s="160" t="e">
        <f t="shared" si="13"/>
        <v>#NUM!</v>
      </c>
    </row>
    <row r="59" spans="17:31" x14ac:dyDescent="0.2">
      <c r="Q59" s="118">
        <v>0.52</v>
      </c>
      <c r="R59" s="117">
        <f t="shared" si="14"/>
        <v>1.0493827160493827</v>
      </c>
      <c r="S59" s="129">
        <f t="shared" si="15"/>
        <v>51.210820342780124</v>
      </c>
      <c r="T59" s="129">
        <f t="shared" si="16"/>
        <v>9.4540466742277243</v>
      </c>
      <c r="U59" s="129">
        <f t="shared" si="17"/>
        <v>2.0300055686137046</v>
      </c>
      <c r="V59" s="129">
        <f t="shared" si="18"/>
        <v>1.368385593142037</v>
      </c>
      <c r="W59" s="129">
        <f t="shared" si="19"/>
        <v>0.29839751798850311</v>
      </c>
      <c r="X59" s="129">
        <f t="shared" si="20"/>
        <v>8.3207940750375742E-2</v>
      </c>
      <c r="Y59" s="129">
        <f t="shared" si="21"/>
        <v>1.3327730520587682</v>
      </c>
      <c r="Z59" s="129">
        <f t="shared" si="22"/>
        <v>0.28926738845515332</v>
      </c>
      <c r="AA59" s="135">
        <f t="shared" si="23"/>
        <v>7.9931621829813129E-2</v>
      </c>
      <c r="AC59" s="158">
        <f t="shared" si="0"/>
        <v>0.52</v>
      </c>
      <c r="AD59" s="159">
        <f t="shared" si="1"/>
        <v>1.0493827160493827</v>
      </c>
      <c r="AE59" s="160" t="e">
        <f t="shared" si="13"/>
        <v>#NUM!</v>
      </c>
    </row>
    <row r="60" spans="17:31" x14ac:dyDescent="0.2">
      <c r="Q60" s="118">
        <v>0.53</v>
      </c>
      <c r="R60" s="117">
        <f t="shared" si="14"/>
        <v>1.0740740740740742</v>
      </c>
      <c r="S60" s="129">
        <f t="shared" si="15"/>
        <v>58.055623818019448</v>
      </c>
      <c r="T60" s="129">
        <f t="shared" si="16"/>
        <v>10.71766813347568</v>
      </c>
      <c r="U60" s="129">
        <f t="shared" si="17"/>
        <v>2.3013347345555122</v>
      </c>
      <c r="V60" s="129">
        <f t="shared" si="18"/>
        <v>1.368385593142037</v>
      </c>
      <c r="W60" s="129">
        <f t="shared" si="19"/>
        <v>0.29839751798850311</v>
      </c>
      <c r="X60" s="129">
        <f t="shared" si="20"/>
        <v>8.3207940750375742E-2</v>
      </c>
      <c r="Y60" s="129">
        <f t="shared" si="21"/>
        <v>1.3368751119396871</v>
      </c>
      <c r="Z60" s="129">
        <f t="shared" si="22"/>
        <v>0.29031467956334678</v>
      </c>
      <c r="AA60" s="135">
        <f t="shared" si="23"/>
        <v>8.0304423243384646E-2</v>
      </c>
      <c r="AC60" s="158">
        <f t="shared" si="0"/>
        <v>0.53</v>
      </c>
      <c r="AD60" s="159">
        <f t="shared" si="1"/>
        <v>1.0740740740740742</v>
      </c>
      <c r="AE60" s="160" t="e">
        <f t="shared" si="13"/>
        <v>#NUM!</v>
      </c>
    </row>
    <row r="61" spans="17:31" x14ac:dyDescent="0.2">
      <c r="Q61" s="118">
        <v>0.54</v>
      </c>
      <c r="R61" s="117">
        <f t="shared" si="14"/>
        <v>1.0987654320987654</v>
      </c>
      <c r="S61" s="129">
        <f t="shared" si="15"/>
        <v>65.684393518993474</v>
      </c>
      <c r="T61" s="129">
        <f t="shared" si="16"/>
        <v>12.126017859904362</v>
      </c>
      <c r="U61" s="129">
        <f t="shared" si="17"/>
        <v>2.6037404541083355</v>
      </c>
      <c r="V61" s="129">
        <f t="shared" si="18"/>
        <v>1.368385593142037</v>
      </c>
      <c r="W61" s="129">
        <f t="shared" si="19"/>
        <v>0.29839751798850311</v>
      </c>
      <c r="X61" s="129">
        <f t="shared" si="20"/>
        <v>8.3207940750375742E-2</v>
      </c>
      <c r="Y61" s="129">
        <f t="shared" si="21"/>
        <v>1.3404601416348407</v>
      </c>
      <c r="Z61" s="129">
        <f t="shared" si="22"/>
        <v>0.29123089678070507</v>
      </c>
      <c r="AA61" s="135">
        <f t="shared" si="23"/>
        <v>8.0631202984527403E-2</v>
      </c>
      <c r="AC61" s="158">
        <f t="shared" si="0"/>
        <v>0.54</v>
      </c>
      <c r="AD61" s="159">
        <f t="shared" si="1"/>
        <v>1.0987654320987654</v>
      </c>
      <c r="AE61" s="160" t="e">
        <f t="shared" si="13"/>
        <v>#NUM!</v>
      </c>
    </row>
    <row r="62" spans="17:31" x14ac:dyDescent="0.2">
      <c r="Q62" s="118">
        <v>0.55000000000000004</v>
      </c>
      <c r="R62" s="117">
        <f t="shared" si="14"/>
        <v>1.1234567901234569</v>
      </c>
      <c r="S62" s="129">
        <f t="shared" si="15"/>
        <v>74.174902319225055</v>
      </c>
      <c r="T62" s="129">
        <f t="shared" si="16"/>
        <v>13.693453529710952</v>
      </c>
      <c r="U62" s="129">
        <f t="shared" si="17"/>
        <v>2.9403056571155499</v>
      </c>
      <c r="V62" s="129">
        <f t="shared" si="18"/>
        <v>1.368385593142037</v>
      </c>
      <c r="W62" s="129">
        <f t="shared" si="19"/>
        <v>0.29839751798850311</v>
      </c>
      <c r="X62" s="129">
        <f t="shared" si="20"/>
        <v>8.3207940750375742E-2</v>
      </c>
      <c r="Y62" s="129">
        <f t="shared" si="21"/>
        <v>1.3435987565710525</v>
      </c>
      <c r="Z62" s="129">
        <f t="shared" si="22"/>
        <v>0.29203373678198868</v>
      </c>
      <c r="AA62" s="135">
        <f t="shared" si="23"/>
        <v>8.0918034923987248E-2</v>
      </c>
      <c r="AC62" s="158">
        <f t="shared" si="0"/>
        <v>0.55000000000000004</v>
      </c>
      <c r="AD62" s="159">
        <f t="shared" si="1"/>
        <v>1.1234567901234569</v>
      </c>
      <c r="AE62" s="160" t="e">
        <f t="shared" si="13"/>
        <v>#NUM!</v>
      </c>
    </row>
    <row r="63" spans="17:31" x14ac:dyDescent="0.2">
      <c r="Q63" s="118">
        <v>0.56000000000000005</v>
      </c>
      <c r="R63" s="117">
        <f t="shared" si="14"/>
        <v>1.1481481481481484</v>
      </c>
      <c r="S63" s="129">
        <f t="shared" si="15"/>
        <v>83.611959477491524</v>
      </c>
      <c r="T63" s="129">
        <f t="shared" si="16"/>
        <v>15.435631808528241</v>
      </c>
      <c r="U63" s="129">
        <f t="shared" si="17"/>
        <v>3.3143921969205619</v>
      </c>
      <c r="V63" s="129">
        <f t="shared" si="18"/>
        <v>1.368385593142037</v>
      </c>
      <c r="W63" s="129">
        <f t="shared" si="19"/>
        <v>0.29839751798850311</v>
      </c>
      <c r="X63" s="129">
        <f t="shared" si="20"/>
        <v>8.3207940750375742E-2</v>
      </c>
      <c r="Y63" s="129">
        <f t="shared" si="21"/>
        <v>1.346351331808286</v>
      </c>
      <c r="Z63" s="129">
        <f t="shared" si="22"/>
        <v>0.29273837773307998</v>
      </c>
      <c r="AA63" s="135">
        <f t="shared" si="23"/>
        <v>8.1170160810602091E-2</v>
      </c>
      <c r="AC63" s="158">
        <f t="shared" si="0"/>
        <v>0.56000000000000005</v>
      </c>
      <c r="AD63" s="159">
        <f t="shared" si="1"/>
        <v>1.1481481481481484</v>
      </c>
      <c r="AE63" s="160" t="e">
        <f t="shared" si="13"/>
        <v>#NUM!</v>
      </c>
    </row>
    <row r="64" spans="17:31" x14ac:dyDescent="0.2">
      <c r="Q64" s="118">
        <v>0.56999999999999995</v>
      </c>
      <c r="R64" s="117">
        <f t="shared" si="14"/>
        <v>1.1728395061728394</v>
      </c>
      <c r="S64" s="129">
        <f t="shared" si="15"/>
        <v>94.088066646031905</v>
      </c>
      <c r="T64" s="129">
        <f t="shared" si="16"/>
        <v>17.369629457319185</v>
      </c>
      <c r="U64" s="129">
        <f t="shared" si="17"/>
        <v>3.7296668546429541</v>
      </c>
      <c r="V64" s="129">
        <f t="shared" si="18"/>
        <v>1.368385593142037</v>
      </c>
      <c r="W64" s="129">
        <f t="shared" si="19"/>
        <v>0.29839751798850311</v>
      </c>
      <c r="X64" s="129">
        <f t="shared" si="20"/>
        <v>8.3207940750375742E-2</v>
      </c>
      <c r="Y64" s="129">
        <f t="shared" si="21"/>
        <v>1.3487695369447354</v>
      </c>
      <c r="Z64" s="129">
        <f t="shared" si="22"/>
        <v>0.29335784497543038</v>
      </c>
      <c r="AA64" s="135">
        <f t="shared" si="23"/>
        <v>8.1392103153955578E-2</v>
      </c>
      <c r="AC64" s="158">
        <f t="shared" si="0"/>
        <v>0.56999999999999995</v>
      </c>
      <c r="AD64" s="159">
        <f t="shared" si="1"/>
        <v>1.1728395061728394</v>
      </c>
      <c r="AE64" s="160" t="e">
        <f t="shared" si="13"/>
        <v>#NUM!</v>
      </c>
    </row>
    <row r="65" spans="17:31" x14ac:dyDescent="0.2">
      <c r="Q65" s="118">
        <v>0.57999999999999996</v>
      </c>
      <c r="R65" s="117">
        <f t="shared" si="14"/>
        <v>1.1975308641975309</v>
      </c>
      <c r="S65" s="129">
        <f t="shared" si="15"/>
        <v>105.70414675778086</v>
      </c>
      <c r="T65" s="129">
        <f t="shared" si="16"/>
        <v>19.51407789249302</v>
      </c>
      <c r="U65" s="129">
        <f t="shared" si="17"/>
        <v>4.1901302323915548</v>
      </c>
      <c r="V65" s="129">
        <f t="shared" si="18"/>
        <v>1.368385593142037</v>
      </c>
      <c r="W65" s="129">
        <f t="shared" si="19"/>
        <v>0.29839751798850311</v>
      </c>
      <c r="X65" s="129">
        <f t="shared" si="20"/>
        <v>8.3207940750375742E-2</v>
      </c>
      <c r="Y65" s="129">
        <f t="shared" si="21"/>
        <v>1.3508976427741337</v>
      </c>
      <c r="Z65" s="129">
        <f t="shared" si="22"/>
        <v>0.29390332547106568</v>
      </c>
      <c r="AA65" s="135">
        <f t="shared" si="23"/>
        <v>8.1587764409679644E-2</v>
      </c>
      <c r="AC65" s="158">
        <f t="shared" si="0"/>
        <v>0.57999999999999996</v>
      </c>
      <c r="AD65" s="159">
        <f t="shared" si="1"/>
        <v>1.1975308641975309</v>
      </c>
      <c r="AE65" s="160" t="e">
        <f t="shared" si="13"/>
        <v>#NUM!</v>
      </c>
    </row>
    <row r="66" spans="17:31" x14ac:dyDescent="0.2">
      <c r="Q66" s="118">
        <v>0.59</v>
      </c>
      <c r="R66" s="117">
        <f t="shared" si="14"/>
        <v>1.2222222222222221</v>
      </c>
      <c r="S66" s="129">
        <f t="shared" si="15"/>
        <v>118.57035584815631</v>
      </c>
      <c r="T66" s="129">
        <f t="shared" si="16"/>
        <v>21.889313056596993</v>
      </c>
      <c r="U66" s="129">
        <f t="shared" si="17"/>
        <v>4.7001489340172293</v>
      </c>
      <c r="V66" s="129">
        <f t="shared" si="18"/>
        <v>1.368385593142037</v>
      </c>
      <c r="W66" s="129">
        <f t="shared" si="19"/>
        <v>0.29839751798850311</v>
      </c>
      <c r="X66" s="129">
        <f t="shared" si="20"/>
        <v>8.3207940750375742E-2</v>
      </c>
      <c r="Y66" s="129">
        <f t="shared" si="21"/>
        <v>1.3527736306600466</v>
      </c>
      <c r="Z66" s="129">
        <f t="shared" si="22"/>
        <v>0.29438443703351314</v>
      </c>
      <c r="AA66" s="135">
        <f t="shared" si="23"/>
        <v>8.1760513434124243E-2</v>
      </c>
      <c r="AC66" s="158">
        <f t="shared" si="0"/>
        <v>0.59</v>
      </c>
      <c r="AD66" s="159">
        <f t="shared" si="1"/>
        <v>1.2222222222222221</v>
      </c>
      <c r="AE66" s="160" t="e">
        <f t="shared" si="13"/>
        <v>#NUM!</v>
      </c>
    </row>
    <row r="67" spans="17:31" x14ac:dyDescent="0.2">
      <c r="Q67" s="119">
        <v>0.6</v>
      </c>
      <c r="R67" s="130">
        <f>MAX((Q67-rc_vg)/(sc_vg-rc_vg),0)</f>
        <v>1.2469135802469136</v>
      </c>
      <c r="S67" s="131">
        <f t="shared" si="15"/>
        <v>132.80698953325199</v>
      </c>
      <c r="T67" s="131">
        <f t="shared" si="16"/>
        <v>24.517542763558772</v>
      </c>
      <c r="U67" s="131">
        <f t="shared" si="17"/>
        <v>5.2644914980615525</v>
      </c>
      <c r="V67" s="131">
        <f t="shared" si="18"/>
        <v>1.368385593142037</v>
      </c>
      <c r="W67" s="131">
        <f t="shared" si="19"/>
        <v>0.29839751798850311</v>
      </c>
      <c r="X67" s="131">
        <f t="shared" si="20"/>
        <v>8.3207940750375742E-2</v>
      </c>
      <c r="Y67" s="131">
        <f t="shared" si="21"/>
        <v>1.3544301327622559</v>
      </c>
      <c r="Z67" s="131">
        <f t="shared" si="22"/>
        <v>0.29480945814746984</v>
      </c>
      <c r="AA67" s="136">
        <f t="shared" si="23"/>
        <v>8.1913260396115545E-2</v>
      </c>
      <c r="AC67" s="161">
        <f t="shared" si="0"/>
        <v>0.6</v>
      </c>
      <c r="AD67" s="162">
        <f t="shared" si="1"/>
        <v>1.2469135802469136</v>
      </c>
      <c r="AE67" s="163" t="e">
        <f t="shared" si="13"/>
        <v>#NUM!</v>
      </c>
    </row>
  </sheetData>
  <sheetProtection formatCells="0"/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BA-9C33-F547-9AC6-C27B4D692E2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1FA-6D1A-5B47-9BFC-4C8DE5F35F87}">
  <dimension ref="E1:O23"/>
  <sheetViews>
    <sheetView zoomScale="150" workbookViewId="0">
      <selection activeCell="H11" sqref="H11"/>
    </sheetView>
  </sheetViews>
  <sheetFormatPr baseColWidth="10" defaultRowHeight="16" x14ac:dyDescent="0.2"/>
  <cols>
    <col min="9" max="9" width="15.83203125" customWidth="1"/>
    <col min="10" max="10" width="15.1640625" customWidth="1"/>
    <col min="11" max="11" width="15.33203125" customWidth="1"/>
  </cols>
  <sheetData>
    <row r="1" spans="5:15" x14ac:dyDescent="0.2">
      <c r="E1" s="170" t="s">
        <v>170</v>
      </c>
    </row>
    <row r="2" spans="5:15" x14ac:dyDescent="0.2">
      <c r="E2" t="s">
        <v>169</v>
      </c>
    </row>
    <row r="3" spans="5:15" x14ac:dyDescent="0.2">
      <c r="E3" t="s">
        <v>171</v>
      </c>
    </row>
    <row r="5" spans="5:15" ht="18" x14ac:dyDescent="0.2">
      <c r="I5" t="s">
        <v>166</v>
      </c>
      <c r="J5" s="167" t="s">
        <v>167</v>
      </c>
      <c r="K5" s="168" t="s">
        <v>168</v>
      </c>
      <c r="L5" t="s">
        <v>38</v>
      </c>
      <c r="M5" t="s">
        <v>37</v>
      </c>
      <c r="N5" t="s">
        <v>9</v>
      </c>
      <c r="O5" t="s">
        <v>36</v>
      </c>
    </row>
    <row r="6" spans="5:15" x14ac:dyDescent="0.2">
      <c r="I6" s="164"/>
      <c r="J6" s="164">
        <v>0.43</v>
      </c>
      <c r="K6" s="164">
        <v>4.4999999999999998E-2</v>
      </c>
      <c r="L6" s="164">
        <v>0.14499999999999999</v>
      </c>
      <c r="M6" s="164">
        <v>2.68</v>
      </c>
      <c r="N6" s="164">
        <v>399.68796033994334</v>
      </c>
      <c r="O6" s="165">
        <v>0.5</v>
      </c>
    </row>
    <row r="7" spans="5:15" x14ac:dyDescent="0.2">
      <c r="I7" s="164" t="s">
        <v>155</v>
      </c>
      <c r="J7" s="164">
        <v>0.41</v>
      </c>
      <c r="K7" s="164">
        <v>5.7000000000000002E-2</v>
      </c>
      <c r="L7" s="164">
        <v>0.124</v>
      </c>
      <c r="M7" s="164">
        <v>2.2799999999999998</v>
      </c>
      <c r="N7" s="164">
        <v>196.36745750708218</v>
      </c>
      <c r="O7" s="165">
        <v>0.5</v>
      </c>
    </row>
    <row r="8" spans="5:15" x14ac:dyDescent="0.2">
      <c r="I8" s="164" t="s">
        <v>156</v>
      </c>
      <c r="J8" s="166">
        <v>0.41</v>
      </c>
      <c r="K8" s="166">
        <v>6.5000000000000002E-2</v>
      </c>
      <c r="L8" s="166">
        <v>7.4999999999999997E-2</v>
      </c>
      <c r="M8" s="166">
        <v>1.89</v>
      </c>
      <c r="N8" s="166">
        <v>59.493395892351273</v>
      </c>
      <c r="O8" s="165">
        <v>0.5</v>
      </c>
    </row>
    <row r="9" spans="5:15" x14ac:dyDescent="0.2">
      <c r="I9" s="164" t="s">
        <v>157</v>
      </c>
      <c r="J9" s="166">
        <v>0.43</v>
      </c>
      <c r="K9" s="166">
        <v>7.8E-2</v>
      </c>
      <c r="L9" s="166">
        <v>3.5999999999999997E-2</v>
      </c>
      <c r="M9" s="166">
        <v>1.56</v>
      </c>
      <c r="N9" s="166">
        <v>13.995807365439095</v>
      </c>
      <c r="O9" s="165">
        <v>0.5</v>
      </c>
    </row>
    <row r="10" spans="5:15" x14ac:dyDescent="0.2">
      <c r="I10" s="164" t="s">
        <v>158</v>
      </c>
      <c r="J10" s="164">
        <v>0.46</v>
      </c>
      <c r="K10" s="164">
        <v>3.4000000000000002E-2</v>
      </c>
      <c r="L10" s="164">
        <v>1.6E-2</v>
      </c>
      <c r="M10" s="164">
        <v>1.37</v>
      </c>
      <c r="N10" s="164">
        <v>3.3643767705382435</v>
      </c>
      <c r="O10" s="165">
        <v>0.5</v>
      </c>
    </row>
    <row r="11" spans="5:15" x14ac:dyDescent="0.2">
      <c r="I11" s="164" t="s">
        <v>159</v>
      </c>
      <c r="J11" s="164">
        <v>0.45</v>
      </c>
      <c r="K11" s="164">
        <v>6.7000000000000004E-2</v>
      </c>
      <c r="L11" s="164">
        <v>0.02</v>
      </c>
      <c r="M11" s="164">
        <v>1.41</v>
      </c>
      <c r="N11" s="164">
        <v>6.0558781869688394</v>
      </c>
      <c r="O11" s="165">
        <v>0.5</v>
      </c>
    </row>
    <row r="12" spans="5:15" x14ac:dyDescent="0.2">
      <c r="I12" s="164" t="s">
        <v>160</v>
      </c>
      <c r="J12" s="164">
        <v>0.39</v>
      </c>
      <c r="K12" s="164">
        <v>0.1</v>
      </c>
      <c r="L12" s="164">
        <v>5.8999999999999997E-2</v>
      </c>
      <c r="M12" s="164">
        <v>1.48</v>
      </c>
      <c r="N12" s="164">
        <v>17.629334277620398</v>
      </c>
      <c r="O12" s="165">
        <v>0.5</v>
      </c>
    </row>
    <row r="13" spans="5:15" x14ac:dyDescent="0.2">
      <c r="I13" s="164" t="s">
        <v>161</v>
      </c>
      <c r="J13" s="164">
        <v>0.41</v>
      </c>
      <c r="K13" s="164">
        <v>9.5000000000000001E-2</v>
      </c>
      <c r="L13" s="164">
        <v>1.9E-2</v>
      </c>
      <c r="M13" s="164">
        <v>1.31</v>
      </c>
      <c r="N13" s="164">
        <v>3.4989518413597738</v>
      </c>
      <c r="O13" s="165">
        <v>0.5</v>
      </c>
    </row>
    <row r="14" spans="5:15" x14ac:dyDescent="0.2">
      <c r="I14" s="164" t="s">
        <v>162</v>
      </c>
      <c r="J14" s="164">
        <v>0.43</v>
      </c>
      <c r="K14" s="164">
        <v>8.8999999999999996E-2</v>
      </c>
      <c r="L14" s="164">
        <v>0.01</v>
      </c>
      <c r="M14" s="164">
        <v>1.23</v>
      </c>
      <c r="N14" s="164">
        <v>0.94202549575070804</v>
      </c>
      <c r="O14" s="165">
        <v>0.5</v>
      </c>
    </row>
    <row r="15" spans="5:15" x14ac:dyDescent="0.2">
      <c r="I15" s="164" t="s">
        <v>163</v>
      </c>
      <c r="J15" s="164">
        <v>0.38</v>
      </c>
      <c r="K15" s="164">
        <v>0.1</v>
      </c>
      <c r="L15" s="164">
        <v>2.7E-2</v>
      </c>
      <c r="M15" s="164">
        <v>1.23</v>
      </c>
      <c r="N15" s="164">
        <v>1.6149008498583568</v>
      </c>
      <c r="O15" s="165">
        <v>0.5</v>
      </c>
    </row>
    <row r="16" spans="5:15" x14ac:dyDescent="0.2">
      <c r="I16" s="164" t="s">
        <v>164</v>
      </c>
      <c r="J16" s="164">
        <v>0.36</v>
      </c>
      <c r="K16" s="164">
        <v>7.0000000000000007E-2</v>
      </c>
      <c r="L16" s="164">
        <v>5.0000000000000001E-3</v>
      </c>
      <c r="M16" s="164">
        <v>1.0900000000000001</v>
      </c>
      <c r="N16" s="164">
        <v>0.2691501416430595</v>
      </c>
      <c r="O16" s="165">
        <v>0.5</v>
      </c>
    </row>
    <row r="17" spans="9:15" x14ac:dyDescent="0.2">
      <c r="I17" s="164" t="s">
        <v>165</v>
      </c>
      <c r="J17" s="164">
        <v>0.38</v>
      </c>
      <c r="K17" s="164">
        <v>6.8000000000000005E-2</v>
      </c>
      <c r="L17" s="164">
        <v>8.0000000000000002E-3</v>
      </c>
      <c r="M17" s="164">
        <v>1.0900000000000001</v>
      </c>
      <c r="N17" s="164">
        <v>2.6915014164305946</v>
      </c>
      <c r="O17" s="165">
        <v>0.5</v>
      </c>
    </row>
    <row r="23" spans="9:15" ht="18" x14ac:dyDescent="0.2">
      <c r="I23" s="1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37</vt:i4>
      </vt:variant>
    </vt:vector>
  </HeadingPairs>
  <TitlesOfParts>
    <vt:vector size="40" baseType="lpstr">
      <vt:lpstr>WorkSheet</vt:lpstr>
      <vt:lpstr>Feuil1</vt:lpstr>
      <vt:lpstr>Feuil2</vt:lpstr>
      <vt:lpstr>alpha</vt:lpstr>
      <vt:lpstr>beta</vt:lpstr>
      <vt:lpstr>betaRoot</vt:lpstr>
      <vt:lpstr>Bgc_1</vt:lpstr>
      <vt:lpstr>Bgc_2</vt:lpstr>
      <vt:lpstr>Bgc_3</vt:lpstr>
      <vt:lpstr>depth1</vt:lpstr>
      <vt:lpstr>depth2</vt:lpstr>
      <vt:lpstr>depth3</vt:lpstr>
      <vt:lpstr>fRootToLeaf</vt:lpstr>
      <vt:lpstr>I</vt:lpstr>
      <vt:lpstr>kroot1</vt:lpstr>
      <vt:lpstr>kroot2</vt:lpstr>
      <vt:lpstr>kroot3</vt:lpstr>
      <vt:lpstr>KRootTotal</vt:lpstr>
      <vt:lpstr>Ksat</vt:lpstr>
      <vt:lpstr>La</vt:lpstr>
      <vt:lpstr>La_1</vt:lpstr>
      <vt:lpstr>La_2</vt:lpstr>
      <vt:lpstr>La_3</vt:lpstr>
      <vt:lpstr>LAI</vt:lpstr>
      <vt:lpstr>Lv_1</vt:lpstr>
      <vt:lpstr>Lv_2</vt:lpstr>
      <vt:lpstr>Lv_3</vt:lpstr>
      <vt:lpstr>m</vt:lpstr>
      <vt:lpstr>n</vt:lpstr>
      <vt:lpstr>RAI</vt:lpstr>
      <vt:lpstr>rc_vg</vt:lpstr>
      <vt:lpstr>RFC_1</vt:lpstr>
      <vt:lpstr>RFC_2</vt:lpstr>
      <vt:lpstr>RFC_3</vt:lpstr>
      <vt:lpstr>root_radius</vt:lpstr>
      <vt:lpstr>rootP1</vt:lpstr>
      <vt:lpstr>rootP2</vt:lpstr>
      <vt:lpstr>rootP3</vt:lpstr>
      <vt:lpstr>sc_vg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2021-06-15T14:01:23Z</dcterms:modified>
</cp:coreProperties>
</file>