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ruffault/Dropbox/Mon Mac (MacBook-Pro-de-Julien.local)/Desktop/SurEau-Ecos/for_development/dev_documentation/"/>
    </mc:Choice>
  </mc:AlternateContent>
  <xr:revisionPtr revIDLastSave="0" documentId="13_ncr:1_{4AFC141A-80FF-AB4A-9672-AB7D04491BA6}" xr6:coauthVersionLast="47" xr6:coauthVersionMax="47" xr10:uidLastSave="{00000000-0000-0000-0000-000000000000}"/>
  <bookViews>
    <workbookView xWindow="8000" yWindow="500" windowWidth="31000" windowHeight="17440" activeTab="2" xr2:uid="{D9106142-DCBD-4E45-A888-1E539F445614}"/>
  </bookViews>
  <sheets>
    <sheet name="WorkSheet" sheetId="1" r:id="rId1"/>
    <sheet name="Feuil1" sheetId="3" r:id="rId2"/>
    <sheet name="Feuil2" sheetId="4" r:id="rId3"/>
  </sheets>
  <definedNames>
    <definedName name="alpha">WorkSheet!$G$16</definedName>
    <definedName name="beta">WorkSheet!$G$29</definedName>
    <definedName name="betaRoot">WorkSheet!$G$29</definedName>
    <definedName name="Bgc_1">WorkSheet!$O$19</definedName>
    <definedName name="Bgc_2">WorkSheet!$O$20</definedName>
    <definedName name="Bgc_3">WorkSheet!$O$21</definedName>
    <definedName name="depth1">WorkSheet!$G$7</definedName>
    <definedName name="depth2">WorkSheet!$G$8</definedName>
    <definedName name="depth3">WorkSheet!$G$9</definedName>
    <definedName name="fRootToLeaf">WorkSheet!$G$27</definedName>
    <definedName name="I">WorkSheet!$G$18</definedName>
    <definedName name="kroot1">WorkSheet!$O$22</definedName>
    <definedName name="kroot2">WorkSheet!$O$23</definedName>
    <definedName name="kroot3">WorkSheet!$O$24</definedName>
    <definedName name="KRootTotal">WorkSheet!$G$26</definedName>
    <definedName name="Ksat">WorkSheet!$G$19</definedName>
    <definedName name="La">WorkSheet!$O$12</definedName>
    <definedName name="La_1">WorkSheet!$O$13</definedName>
    <definedName name="La_2">WorkSheet!$O$14</definedName>
    <definedName name="La_3">WorkSheet!$O$15</definedName>
    <definedName name="LAI">WorkSheet!$G$28</definedName>
    <definedName name="Lv_1">WorkSheet!$O$16</definedName>
    <definedName name="Lv_2">WorkSheet!$O$17</definedName>
    <definedName name="Lv_3">WorkSheet!$O$18</definedName>
    <definedName name="m">WorkSheet!$O$8</definedName>
    <definedName name="n">WorkSheet!$G$17</definedName>
    <definedName name="RAI">WorkSheet!$O$7</definedName>
    <definedName name="rc_vg">WorkSheet!$G$21</definedName>
    <definedName name="RFC_1">WorkSheet!$G$10</definedName>
    <definedName name="RFC_2">WorkSheet!$G$11</definedName>
    <definedName name="RFC_3">WorkSheet!$G$12</definedName>
    <definedName name="root_radius">WorkSheet!$G$25</definedName>
    <definedName name="rootP1">WorkSheet!$O$9</definedName>
    <definedName name="rootP2">WorkSheet!$O$10</definedName>
    <definedName name="rootP3">WorkSheet!$O$11</definedName>
    <definedName name="sc_vg">WorkSheet!$G$20</definedName>
    <definedName name="Value">WorkSheet!$G$16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7" i="1" l="1"/>
  <c r="AD9" i="1"/>
  <c r="AD11" i="1"/>
  <c r="AD25" i="1"/>
  <c r="AD26" i="1"/>
  <c r="AE26" i="1" s="1"/>
  <c r="AD27" i="1"/>
  <c r="AE27" i="1" s="1"/>
  <c r="AD28" i="1"/>
  <c r="AD41" i="1"/>
  <c r="AD42" i="1"/>
  <c r="AD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" i="1"/>
  <c r="R67" i="1"/>
  <c r="AD67" i="1" s="1"/>
  <c r="O31" i="1"/>
  <c r="O8" i="1"/>
  <c r="AE36" i="1" s="1"/>
  <c r="R54" i="1"/>
  <c r="AD54" i="1" s="1"/>
  <c r="R55" i="1"/>
  <c r="AD55" i="1" s="1"/>
  <c r="R56" i="1"/>
  <c r="AD56" i="1" s="1"/>
  <c r="R57" i="1"/>
  <c r="AD57" i="1" s="1"/>
  <c r="R58" i="1"/>
  <c r="AD58" i="1" s="1"/>
  <c r="R59" i="1"/>
  <c r="AD59" i="1" s="1"/>
  <c r="R60" i="1"/>
  <c r="AD60" i="1" s="1"/>
  <c r="R61" i="1"/>
  <c r="AD61" i="1" s="1"/>
  <c r="R62" i="1"/>
  <c r="AD62" i="1" s="1"/>
  <c r="R63" i="1"/>
  <c r="AD63" i="1" s="1"/>
  <c r="R64" i="1"/>
  <c r="AD64" i="1" s="1"/>
  <c r="R65" i="1"/>
  <c r="AD65" i="1" s="1"/>
  <c r="R66" i="1"/>
  <c r="AD66" i="1" s="1"/>
  <c r="R43" i="1"/>
  <c r="AD43" i="1" s="1"/>
  <c r="R44" i="1"/>
  <c r="AD44" i="1" s="1"/>
  <c r="R45" i="1"/>
  <c r="AD45" i="1" s="1"/>
  <c r="R46" i="1"/>
  <c r="AD46" i="1" s="1"/>
  <c r="R47" i="1"/>
  <c r="AD47" i="1" s="1"/>
  <c r="R48" i="1"/>
  <c r="AD48" i="1" s="1"/>
  <c r="R49" i="1"/>
  <c r="AD49" i="1" s="1"/>
  <c r="R50" i="1"/>
  <c r="AD50" i="1" s="1"/>
  <c r="R51" i="1"/>
  <c r="AD51" i="1" s="1"/>
  <c r="R52" i="1"/>
  <c r="AD52" i="1" s="1"/>
  <c r="R53" i="1"/>
  <c r="AD53" i="1" s="1"/>
  <c r="R25" i="1"/>
  <c r="R26" i="1"/>
  <c r="R27" i="1"/>
  <c r="R28" i="1"/>
  <c r="R29" i="1"/>
  <c r="AD29" i="1" s="1"/>
  <c r="R30" i="1"/>
  <c r="AD30" i="1" s="1"/>
  <c r="R31" i="1"/>
  <c r="AD31" i="1" s="1"/>
  <c r="R32" i="1"/>
  <c r="AD32" i="1" s="1"/>
  <c r="R33" i="1"/>
  <c r="AD33" i="1" s="1"/>
  <c r="AE33" i="1" s="1"/>
  <c r="R34" i="1"/>
  <c r="AD34" i="1" s="1"/>
  <c r="AE34" i="1" s="1"/>
  <c r="R35" i="1"/>
  <c r="AD35" i="1" s="1"/>
  <c r="AE35" i="1" s="1"/>
  <c r="R36" i="1"/>
  <c r="AD36" i="1" s="1"/>
  <c r="R37" i="1"/>
  <c r="AD37" i="1" s="1"/>
  <c r="R38" i="1"/>
  <c r="AD38" i="1" s="1"/>
  <c r="R39" i="1"/>
  <c r="AD39" i="1" s="1"/>
  <c r="R40" i="1"/>
  <c r="AD40" i="1" s="1"/>
  <c r="R41" i="1"/>
  <c r="R42" i="1"/>
  <c r="R9" i="1"/>
  <c r="R10" i="1"/>
  <c r="AD10" i="1" s="1"/>
  <c r="R11" i="1"/>
  <c r="R12" i="1"/>
  <c r="AD12" i="1" s="1"/>
  <c r="R13" i="1"/>
  <c r="AD13" i="1" s="1"/>
  <c r="R14" i="1"/>
  <c r="AD14" i="1" s="1"/>
  <c r="R15" i="1"/>
  <c r="AD15" i="1" s="1"/>
  <c r="R16" i="1"/>
  <c r="AD16" i="1" s="1"/>
  <c r="R17" i="1"/>
  <c r="AD17" i="1" s="1"/>
  <c r="AE17" i="1" s="1"/>
  <c r="R18" i="1"/>
  <c r="AD18" i="1" s="1"/>
  <c r="R19" i="1"/>
  <c r="AD19" i="1" s="1"/>
  <c r="R20" i="1"/>
  <c r="AD20" i="1" s="1"/>
  <c r="R21" i="1"/>
  <c r="AD21" i="1" s="1"/>
  <c r="R22" i="1"/>
  <c r="AD22" i="1" s="1"/>
  <c r="R23" i="1"/>
  <c r="AD23" i="1" s="1"/>
  <c r="R24" i="1"/>
  <c r="AD24" i="1" s="1"/>
  <c r="R8" i="1"/>
  <c r="AD8" i="1" s="1"/>
  <c r="O9" i="1"/>
  <c r="O7" i="1"/>
  <c r="O12" i="1" s="1"/>
  <c r="AE12" i="1" l="1"/>
  <c r="AE42" i="1"/>
  <c r="AE20" i="1"/>
  <c r="AE19" i="1"/>
  <c r="AE9" i="1"/>
  <c r="AE11" i="1"/>
  <c r="AE28" i="1"/>
  <c r="AE41" i="1"/>
  <c r="AE25" i="1"/>
  <c r="AE14" i="1"/>
  <c r="AE32" i="1"/>
  <c r="AE45" i="1"/>
  <c r="AE13" i="1"/>
  <c r="AE30" i="1"/>
  <c r="AE43" i="1"/>
  <c r="AE67" i="1"/>
  <c r="AE37" i="1"/>
  <c r="AE29" i="1"/>
  <c r="AE50" i="1"/>
  <c r="AE66" i="1"/>
  <c r="AE58" i="1"/>
  <c r="AE31" i="1"/>
  <c r="AE60" i="1"/>
  <c r="AE38" i="1"/>
  <c r="AE22" i="1"/>
  <c r="AE21" i="1"/>
  <c r="AE52" i="1"/>
  <c r="AE51" i="1"/>
  <c r="AE59" i="1"/>
  <c r="AE18" i="1"/>
  <c r="AE10" i="1"/>
  <c r="AE49" i="1"/>
  <c r="AE65" i="1"/>
  <c r="AE57" i="1"/>
  <c r="AE8" i="1"/>
  <c r="AE48" i="1"/>
  <c r="AE64" i="1"/>
  <c r="AE56" i="1"/>
  <c r="AE40" i="1"/>
  <c r="AE53" i="1"/>
  <c r="AE61" i="1"/>
  <c r="AE39" i="1"/>
  <c r="AE44" i="1"/>
  <c r="AE24" i="1"/>
  <c r="AE16" i="1"/>
  <c r="AE47" i="1"/>
  <c r="AE63" i="1"/>
  <c r="AE55" i="1"/>
  <c r="AE23" i="1"/>
  <c r="AE15" i="1"/>
  <c r="AE46" i="1"/>
  <c r="AE62" i="1"/>
  <c r="AE54" i="1"/>
  <c r="O10" i="1"/>
  <c r="O23" i="1" s="1"/>
  <c r="O22" i="1"/>
  <c r="O13" i="1"/>
  <c r="V11" i="1" l="1"/>
  <c r="V19" i="1"/>
  <c r="V27" i="1"/>
  <c r="V35" i="1"/>
  <c r="V43" i="1"/>
  <c r="V51" i="1"/>
  <c r="V59" i="1"/>
  <c r="V67" i="1"/>
  <c r="V53" i="1"/>
  <c r="V32" i="1"/>
  <c r="V48" i="1"/>
  <c r="V14" i="1"/>
  <c r="V22" i="1"/>
  <c r="V30" i="1"/>
  <c r="V38" i="1"/>
  <c r="V46" i="1"/>
  <c r="V54" i="1"/>
  <c r="V62" i="1"/>
  <c r="V29" i="1"/>
  <c r="V40" i="1"/>
  <c r="V9" i="1"/>
  <c r="V17" i="1"/>
  <c r="V25" i="1"/>
  <c r="V33" i="1"/>
  <c r="V41" i="1"/>
  <c r="V49" i="1"/>
  <c r="V57" i="1"/>
  <c r="V65" i="1"/>
  <c r="V37" i="1"/>
  <c r="V24" i="1"/>
  <c r="V56" i="1"/>
  <c r="V12" i="1"/>
  <c r="V20" i="1"/>
  <c r="V28" i="1"/>
  <c r="V36" i="1"/>
  <c r="V44" i="1"/>
  <c r="V52" i="1"/>
  <c r="V60" i="1"/>
  <c r="V15" i="1"/>
  <c r="V23" i="1"/>
  <c r="V31" i="1"/>
  <c r="V39" i="1"/>
  <c r="V47" i="1"/>
  <c r="V55" i="1"/>
  <c r="V63" i="1"/>
  <c r="V13" i="1"/>
  <c r="V45" i="1"/>
  <c r="V61" i="1"/>
  <c r="V16" i="1"/>
  <c r="V64" i="1"/>
  <c r="V10" i="1"/>
  <c r="V18" i="1"/>
  <c r="V26" i="1"/>
  <c r="V34" i="1"/>
  <c r="V42" i="1"/>
  <c r="V50" i="1"/>
  <c r="V58" i="1"/>
  <c r="V66" i="1"/>
  <c r="V8" i="1"/>
  <c r="V21" i="1"/>
  <c r="W16" i="1"/>
  <c r="W24" i="1"/>
  <c r="W32" i="1"/>
  <c r="W40" i="1"/>
  <c r="W48" i="1"/>
  <c r="W56" i="1"/>
  <c r="W64" i="1"/>
  <c r="W26" i="1"/>
  <c r="W61" i="1"/>
  <c r="W11" i="1"/>
  <c r="W19" i="1"/>
  <c r="W27" i="1"/>
  <c r="W35" i="1"/>
  <c r="W43" i="1"/>
  <c r="W51" i="1"/>
  <c r="W59" i="1"/>
  <c r="W67" i="1"/>
  <c r="W58" i="1"/>
  <c r="W29" i="1"/>
  <c r="W53" i="1"/>
  <c r="W14" i="1"/>
  <c r="W22" i="1"/>
  <c r="W30" i="1"/>
  <c r="W38" i="1"/>
  <c r="W46" i="1"/>
  <c r="W54" i="1"/>
  <c r="W62" i="1"/>
  <c r="W10" i="1"/>
  <c r="W66" i="1"/>
  <c r="W9" i="1"/>
  <c r="W17" i="1"/>
  <c r="W25" i="1"/>
  <c r="W33" i="1"/>
  <c r="W41" i="1"/>
  <c r="W49" i="1"/>
  <c r="W57" i="1"/>
  <c r="W65" i="1"/>
  <c r="W18" i="1"/>
  <c r="W21" i="1"/>
  <c r="W45" i="1"/>
  <c r="W12" i="1"/>
  <c r="W20" i="1"/>
  <c r="W28" i="1"/>
  <c r="W36" i="1"/>
  <c r="W44" i="1"/>
  <c r="W52" i="1"/>
  <c r="W60" i="1"/>
  <c r="W8" i="1"/>
  <c r="W34" i="1"/>
  <c r="W15" i="1"/>
  <c r="W23" i="1"/>
  <c r="W31" i="1"/>
  <c r="W39" i="1"/>
  <c r="W47" i="1"/>
  <c r="W55" i="1"/>
  <c r="W63" i="1"/>
  <c r="W42" i="1"/>
  <c r="W50" i="1"/>
  <c r="W13" i="1"/>
  <c r="W37" i="1"/>
  <c r="O16" i="1"/>
  <c r="O19" i="1" s="1"/>
  <c r="O11" i="1"/>
  <c r="O14" i="1"/>
  <c r="S64" i="1" l="1"/>
  <c r="Y64" i="1" s="1"/>
  <c r="S52" i="1"/>
  <c r="Y52" i="1" s="1"/>
  <c r="S60" i="1"/>
  <c r="Y60" i="1" s="1"/>
  <c r="S34" i="1"/>
  <c r="Y34" i="1" s="1"/>
  <c r="S42" i="1"/>
  <c r="Y42" i="1" s="1"/>
  <c r="S16" i="1"/>
  <c r="Y16" i="1" s="1"/>
  <c r="S24" i="1"/>
  <c r="Y24" i="1" s="1"/>
  <c r="S11" i="1"/>
  <c r="Y11" i="1" s="1"/>
  <c r="S67" i="1"/>
  <c r="Y67" i="1" s="1"/>
  <c r="S37" i="1"/>
  <c r="Y37" i="1" s="1"/>
  <c r="S56" i="1"/>
  <c r="Y56" i="1" s="1"/>
  <c r="S20" i="1"/>
  <c r="Y20" i="1" s="1"/>
  <c r="S29" i="1"/>
  <c r="Y29" i="1" s="1"/>
  <c r="S32" i="1"/>
  <c r="Y32" i="1" s="1"/>
  <c r="S59" i="1"/>
  <c r="Y59" i="1" s="1"/>
  <c r="S23" i="1"/>
  <c r="Y23" i="1" s="1"/>
  <c r="S65" i="1"/>
  <c r="Y65" i="1" s="1"/>
  <c r="S53" i="1"/>
  <c r="Y53" i="1" s="1"/>
  <c r="S61" i="1"/>
  <c r="Y61" i="1" s="1"/>
  <c r="S35" i="1"/>
  <c r="Y35" i="1" s="1"/>
  <c r="S43" i="1"/>
  <c r="Y43" i="1" s="1"/>
  <c r="S17" i="1"/>
  <c r="Y17" i="1" s="1"/>
  <c r="S25" i="1"/>
  <c r="Y25" i="1" s="1"/>
  <c r="S12" i="1"/>
  <c r="Y12" i="1" s="1"/>
  <c r="S63" i="1"/>
  <c r="Y63" i="1" s="1"/>
  <c r="S19" i="1"/>
  <c r="Y19" i="1" s="1"/>
  <c r="S8" i="1"/>
  <c r="Y8" i="1" s="1"/>
  <c r="S30" i="1"/>
  <c r="Y30" i="1" s="1"/>
  <c r="S46" i="1"/>
  <c r="Y46" i="1" s="1"/>
  <c r="S57" i="1"/>
  <c r="Y57" i="1" s="1"/>
  <c r="S39" i="1"/>
  <c r="Y39" i="1" s="1"/>
  <c r="S21" i="1"/>
  <c r="Y21" i="1" s="1"/>
  <c r="S58" i="1"/>
  <c r="Y58" i="1" s="1"/>
  <c r="S14" i="1"/>
  <c r="Y14" i="1" s="1"/>
  <c r="S66" i="1"/>
  <c r="Y66" i="1" s="1"/>
  <c r="S54" i="1"/>
  <c r="Y54" i="1" s="1"/>
  <c r="S62" i="1"/>
  <c r="Y62" i="1" s="1"/>
  <c r="S36" i="1"/>
  <c r="Y36" i="1" s="1"/>
  <c r="S44" i="1"/>
  <c r="Y44" i="1" s="1"/>
  <c r="S18" i="1"/>
  <c r="Y18" i="1" s="1"/>
  <c r="S26" i="1"/>
  <c r="Y26" i="1" s="1"/>
  <c r="S13" i="1"/>
  <c r="Y13" i="1" s="1"/>
  <c r="S55" i="1"/>
  <c r="Y55" i="1" s="1"/>
  <c r="S45" i="1"/>
  <c r="Y45" i="1" s="1"/>
  <c r="S27" i="1"/>
  <c r="Y27" i="1" s="1"/>
  <c r="S48" i="1"/>
  <c r="Y48" i="1" s="1"/>
  <c r="S38" i="1"/>
  <c r="Y38" i="1" s="1"/>
  <c r="S28" i="1"/>
  <c r="Y28" i="1" s="1"/>
  <c r="S49" i="1"/>
  <c r="Y49" i="1" s="1"/>
  <c r="S31" i="1"/>
  <c r="Y31" i="1" s="1"/>
  <c r="S47" i="1"/>
  <c r="Y47" i="1" s="1"/>
  <c r="S50" i="1"/>
  <c r="Y50" i="1" s="1"/>
  <c r="S40" i="1"/>
  <c r="Y40" i="1" s="1"/>
  <c r="S33" i="1"/>
  <c r="Y33" i="1" s="1"/>
  <c r="S10" i="1"/>
  <c r="Y10" i="1" s="1"/>
  <c r="S9" i="1"/>
  <c r="Y9" i="1" s="1"/>
  <c r="S51" i="1"/>
  <c r="Y51" i="1" s="1"/>
  <c r="S15" i="1"/>
  <c r="Y15" i="1" s="1"/>
  <c r="S22" i="1"/>
  <c r="Y22" i="1" s="1"/>
  <c r="S41" i="1"/>
  <c r="Y41" i="1" s="1"/>
  <c r="O24" i="1"/>
  <c r="O15" i="1"/>
  <c r="O17" i="1"/>
  <c r="O20" i="1" s="1"/>
  <c r="T16" i="1" s="1"/>
  <c r="X13" i="1" l="1"/>
  <c r="X21" i="1"/>
  <c r="X29" i="1"/>
  <c r="X37" i="1"/>
  <c r="X45" i="1"/>
  <c r="X53" i="1"/>
  <c r="X61" i="1"/>
  <c r="X18" i="1"/>
  <c r="X16" i="1"/>
  <c r="X24" i="1"/>
  <c r="X32" i="1"/>
  <c r="X40" i="1"/>
  <c r="X48" i="1"/>
  <c r="X56" i="1"/>
  <c r="X64" i="1"/>
  <c r="X10" i="1"/>
  <c r="X66" i="1"/>
  <c r="X11" i="1"/>
  <c r="X19" i="1"/>
  <c r="X27" i="1"/>
  <c r="X35" i="1"/>
  <c r="X43" i="1"/>
  <c r="X51" i="1"/>
  <c r="X59" i="1"/>
  <c r="X67" i="1"/>
  <c r="X47" i="1"/>
  <c r="X14" i="1"/>
  <c r="X22" i="1"/>
  <c r="X30" i="1"/>
  <c r="X38" i="1"/>
  <c r="X46" i="1"/>
  <c r="X54" i="1"/>
  <c r="X62" i="1"/>
  <c r="X8" i="1"/>
  <c r="X39" i="1"/>
  <c r="X55" i="1"/>
  <c r="X34" i="1"/>
  <c r="X58" i="1"/>
  <c r="X9" i="1"/>
  <c r="X17" i="1"/>
  <c r="X25" i="1"/>
  <c r="X33" i="1"/>
  <c r="X41" i="1"/>
  <c r="X49" i="1"/>
  <c r="X57" i="1"/>
  <c r="X65" i="1"/>
  <c r="X42" i="1"/>
  <c r="X12" i="1"/>
  <c r="X20" i="1"/>
  <c r="X28" i="1"/>
  <c r="X36" i="1"/>
  <c r="X44" i="1"/>
  <c r="X52" i="1"/>
  <c r="X60" i="1"/>
  <c r="X15" i="1"/>
  <c r="X23" i="1"/>
  <c r="X31" i="1"/>
  <c r="X63" i="1"/>
  <c r="X26" i="1"/>
  <c r="X50" i="1"/>
  <c r="T9" i="1"/>
  <c r="Z9" i="1" s="1"/>
  <c r="T17" i="1"/>
  <c r="Z17" i="1" s="1"/>
  <c r="T25" i="1"/>
  <c r="Z25" i="1" s="1"/>
  <c r="T33" i="1"/>
  <c r="Z33" i="1" s="1"/>
  <c r="T41" i="1"/>
  <c r="Z41" i="1" s="1"/>
  <c r="T49" i="1"/>
  <c r="Z49" i="1" s="1"/>
  <c r="T57" i="1"/>
  <c r="Z57" i="1" s="1"/>
  <c r="T65" i="1"/>
  <c r="Z65" i="1" s="1"/>
  <c r="T36" i="1"/>
  <c r="Z36" i="1" s="1"/>
  <c r="T29" i="1"/>
  <c r="Z29" i="1" s="1"/>
  <c r="T31" i="1"/>
  <c r="Z31" i="1" s="1"/>
  <c r="T24" i="1"/>
  <c r="Z24" i="1" s="1"/>
  <c r="T10" i="1"/>
  <c r="Z10" i="1" s="1"/>
  <c r="T18" i="1"/>
  <c r="Z18" i="1" s="1"/>
  <c r="T26" i="1"/>
  <c r="Z26" i="1" s="1"/>
  <c r="T34" i="1"/>
  <c r="Z34" i="1" s="1"/>
  <c r="T42" i="1"/>
  <c r="Z42" i="1" s="1"/>
  <c r="T50" i="1"/>
  <c r="Z50" i="1" s="1"/>
  <c r="T58" i="1"/>
  <c r="Z58" i="1" s="1"/>
  <c r="T66" i="1"/>
  <c r="Z66" i="1" s="1"/>
  <c r="T28" i="1"/>
  <c r="Z28" i="1" s="1"/>
  <c r="T44" i="1"/>
  <c r="Z44" i="1" s="1"/>
  <c r="T60" i="1"/>
  <c r="Z60" i="1" s="1"/>
  <c r="T37" i="1"/>
  <c r="Z37" i="1" s="1"/>
  <c r="T45" i="1"/>
  <c r="Z45" i="1" s="1"/>
  <c r="T61" i="1"/>
  <c r="Z61" i="1" s="1"/>
  <c r="T14" i="1"/>
  <c r="Z14" i="1" s="1"/>
  <c r="T38" i="1"/>
  <c r="Z38" i="1" s="1"/>
  <c r="T54" i="1"/>
  <c r="Z54" i="1" s="1"/>
  <c r="T23" i="1"/>
  <c r="Z23" i="1" s="1"/>
  <c r="T47" i="1"/>
  <c r="Z47" i="1" s="1"/>
  <c r="T11" i="1"/>
  <c r="Z11" i="1" s="1"/>
  <c r="T19" i="1"/>
  <c r="Z19" i="1" s="1"/>
  <c r="T27" i="1"/>
  <c r="Z27" i="1" s="1"/>
  <c r="T35" i="1"/>
  <c r="Z35" i="1" s="1"/>
  <c r="T43" i="1"/>
  <c r="Z43" i="1" s="1"/>
  <c r="T51" i="1"/>
  <c r="Z51" i="1" s="1"/>
  <c r="T59" i="1"/>
  <c r="Z59" i="1" s="1"/>
  <c r="T67" i="1"/>
  <c r="Z67" i="1" s="1"/>
  <c r="T20" i="1"/>
  <c r="Z20" i="1" s="1"/>
  <c r="T52" i="1"/>
  <c r="Z52" i="1" s="1"/>
  <c r="T8" i="1"/>
  <c r="Z8" i="1" s="1"/>
  <c r="T21" i="1"/>
  <c r="Z21" i="1" s="1"/>
  <c r="T53" i="1"/>
  <c r="Z53" i="1" s="1"/>
  <c r="T22" i="1"/>
  <c r="Z22" i="1" s="1"/>
  <c r="T30" i="1"/>
  <c r="Z30" i="1" s="1"/>
  <c r="T46" i="1"/>
  <c r="Z46" i="1" s="1"/>
  <c r="T62" i="1"/>
  <c r="Z62" i="1" s="1"/>
  <c r="T15" i="1"/>
  <c r="Z15" i="1" s="1"/>
  <c r="T39" i="1"/>
  <c r="Z39" i="1" s="1"/>
  <c r="T63" i="1"/>
  <c r="Z63" i="1" s="1"/>
  <c r="Z16" i="1"/>
  <c r="T32" i="1"/>
  <c r="Z32" i="1" s="1"/>
  <c r="T56" i="1"/>
  <c r="Z56" i="1" s="1"/>
  <c r="T64" i="1"/>
  <c r="Z64" i="1" s="1"/>
  <c r="T12" i="1"/>
  <c r="Z12" i="1" s="1"/>
  <c r="T48" i="1"/>
  <c r="Z48" i="1" s="1"/>
  <c r="T13" i="1"/>
  <c r="Z13" i="1" s="1"/>
  <c r="T55" i="1"/>
  <c r="Z55" i="1" s="1"/>
  <c r="T40" i="1"/>
  <c r="Z40" i="1" s="1"/>
  <c r="O18" i="1"/>
  <c r="O21" i="1" s="1"/>
  <c r="U29" i="1" l="1"/>
  <c r="AA29" i="1" s="1"/>
  <c r="U52" i="1"/>
  <c r="AA52" i="1" s="1"/>
  <c r="U60" i="1"/>
  <c r="AA60" i="1" s="1"/>
  <c r="U8" i="1"/>
  <c r="AA8" i="1" s="1"/>
  <c r="U54" i="1"/>
  <c r="AA54" i="1" s="1"/>
  <c r="U39" i="1"/>
  <c r="AA39" i="1" s="1"/>
  <c r="U46" i="1"/>
  <c r="AA46" i="1" s="1"/>
  <c r="U35" i="1"/>
  <c r="AA35" i="1" s="1"/>
  <c r="U37" i="1"/>
  <c r="AA37" i="1" s="1"/>
  <c r="U33" i="1"/>
  <c r="AA33" i="1" s="1"/>
  <c r="U58" i="1"/>
  <c r="AA58" i="1" s="1"/>
  <c r="U27" i="1"/>
  <c r="AA27" i="1" s="1"/>
  <c r="U31" i="1"/>
  <c r="AA31" i="1" s="1"/>
  <c r="U40" i="1"/>
  <c r="AA40" i="1" s="1"/>
  <c r="U24" i="1"/>
  <c r="AA24" i="1" s="1"/>
  <c r="U50" i="1"/>
  <c r="AA50" i="1" s="1"/>
  <c r="U53" i="1"/>
  <c r="AA53" i="1" s="1"/>
  <c r="U9" i="1"/>
  <c r="AA9" i="1" s="1"/>
  <c r="U17" i="1"/>
  <c r="AA17" i="1" s="1"/>
  <c r="U22" i="1"/>
  <c r="AA22" i="1" s="1"/>
  <c r="U65" i="1"/>
  <c r="AA65" i="1" s="1"/>
  <c r="U34" i="1"/>
  <c r="AA34" i="1" s="1"/>
  <c r="U19" i="1"/>
  <c r="AA19" i="1" s="1"/>
  <c r="U15" i="1"/>
  <c r="AA15" i="1" s="1"/>
  <c r="U48" i="1"/>
  <c r="AA48" i="1" s="1"/>
  <c r="U47" i="1"/>
  <c r="AA47" i="1" s="1"/>
  <c r="U18" i="1"/>
  <c r="AA18" i="1" s="1"/>
  <c r="U63" i="1"/>
  <c r="AA63" i="1" s="1"/>
  <c r="U38" i="1"/>
  <c r="AA38" i="1" s="1"/>
  <c r="U36" i="1"/>
  <c r="AA36" i="1" s="1"/>
  <c r="U28" i="1"/>
  <c r="AA28" i="1" s="1"/>
  <c r="U51" i="1"/>
  <c r="AA51" i="1" s="1"/>
  <c r="U62" i="1"/>
  <c r="AA62" i="1" s="1"/>
  <c r="U11" i="1"/>
  <c r="AA11" i="1" s="1"/>
  <c r="U42" i="1"/>
  <c r="AA42" i="1" s="1"/>
  <c r="U16" i="1"/>
  <c r="AA16" i="1" s="1"/>
  <c r="U44" i="1"/>
  <c r="AA44" i="1" s="1"/>
  <c r="U20" i="1"/>
  <c r="AA20" i="1" s="1"/>
  <c r="U67" i="1"/>
  <c r="AA67" i="1" s="1"/>
  <c r="U64" i="1"/>
  <c r="AA64" i="1" s="1"/>
  <c r="U56" i="1"/>
  <c r="AA56" i="1" s="1"/>
  <c r="U61" i="1"/>
  <c r="AA61" i="1" s="1"/>
  <c r="U12" i="1"/>
  <c r="AA12" i="1" s="1"/>
  <c r="U41" i="1"/>
  <c r="AA41" i="1" s="1"/>
  <c r="U59" i="1"/>
  <c r="AA59" i="1" s="1"/>
  <c r="U10" i="1"/>
  <c r="AA10" i="1" s="1"/>
  <c r="U25" i="1"/>
  <c r="AA25" i="1" s="1"/>
  <c r="U57" i="1"/>
  <c r="AA57" i="1" s="1"/>
  <c r="U32" i="1"/>
  <c r="AA32" i="1" s="1"/>
  <c r="U21" i="1"/>
  <c r="AA21" i="1" s="1"/>
  <c r="U49" i="1"/>
  <c r="AA49" i="1" s="1"/>
  <c r="U13" i="1"/>
  <c r="AA13" i="1" s="1"/>
  <c r="U23" i="1"/>
  <c r="AA23" i="1" s="1"/>
  <c r="U55" i="1"/>
  <c r="AA55" i="1" s="1"/>
  <c r="U14" i="1"/>
  <c r="AA14" i="1" s="1"/>
  <c r="U30" i="1"/>
  <c r="AA30" i="1" s="1"/>
  <c r="U26" i="1"/>
  <c r="AA26" i="1" s="1"/>
  <c r="U43" i="1"/>
  <c r="AA43" i="1" s="1"/>
  <c r="U45" i="1"/>
  <c r="AA45" i="1" s="1"/>
  <c r="U66" i="1"/>
  <c r="AA66" i="1" s="1"/>
</calcChain>
</file>

<file path=xl/sharedStrings.xml><?xml version="1.0" encoding="utf-8"?>
<sst xmlns="http://schemas.openxmlformats.org/spreadsheetml/2006/main" count="260" uniqueCount="172">
  <si>
    <t>LAI</t>
  </si>
  <si>
    <t>m</t>
  </si>
  <si>
    <t>%</t>
  </si>
  <si>
    <t>-</t>
  </si>
  <si>
    <t>ksoilToCollar1</t>
  </si>
  <si>
    <t>ksoilToCollar2</t>
  </si>
  <si>
    <t>ksoilToCollar3</t>
  </si>
  <si>
    <t>Alpha_vg</t>
  </si>
  <si>
    <t>I_vg</t>
  </si>
  <si>
    <t>Ksat</t>
  </si>
  <si>
    <t>n_vg</t>
  </si>
  <si>
    <t>sc_vg</t>
  </si>
  <si>
    <t>rc_vg</t>
  </si>
  <si>
    <t>Description</t>
  </si>
  <si>
    <t>Parameter</t>
  </si>
  <si>
    <t>Value</t>
  </si>
  <si>
    <t>soil water content at saturation</t>
  </si>
  <si>
    <t>residual soil water content</t>
  </si>
  <si>
    <t>rooot radius</t>
  </si>
  <si>
    <t>La</t>
  </si>
  <si>
    <t>leaf area index</t>
  </si>
  <si>
    <t>Reference</t>
  </si>
  <si>
    <t>Equation</t>
  </si>
  <si>
    <t>m_vg</t>
  </si>
  <si>
    <t>REW</t>
  </si>
  <si>
    <t>ksoil1</t>
  </si>
  <si>
    <t>cm3.cm-3</t>
  </si>
  <si>
    <t>Julien Ruffault (julien.ruff@gmail.com) &amp; Nicolas Martin StPaul  (nicolas.martin@inrae.fr)</t>
  </si>
  <si>
    <t xml:space="preserve">Soil properties </t>
  </si>
  <si>
    <t>Units</t>
  </si>
  <si>
    <t>Typical Range</t>
  </si>
  <si>
    <t xml:space="preserve">Soil water retention curve  </t>
  </si>
  <si>
    <t>0 - 99</t>
  </si>
  <si>
    <t>R name</t>
  </si>
  <si>
    <t>sc</t>
  </si>
  <si>
    <t>rc</t>
  </si>
  <si>
    <t>I</t>
  </si>
  <si>
    <t>n</t>
  </si>
  <si>
    <t>alpha</t>
  </si>
  <si>
    <t>Vegetation parameters</t>
  </si>
  <si>
    <t>Shape parameter</t>
  </si>
  <si>
    <t>Shape parmeter</t>
  </si>
  <si>
    <t>Conductivity at saturation</t>
  </si>
  <si>
    <t>rr</t>
  </si>
  <si>
    <t>Instructions : enter soils and vegetation parameters.</t>
  </si>
  <si>
    <t>RAI</t>
  </si>
  <si>
    <t>Root area index</t>
  </si>
  <si>
    <t>Root proportion in layer 1</t>
  </si>
  <si>
    <t>Root proportion in layer 2</t>
  </si>
  <si>
    <t>Root proportion in layer 3</t>
  </si>
  <si>
    <r>
      <t xml:space="preserve">Soil-root calibration for </t>
    </r>
    <r>
      <rPr>
        <b/>
        <i/>
        <sz val="16"/>
        <color rgb="FFFF0000"/>
        <rFont val="Arial"/>
        <family val="2"/>
      </rPr>
      <t>SurEau-Ecos</t>
    </r>
  </si>
  <si>
    <r>
      <t>k</t>
    </r>
    <r>
      <rPr>
        <i/>
        <sz val="9"/>
        <color theme="9" tint="-0.249977111117893"/>
        <rFont val="Calibri (Corps)"/>
      </rPr>
      <t>RootTotal</t>
    </r>
  </si>
  <si>
    <t>RFC1</t>
  </si>
  <si>
    <t>RFC2</t>
  </si>
  <si>
    <t>RFC3</t>
  </si>
  <si>
    <t>0.5 - 3</t>
  </si>
  <si>
    <t>fRootToLeaf</t>
  </si>
  <si>
    <t>1.5 - 8</t>
  </si>
  <si>
    <t>"</t>
  </si>
  <si>
    <r>
      <t>root</t>
    </r>
    <r>
      <rPr>
        <i/>
        <sz val="8"/>
        <color theme="9" tint="-0.249977111117893"/>
        <rFont val="Calibri (Corps)"/>
      </rPr>
      <t>radius</t>
    </r>
  </si>
  <si>
    <r>
      <t>RFC</t>
    </r>
    <r>
      <rPr>
        <i/>
        <vertAlign val="subscript"/>
        <sz val="10"/>
        <color theme="5" tint="-0.249977111117893"/>
        <rFont val="Arial"/>
        <family val="2"/>
      </rPr>
      <t>1</t>
    </r>
  </si>
  <si>
    <r>
      <t>RFC</t>
    </r>
    <r>
      <rPr>
        <i/>
        <vertAlign val="subscript"/>
        <sz val="10"/>
        <color theme="5" tint="-0.249977111117893"/>
        <rFont val="Arial"/>
        <family val="2"/>
      </rPr>
      <t>2</t>
    </r>
  </si>
  <si>
    <r>
      <t>RFC</t>
    </r>
    <r>
      <rPr>
        <i/>
        <vertAlign val="subscript"/>
        <sz val="10"/>
        <color theme="5" tint="-0.249977111117893"/>
        <rFont val="Arial"/>
        <family val="2"/>
      </rPr>
      <t>3</t>
    </r>
  </si>
  <si>
    <r>
      <t>cm</t>
    </r>
    <r>
      <rPr>
        <i/>
        <vertAlign val="superscript"/>
        <sz val="10"/>
        <color theme="8" tint="-0.249977111117893"/>
        <rFont val="Arial"/>
        <family val="2"/>
      </rPr>
      <t>-1</t>
    </r>
  </si>
  <si>
    <r>
      <t>cm.d</t>
    </r>
    <r>
      <rPr>
        <i/>
        <vertAlign val="superscript"/>
        <sz val="10"/>
        <color theme="8" tint="-0.249977111117893"/>
        <rFont val="Arial"/>
        <family val="2"/>
      </rPr>
      <t>-1</t>
    </r>
  </si>
  <si>
    <t>betaRootProfile</t>
  </si>
  <si>
    <t>0.95 - 0.99</t>
  </si>
  <si>
    <r>
      <t>depth</t>
    </r>
    <r>
      <rPr>
        <i/>
        <vertAlign val="subscript"/>
        <sz val="10"/>
        <color theme="5" tint="-0.249977111117893"/>
        <rFont val="Arial"/>
        <family val="2"/>
      </rPr>
      <t>1</t>
    </r>
  </si>
  <si>
    <r>
      <t>depth</t>
    </r>
    <r>
      <rPr>
        <i/>
        <vertAlign val="subscript"/>
        <sz val="10"/>
        <color theme="5" tint="-0.249977111117893"/>
        <rFont val="Arial"/>
        <family val="2"/>
      </rPr>
      <t>2</t>
    </r>
  </si>
  <si>
    <r>
      <t>depth</t>
    </r>
    <r>
      <rPr>
        <i/>
        <vertAlign val="subscript"/>
        <sz val="10"/>
        <color theme="5" tint="-0.249977111117893"/>
        <rFont val="Arial"/>
        <family val="2"/>
      </rPr>
      <t>3</t>
    </r>
  </si>
  <si>
    <t>La1</t>
  </si>
  <si>
    <t>La2</t>
  </si>
  <si>
    <t>La3</t>
  </si>
  <si>
    <t>Lv1</t>
  </si>
  <si>
    <t>Lv2</t>
  </si>
  <si>
    <t>Lv3</t>
  </si>
  <si>
    <t>Bgc1</t>
  </si>
  <si>
    <t>Bgc2</t>
  </si>
  <si>
    <t>Bgc3</t>
  </si>
  <si>
    <t>rootP1</t>
  </si>
  <si>
    <t>rootP2</t>
  </si>
  <si>
    <t>rootP3</t>
  </si>
  <si>
    <t>betaRoot</t>
  </si>
  <si>
    <t>RAI/(2π*root_radius)</t>
  </si>
  <si>
    <t>La*rootP1</t>
  </si>
  <si>
    <t>La*rootP2</t>
  </si>
  <si>
    <t>La*rootP3</t>
  </si>
  <si>
    <t>La1 /[depth1*(1-RFC1/100)]</t>
  </si>
  <si>
    <r>
      <t xml:space="preserve"> f</t>
    </r>
    <r>
      <rPr>
        <vertAlign val="subscript"/>
        <sz val="8"/>
        <color theme="1"/>
        <rFont val="Arial"/>
        <family val="2"/>
      </rPr>
      <t>RootToLeaf</t>
    </r>
    <r>
      <rPr>
        <sz val="8"/>
        <color theme="1"/>
        <rFont val="Arial"/>
        <family val="2"/>
      </rPr>
      <t>*LAI</t>
    </r>
  </si>
  <si>
    <r>
      <t>1 - beta</t>
    </r>
    <r>
      <rPr>
        <vertAlign val="superscript"/>
        <sz val="8"/>
        <color theme="1"/>
        <rFont val="Arial"/>
        <family val="2"/>
      </rPr>
      <t>depth1</t>
    </r>
  </si>
  <si>
    <r>
      <t>1-beta</t>
    </r>
    <r>
      <rPr>
        <vertAlign val="superscript"/>
        <sz val="8"/>
        <color theme="1"/>
        <rFont val="Arial"/>
        <family val="2"/>
      </rPr>
      <t>depth2</t>
    </r>
    <r>
      <rPr>
        <sz val="8"/>
        <color theme="1"/>
        <rFont val="Arial"/>
        <family val="2"/>
      </rPr>
      <t xml:space="preserve"> -rootP1</t>
    </r>
  </si>
  <si>
    <r>
      <t>1-beta</t>
    </r>
    <r>
      <rPr>
        <vertAlign val="superscript"/>
        <sz val="8"/>
        <color theme="1"/>
        <rFont val="Arial"/>
        <family val="2"/>
      </rPr>
      <t>depth3</t>
    </r>
    <r>
      <rPr>
        <sz val="8"/>
        <color theme="1"/>
        <rFont val="Arial"/>
        <family val="2"/>
      </rPr>
      <t>-rootP1-rootP2</t>
    </r>
  </si>
  <si>
    <t>La2 /[(depth2-depth1)*(1-RFC3/100)]</t>
  </si>
  <si>
    <t>La3 /[(depth3-depth2)*(1-RFC3/100)]</t>
  </si>
  <si>
    <t>0.1 - 1</t>
  </si>
  <si>
    <t>depth[1]</t>
  </si>
  <si>
    <t>depth[2]</t>
  </si>
  <si>
    <t>depth[3]</t>
  </si>
  <si>
    <t>1 - 8</t>
  </si>
  <si>
    <t>0.1 - 2</t>
  </si>
  <si>
    <r>
      <t>Jackson</t>
    </r>
    <r>
      <rPr>
        <i/>
        <sz val="8"/>
        <color theme="1"/>
        <rFont val="Arial"/>
        <family val="2"/>
      </rPr>
      <t xml:space="preserve"> et al.</t>
    </r>
    <r>
      <rPr>
        <sz val="8"/>
        <color theme="1"/>
        <rFont val="Arial"/>
        <family val="2"/>
      </rPr>
      <t xml:space="preserve"> 1996</t>
    </r>
  </si>
  <si>
    <t>root length per unit volume of soil</t>
  </si>
  <si>
    <t>root length per unit surface of soil</t>
  </si>
  <si>
    <r>
      <t>m</t>
    </r>
    <r>
      <rPr>
        <vertAlign val="subscript"/>
        <sz val="10"/>
        <color theme="1"/>
        <rFont val="Arial"/>
        <family val="2"/>
      </rPr>
      <t>root</t>
    </r>
    <r>
      <rPr>
        <sz val="10"/>
        <color theme="1"/>
        <rFont val="Arial"/>
        <family val="2"/>
      </rPr>
      <t>.m</t>
    </r>
    <r>
      <rPr>
        <vertAlign val="subscript"/>
        <sz val="10"/>
        <color theme="1"/>
        <rFont val="Arial"/>
        <family val="2"/>
      </rPr>
      <t>soil</t>
    </r>
    <r>
      <rPr>
        <vertAlign val="superscript"/>
        <sz val="10"/>
        <color theme="1"/>
        <rFont val="Arial"/>
        <family val="2"/>
      </rPr>
      <t>-2</t>
    </r>
  </si>
  <si>
    <r>
      <t>m</t>
    </r>
    <r>
      <rPr>
        <vertAlign val="subscript"/>
        <sz val="10"/>
        <color theme="1"/>
        <rFont val="Arial"/>
        <family val="2"/>
      </rPr>
      <t>root</t>
    </r>
    <r>
      <rPr>
        <sz val="10"/>
        <color theme="1"/>
        <rFont val="Arial"/>
        <family val="2"/>
      </rPr>
      <t>.m</t>
    </r>
    <r>
      <rPr>
        <vertAlign val="subscript"/>
        <sz val="10"/>
        <color theme="1"/>
        <rFont val="Arial"/>
        <family val="2"/>
      </rPr>
      <t>soil</t>
    </r>
    <r>
      <rPr>
        <vertAlign val="superscript"/>
        <sz val="10"/>
        <color theme="1"/>
        <rFont val="Arial"/>
        <family val="2"/>
      </rPr>
      <t>-3</t>
    </r>
  </si>
  <si>
    <t>(2π*La1)/ln(b1/root_radius), b1=1/sqrt(π*Lv1)</t>
  </si>
  <si>
    <t>(2π*La3)/ln(b3/root_radius), b3=1/sqrt(π*Lv3)</t>
  </si>
  <si>
    <t>(2π*La2)/ln(b2/root_radius), b2=1/sqrt(π*Lv2)</t>
  </si>
  <si>
    <t>kroot1</t>
  </si>
  <si>
    <t>kroot2</t>
  </si>
  <si>
    <t>kroot3</t>
  </si>
  <si>
    <t>root conductance for layer 2</t>
  </si>
  <si>
    <t>root conductance for layer 1</t>
  </si>
  <si>
    <t>root conductance for layer 3</t>
  </si>
  <si>
    <r>
      <t>mmol.MPa</t>
    </r>
    <r>
      <rPr>
        <i/>
        <vertAlign val="superscript"/>
        <sz val="10"/>
        <color theme="9" tint="-0.249977111117893"/>
        <rFont val="Arial"/>
        <family val="2"/>
      </rPr>
      <t>-1</t>
    </r>
    <r>
      <rPr>
        <i/>
        <sz val="10"/>
        <color theme="9" tint="-0.249977111117893"/>
        <rFont val="Arial"/>
        <family val="2"/>
      </rPr>
      <t>.m</t>
    </r>
    <r>
      <rPr>
        <i/>
        <vertAlign val="superscript"/>
        <sz val="10"/>
        <color theme="9" tint="-0.249977111117893"/>
        <rFont val="Arial"/>
        <family val="2"/>
      </rPr>
      <t>-2</t>
    </r>
    <r>
      <rPr>
        <i/>
        <sz val="10"/>
        <color theme="9" tint="-0.249977111117893"/>
        <rFont val="Arial"/>
        <family val="2"/>
      </rPr>
      <t>.s</t>
    </r>
    <r>
      <rPr>
        <i/>
        <vertAlign val="superscript"/>
        <sz val="10"/>
        <color theme="9" tint="-0.249977111117893"/>
        <rFont val="Arial"/>
        <family val="2"/>
      </rPr>
      <t>-1</t>
    </r>
  </si>
  <si>
    <r>
      <t>mmol.MPa</t>
    </r>
    <r>
      <rPr>
        <vertAlign val="superscript"/>
        <sz val="10"/>
        <color theme="1"/>
        <rFont val="Arial"/>
        <family val="2"/>
      </rPr>
      <t>-1</t>
    </r>
    <r>
      <rPr>
        <sz val="10"/>
        <color theme="1"/>
        <rFont val="Arial"/>
        <family val="2"/>
      </rPr>
      <t>.m</t>
    </r>
    <r>
      <rPr>
        <vertAlign val="superscript"/>
        <sz val="10"/>
        <color theme="1"/>
        <rFont val="Arial"/>
        <family val="2"/>
      </rPr>
      <t>-2</t>
    </r>
    <r>
      <rPr>
        <sz val="10"/>
        <color theme="1"/>
        <rFont val="Arial"/>
        <family val="2"/>
      </rPr>
      <t>.s</t>
    </r>
    <r>
      <rPr>
        <vertAlign val="superscript"/>
        <sz val="10"/>
        <color theme="1"/>
        <rFont val="Arial"/>
        <family val="2"/>
      </rPr>
      <t>-1</t>
    </r>
  </si>
  <si>
    <t>Conductance analysis</t>
  </si>
  <si>
    <t>ksoil2</t>
  </si>
  <si>
    <t>root to Leaf ratio</t>
  </si>
  <si>
    <t>shape parameter for Van genuchten</t>
  </si>
  <si>
    <t>1-(1/n)</t>
  </si>
  <si>
    <r>
      <t>m</t>
    </r>
    <r>
      <rPr>
        <vertAlign val="subscript"/>
        <sz val="10"/>
        <color theme="1"/>
        <rFont val="Arial"/>
        <family val="2"/>
      </rPr>
      <t>root</t>
    </r>
    <r>
      <rPr>
        <vertAlign val="super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.m</t>
    </r>
    <r>
      <rPr>
        <vertAlign val="subscript"/>
        <sz val="10"/>
        <color theme="1"/>
        <rFont val="Arial"/>
        <family val="2"/>
      </rPr>
      <t>soil</t>
    </r>
    <r>
      <rPr>
        <vertAlign val="superscript"/>
        <sz val="10"/>
        <color theme="1"/>
        <rFont val="Arial"/>
        <family val="2"/>
      </rPr>
      <t>-2</t>
    </r>
  </si>
  <si>
    <t>La[1]</t>
  </si>
  <si>
    <t>La[2]</t>
  </si>
  <si>
    <t>La[3]</t>
  </si>
  <si>
    <t>Lv[1]</t>
  </si>
  <si>
    <t>Lv[2]</t>
  </si>
  <si>
    <t>Lv[3]</t>
  </si>
  <si>
    <t>kroot[1]</t>
  </si>
  <si>
    <t>kroot[2]</t>
  </si>
  <si>
    <t>kroot[3]</t>
  </si>
  <si>
    <r>
      <t>mmol.MPa</t>
    </r>
    <r>
      <rPr>
        <i/>
        <vertAlign val="superscript"/>
        <sz val="8"/>
        <color theme="7" tint="-0.499984740745262"/>
        <rFont val="Arial"/>
        <family val="2"/>
      </rPr>
      <t>-1</t>
    </r>
    <r>
      <rPr>
        <i/>
        <sz val="8"/>
        <color theme="7" tint="-0.499984740745262"/>
        <rFont val="Arial"/>
        <family val="2"/>
      </rPr>
      <t>.m</t>
    </r>
    <r>
      <rPr>
        <i/>
        <vertAlign val="superscript"/>
        <sz val="8"/>
        <color theme="7" tint="-0.499984740745262"/>
        <rFont val="Arial"/>
        <family val="2"/>
      </rPr>
      <t>-2</t>
    </r>
    <r>
      <rPr>
        <i/>
        <sz val="8"/>
        <color theme="7" tint="-0.499984740745262"/>
        <rFont val="Arial"/>
        <family val="2"/>
      </rPr>
      <t>.s</t>
    </r>
    <r>
      <rPr>
        <i/>
        <vertAlign val="superscript"/>
        <sz val="8"/>
        <color theme="7" tint="-0.499984740745262"/>
        <rFont val="Arial"/>
        <family val="2"/>
      </rPr>
      <t>-1</t>
    </r>
  </si>
  <si>
    <r>
      <t>cm</t>
    </r>
    <r>
      <rPr>
        <i/>
        <vertAlign val="superscript"/>
        <sz val="10"/>
        <color theme="8" tint="-0.249977111117893"/>
        <rFont val="Arial"/>
        <family val="2"/>
      </rPr>
      <t>3</t>
    </r>
    <r>
      <rPr>
        <i/>
        <sz val="10"/>
        <color theme="8" tint="-0.249977111117893"/>
        <rFont val="Arial"/>
        <family val="2"/>
      </rPr>
      <t>.cm</t>
    </r>
    <r>
      <rPr>
        <i/>
        <vertAlign val="superscript"/>
        <sz val="10"/>
        <color theme="8" tint="-0.249977111117893"/>
        <rFont val="Arial"/>
        <family val="2"/>
      </rPr>
      <t>-3</t>
    </r>
  </si>
  <si>
    <r>
      <t>cm</t>
    </r>
    <r>
      <rPr>
        <i/>
        <vertAlign val="superscript"/>
        <sz val="8"/>
        <color theme="7" tint="-0.499984740745262"/>
        <rFont val="Arial"/>
        <family val="2"/>
      </rPr>
      <t>3</t>
    </r>
    <r>
      <rPr>
        <i/>
        <sz val="8"/>
        <color theme="7" tint="-0.499984740745262"/>
        <rFont val="Arial"/>
        <family val="2"/>
      </rPr>
      <t>.cm</t>
    </r>
    <r>
      <rPr>
        <i/>
        <vertAlign val="superscript"/>
        <sz val="8"/>
        <color theme="7" tint="-0.499984740745262"/>
        <rFont val="Arial"/>
        <family val="2"/>
      </rPr>
      <t>-3</t>
    </r>
  </si>
  <si>
    <t>Soil water content (SWC)</t>
  </si>
  <si>
    <t>ksoil3</t>
  </si>
  <si>
    <t>Calculations for soil conductances</t>
  </si>
  <si>
    <t>Soil available water content</t>
  </si>
  <si>
    <t>mm</t>
  </si>
  <si>
    <t>AWC_vg</t>
  </si>
  <si>
    <t>Available water content of the soil profile</t>
  </si>
  <si>
    <t>0.1 - 0.3</t>
  </si>
  <si>
    <t>0.2 - 0.6</t>
  </si>
  <si>
    <r>
      <t>m</t>
    </r>
    <r>
      <rPr>
        <i/>
        <vertAlign val="subscript"/>
        <sz val="10"/>
        <color theme="9" tint="-0.249977111117893"/>
        <rFont val="Arial"/>
        <family val="2"/>
      </rPr>
      <t>leaf</t>
    </r>
    <r>
      <rPr>
        <i/>
        <vertAlign val="superscript"/>
        <sz val="10"/>
        <color theme="9" tint="-0.249977111117893"/>
        <rFont val="Arial"/>
        <family val="2"/>
      </rPr>
      <t>2</t>
    </r>
    <r>
      <rPr>
        <i/>
        <sz val="10"/>
        <color theme="9" tint="-0.249977111117893"/>
        <rFont val="Arial"/>
        <family val="2"/>
      </rPr>
      <t>.m</t>
    </r>
    <r>
      <rPr>
        <i/>
        <vertAlign val="subscript"/>
        <sz val="10"/>
        <color theme="9" tint="-0.249977111117893"/>
        <rFont val="Arial"/>
        <family val="2"/>
      </rPr>
      <t>soil</t>
    </r>
    <r>
      <rPr>
        <i/>
        <vertAlign val="superscript"/>
        <sz val="10"/>
        <color theme="9" tint="-0.249977111117893"/>
        <rFont val="Arial"/>
        <family val="2"/>
      </rPr>
      <t>-2</t>
    </r>
  </si>
  <si>
    <t>parameter for roots distribtion</t>
  </si>
  <si>
    <t xml:space="preserve">total root conductance </t>
  </si>
  <si>
    <t xml:space="preserve">Rock fragment content of 1st layer </t>
  </si>
  <si>
    <t>Rock fragment content of 2nd soil layer</t>
  </si>
  <si>
    <t>Rock gragment content of 3rd soil layer</t>
  </si>
  <si>
    <t xml:space="preserve">maximum depth of 1st soil layer </t>
  </si>
  <si>
    <t>maximum depth of 2nd soil layer</t>
  </si>
  <si>
    <t>maximum depth of 3rd soil layer</t>
  </si>
  <si>
    <t>Psi soil</t>
  </si>
  <si>
    <t>Mpa</t>
  </si>
  <si>
    <t>SWC-potential relationship</t>
  </si>
  <si>
    <t>Loamy Sand</t>
  </si>
  <si>
    <t>Sandy Loam</t>
  </si>
  <si>
    <t>Loam</t>
  </si>
  <si>
    <t>Silt</t>
  </si>
  <si>
    <t>Silty Loam</t>
  </si>
  <si>
    <t>Sandy Clay Loam</t>
  </si>
  <si>
    <t>Clay Loam</t>
  </si>
  <si>
    <t>Silty Clay Loam</t>
  </si>
  <si>
    <t>Sandy Clay</t>
  </si>
  <si>
    <t>Silty Clay</t>
  </si>
  <si>
    <t>Clay</t>
  </si>
  <si>
    <t>Soil type</t>
  </si>
  <si>
    <r>
      <t xml:space="preserve">θsat, </t>
    </r>
    <r>
      <rPr>
        <b/>
        <sz val="10"/>
        <rFont val="Arial"/>
        <family val="2"/>
      </rPr>
      <t>m3/m3</t>
    </r>
  </si>
  <si>
    <r>
      <t xml:space="preserve">θres, </t>
    </r>
    <r>
      <rPr>
        <b/>
        <sz val="10"/>
        <rFont val="Arial"/>
        <family val="2"/>
      </rPr>
      <t>m3/m3</t>
    </r>
  </si>
  <si>
    <t xml:space="preserve">The Brook-Corey and van Genuchten parameters can be obtained by fitting equations [1] and [2] to pairs (h,θ) </t>
  </si>
  <si>
    <t>There are two general methods to derive the water retention parameters. .</t>
  </si>
  <si>
    <t xml:space="preserve"> They also can be estimated using basic soil properties such as soil texture, bulk density, organic carbon content, etc.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</si>
</sst>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"/>
  </numFmts>
  <fonts count="54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rgb="FFFF0000"/>
      <name val="Arial"/>
      <family val="2"/>
    </font>
    <font>
      <sz val="10"/>
      <color theme="1" tint="0.34998626667073579"/>
      <name val="Arial"/>
      <family val="2"/>
    </font>
    <font>
      <b/>
      <sz val="12"/>
      <color theme="5" tint="-0.249977111117893"/>
      <name val="Arial"/>
      <family val="2"/>
    </font>
    <font>
      <sz val="10"/>
      <color theme="5" tint="-0.249977111117893"/>
      <name val="Arial"/>
      <family val="2"/>
    </font>
    <font>
      <b/>
      <sz val="10"/>
      <color theme="5" tint="-0.249977111117893"/>
      <name val="Arial"/>
      <family val="2"/>
    </font>
    <font>
      <sz val="12"/>
      <color theme="1"/>
      <name val="Arial"/>
      <family val="2"/>
    </font>
    <font>
      <sz val="8"/>
      <color theme="1"/>
      <name val="Arial"/>
      <family val="2"/>
    </font>
    <font>
      <i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5" tint="-0.249977111117893"/>
      <name val="Arial"/>
      <family val="2"/>
    </font>
    <font>
      <sz val="8"/>
      <color theme="5" tint="-0.249977111117893"/>
      <name val="Arial"/>
      <family val="2"/>
    </font>
    <font>
      <sz val="10"/>
      <color theme="0"/>
      <name val="Arial"/>
      <family val="2"/>
    </font>
    <font>
      <b/>
      <sz val="10"/>
      <color theme="8" tint="-0.249977111117893"/>
      <name val="Arial"/>
      <family val="2"/>
    </font>
    <font>
      <i/>
      <sz val="10"/>
      <color theme="8" tint="-0.249977111117893"/>
      <name val="Arial"/>
      <family val="2"/>
    </font>
    <font>
      <sz val="8"/>
      <color theme="8" tint="-0.249977111117893"/>
      <name val="Arial"/>
      <family val="2"/>
    </font>
    <font>
      <sz val="10"/>
      <color theme="8" tint="-0.249977111117893"/>
      <name val="Arial"/>
      <family val="2"/>
    </font>
    <font>
      <b/>
      <sz val="12"/>
      <color theme="8" tint="-0.249977111117893"/>
      <name val="Arial"/>
      <family val="2"/>
    </font>
    <font>
      <b/>
      <sz val="12"/>
      <color theme="9" tint="-0.249977111117893"/>
      <name val="Arial"/>
      <family val="2"/>
    </font>
    <font>
      <sz val="12"/>
      <color theme="9" tint="-0.249977111117893"/>
      <name val="Calibri"/>
      <family val="2"/>
      <scheme val="minor"/>
    </font>
    <font>
      <b/>
      <sz val="10"/>
      <color theme="9" tint="-0.249977111117893"/>
      <name val="Arial"/>
      <family val="2"/>
    </font>
    <font>
      <b/>
      <sz val="12"/>
      <color theme="1"/>
      <name val="Arial"/>
      <family val="2"/>
    </font>
    <font>
      <b/>
      <sz val="10"/>
      <color indexed="8"/>
      <name val="Arial"/>
      <family val="2"/>
    </font>
    <font>
      <b/>
      <sz val="10"/>
      <color theme="1" tint="0.34998626667073579"/>
      <name val="Arial"/>
      <family val="2"/>
    </font>
    <font>
      <b/>
      <i/>
      <sz val="16"/>
      <color rgb="FFFF0000"/>
      <name val="Arial"/>
      <family val="2"/>
    </font>
    <font>
      <i/>
      <sz val="12"/>
      <color theme="9" tint="-0.249977111117893"/>
      <name val="Calibri"/>
      <family val="2"/>
      <scheme val="minor"/>
    </font>
    <font>
      <i/>
      <sz val="8"/>
      <color theme="9" tint="-0.249977111117893"/>
      <name val="Calibri (Corps)"/>
    </font>
    <font>
      <sz val="8"/>
      <color theme="9" tint="-0.249977111117893"/>
      <name val="Arial"/>
      <family val="2"/>
    </font>
    <font>
      <sz val="10"/>
      <color theme="9" tint="-0.249977111117893"/>
      <name val="Arial"/>
      <family val="2"/>
    </font>
    <font>
      <i/>
      <sz val="9"/>
      <color theme="9" tint="-0.249977111117893"/>
      <name val="Calibri (Corps)"/>
    </font>
    <font>
      <i/>
      <sz val="10"/>
      <color theme="9" tint="-0.249977111117893"/>
      <name val="Arial"/>
      <family val="2"/>
    </font>
    <font>
      <i/>
      <vertAlign val="subscript"/>
      <sz val="10"/>
      <color theme="5" tint="-0.249977111117893"/>
      <name val="Arial"/>
      <family val="2"/>
    </font>
    <font>
      <i/>
      <vertAlign val="superscript"/>
      <sz val="10"/>
      <color theme="8" tint="-0.249977111117893"/>
      <name val="Arial"/>
      <family val="2"/>
    </font>
    <font>
      <vertAlign val="subscript"/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vertAlign val="subscript"/>
      <sz val="8"/>
      <color theme="1"/>
      <name val="Arial"/>
      <family val="2"/>
    </font>
    <font>
      <vertAlign val="superscript"/>
      <sz val="8"/>
      <color theme="1"/>
      <name val="Arial"/>
      <family val="2"/>
    </font>
    <font>
      <i/>
      <sz val="8"/>
      <color theme="1"/>
      <name val="Arial"/>
      <family val="2"/>
    </font>
    <font>
      <sz val="8"/>
      <name val="Calibri"/>
      <family val="2"/>
      <scheme val="minor"/>
    </font>
    <font>
      <i/>
      <vertAlign val="superscript"/>
      <sz val="10"/>
      <color theme="9" tint="-0.249977111117893"/>
      <name val="Arial"/>
      <family val="2"/>
    </font>
    <font>
      <b/>
      <i/>
      <sz val="10"/>
      <color theme="8" tint="-0.249977111117893"/>
      <name val="Arial"/>
      <family val="2"/>
    </font>
    <font>
      <sz val="12"/>
      <color theme="7" tint="-0.499984740745262"/>
      <name val="Calibri"/>
      <family val="2"/>
      <scheme val="minor"/>
    </font>
    <font>
      <b/>
      <sz val="12"/>
      <color theme="7" tint="-0.499984740745262"/>
      <name val="Arial"/>
      <family val="2"/>
    </font>
    <font>
      <sz val="8"/>
      <color theme="7" tint="-0.499984740745262"/>
      <name val="Calibri"/>
      <family val="2"/>
      <scheme val="minor"/>
    </font>
    <font>
      <i/>
      <sz val="8"/>
      <color theme="7" tint="-0.499984740745262"/>
      <name val="Arial"/>
      <family val="2"/>
    </font>
    <font>
      <i/>
      <vertAlign val="superscript"/>
      <sz val="8"/>
      <color theme="7" tint="-0.499984740745262"/>
      <name val="Arial"/>
      <family val="2"/>
    </font>
    <font>
      <b/>
      <sz val="10"/>
      <color theme="7" tint="-0.499984740745262"/>
      <name val="Arial"/>
      <family val="2"/>
    </font>
    <font>
      <i/>
      <vertAlign val="subscript"/>
      <sz val="10"/>
      <color theme="9" tint="-0.249977111117893"/>
      <name val="Arial"/>
      <family val="2"/>
    </font>
    <font>
      <b/>
      <sz val="12"/>
      <color theme="9" tint="-0.249977111117893"/>
      <name val="Calibri"/>
      <family val="2"/>
      <scheme val="minor"/>
    </font>
    <font>
      <sz val="10"/>
      <color rgb="FF000000"/>
      <name val="Arial"/>
      <family val="2"/>
    </font>
    <font>
      <b/>
      <sz val="14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8D4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1">
    <xf numFmtId="0" fontId="0" fillId="0" borderId="0" xfId="0"/>
    <xf numFmtId="0" fontId="0" fillId="2" borderId="0" xfId="0" applyFill="1" applyAlignment="1">
      <alignment horizontal="left"/>
    </xf>
    <xf numFmtId="0" fontId="0" fillId="2" borderId="0" xfId="0" applyFill="1" applyBorder="1" applyAlignment="1">
      <alignment horizontal="left" vertical="top" wrapText="1"/>
    </xf>
    <xf numFmtId="0" fontId="0" fillId="2" borderId="0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8" fillId="2" borderId="0" xfId="0" applyFont="1" applyFill="1" applyBorder="1" applyAlignment="1">
      <alignment horizontal="left"/>
    </xf>
    <xf numFmtId="0" fontId="8" fillId="2" borderId="9" xfId="0" applyFont="1" applyFill="1" applyBorder="1" applyAlignment="1">
      <alignment horizontal="left"/>
    </xf>
    <xf numFmtId="0" fontId="11" fillId="2" borderId="4" xfId="0" applyFont="1" applyFill="1" applyBorder="1" applyAlignment="1">
      <alignment horizontal="left"/>
    </xf>
    <xf numFmtId="0" fontId="11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 vertical="top" wrapText="1"/>
    </xf>
    <xf numFmtId="0" fontId="19" fillId="2" borderId="0" xfId="0" applyFont="1" applyFill="1" applyAlignment="1">
      <alignment horizontal="left"/>
    </xf>
    <xf numFmtId="0" fontId="20" fillId="2" borderId="0" xfId="0" applyFont="1" applyFill="1" applyAlignment="1">
      <alignment horizontal="left"/>
    </xf>
    <xf numFmtId="0" fontId="0" fillId="2" borderId="0" xfId="0" applyFill="1" applyBorder="1" applyAlignment="1">
      <alignment horizontal="left" vertical="center" wrapText="1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23" fillId="2" borderId="0" xfId="0" applyFont="1" applyFill="1" applyAlignment="1">
      <alignment horizontal="left"/>
    </xf>
    <xf numFmtId="0" fontId="24" fillId="2" borderId="0" xfId="0" applyFont="1" applyFill="1"/>
    <xf numFmtId="0" fontId="24" fillId="2" borderId="0" xfId="0" applyFont="1" applyFill="1" applyAlignment="1">
      <alignment horizontal="center"/>
    </xf>
    <xf numFmtId="0" fontId="24" fillId="2" borderId="0" xfId="0" applyFont="1" applyFill="1" applyAlignment="1">
      <alignment horizontal="left"/>
    </xf>
    <xf numFmtId="0" fontId="25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9" fillId="2" borderId="4" xfId="0" applyFont="1" applyFill="1" applyBorder="1" applyAlignment="1">
      <alignment horizontal="left"/>
    </xf>
    <xf numFmtId="0" fontId="9" fillId="2" borderId="9" xfId="0" applyFont="1" applyFill="1" applyBorder="1" applyAlignment="1">
      <alignment horizontal="left"/>
    </xf>
    <xf numFmtId="0" fontId="29" fillId="2" borderId="9" xfId="0" applyFont="1" applyFill="1" applyBorder="1" applyAlignment="1">
      <alignment horizontal="left"/>
    </xf>
    <xf numFmtId="0" fontId="30" fillId="2" borderId="9" xfId="0" applyFont="1" applyFill="1" applyBorder="1" applyAlignment="1">
      <alignment horizontal="left"/>
    </xf>
    <xf numFmtId="0" fontId="12" fillId="2" borderId="3" xfId="0" applyFont="1" applyFill="1" applyBorder="1" applyAlignment="1">
      <alignment horizontal="left" wrapText="1"/>
    </xf>
    <xf numFmtId="0" fontId="12" fillId="2" borderId="4" xfId="0" applyFont="1" applyFill="1" applyBorder="1" applyAlignment="1">
      <alignment horizontal="left" wrapText="1"/>
    </xf>
    <xf numFmtId="0" fontId="13" fillId="2" borderId="4" xfId="0" applyFont="1" applyFill="1" applyBorder="1" applyAlignment="1">
      <alignment horizontal="left" wrapText="1"/>
    </xf>
    <xf numFmtId="0" fontId="6" fillId="2" borderId="4" xfId="0" applyFont="1" applyFill="1" applyBorder="1" applyAlignment="1">
      <alignment horizontal="center" wrapText="1"/>
    </xf>
    <xf numFmtId="0" fontId="12" fillId="2" borderId="6" xfId="0" applyFont="1" applyFill="1" applyBorder="1" applyAlignment="1">
      <alignment horizontal="left" wrapText="1"/>
    </xf>
    <xf numFmtId="0" fontId="12" fillId="2" borderId="0" xfId="0" applyFont="1" applyFill="1" applyBorder="1" applyAlignment="1">
      <alignment horizontal="left" wrapText="1"/>
    </xf>
    <xf numFmtId="0" fontId="13" fillId="2" borderId="0" xfId="0" applyFont="1" applyFill="1" applyBorder="1" applyAlignment="1">
      <alignment horizontal="left" wrapText="1"/>
    </xf>
    <xf numFmtId="0" fontId="6" fillId="2" borderId="0" xfId="0" applyFont="1" applyFill="1" applyBorder="1" applyAlignment="1">
      <alignment horizontal="center" wrapText="1"/>
    </xf>
    <xf numFmtId="0" fontId="12" fillId="2" borderId="8" xfId="0" applyFont="1" applyFill="1" applyBorder="1" applyAlignment="1">
      <alignment horizontal="left" wrapText="1"/>
    </xf>
    <xf numFmtId="0" fontId="12" fillId="2" borderId="9" xfId="0" applyFont="1" applyFill="1" applyBorder="1" applyAlignment="1">
      <alignment horizontal="left" wrapText="1"/>
    </xf>
    <xf numFmtId="0" fontId="13" fillId="2" borderId="9" xfId="0" applyFont="1" applyFill="1" applyBorder="1" applyAlignment="1">
      <alignment horizontal="left" wrapText="1"/>
    </xf>
    <xf numFmtId="0" fontId="6" fillId="2" borderId="9" xfId="0" applyFont="1" applyFill="1" applyBorder="1" applyAlignment="1">
      <alignment horizontal="center" wrapText="1"/>
    </xf>
    <xf numFmtId="0" fontId="19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left" wrapText="1"/>
    </xf>
    <xf numFmtId="0" fontId="0" fillId="2" borderId="0" xfId="0" applyFill="1" applyAlignment="1">
      <alignment horizontal="left" wrapText="1"/>
    </xf>
    <xf numFmtId="0" fontId="15" fillId="2" borderId="0" xfId="0" applyFont="1" applyFill="1" applyAlignment="1">
      <alignment horizontal="left" wrapText="1"/>
    </xf>
    <xf numFmtId="0" fontId="15" fillId="2" borderId="0" xfId="0" applyFont="1" applyFill="1" applyAlignment="1">
      <alignment horizontal="center" wrapText="1"/>
    </xf>
    <xf numFmtId="0" fontId="16" fillId="2" borderId="3" xfId="0" applyFont="1" applyFill="1" applyBorder="1" applyAlignment="1">
      <alignment horizontal="left" wrapText="1"/>
    </xf>
    <xf numFmtId="0" fontId="16" fillId="2" borderId="4" xfId="0" applyFont="1" applyFill="1" applyBorder="1" applyAlignment="1">
      <alignment horizontal="left" wrapText="1"/>
    </xf>
    <xf numFmtId="0" fontId="17" fillId="2" borderId="4" xfId="0" applyFont="1" applyFill="1" applyBorder="1" applyAlignment="1">
      <alignment horizontal="left" wrapText="1"/>
    </xf>
    <xf numFmtId="0" fontId="18" fillId="2" borderId="5" xfId="0" applyFont="1" applyFill="1" applyBorder="1" applyAlignment="1">
      <alignment horizontal="center" wrapText="1"/>
    </xf>
    <xf numFmtId="0" fontId="16" fillId="2" borderId="6" xfId="0" applyFont="1" applyFill="1" applyBorder="1" applyAlignment="1">
      <alignment horizontal="left" wrapText="1"/>
    </xf>
    <xf numFmtId="0" fontId="16" fillId="2" borderId="0" xfId="0" applyFont="1" applyFill="1" applyBorder="1" applyAlignment="1">
      <alignment horizontal="left" wrapText="1"/>
    </xf>
    <xf numFmtId="0" fontId="17" fillId="2" borderId="0" xfId="0" applyFont="1" applyFill="1" applyBorder="1" applyAlignment="1">
      <alignment horizontal="left" wrapText="1"/>
    </xf>
    <xf numFmtId="0" fontId="18" fillId="2" borderId="7" xfId="0" applyFont="1" applyFill="1" applyBorder="1" applyAlignment="1">
      <alignment horizontal="center" wrapText="1"/>
    </xf>
    <xf numFmtId="0" fontId="16" fillId="2" borderId="8" xfId="0" applyFont="1" applyFill="1" applyBorder="1" applyAlignment="1">
      <alignment horizontal="left" wrapText="1"/>
    </xf>
    <xf numFmtId="0" fontId="16" fillId="2" borderId="9" xfId="0" applyFont="1" applyFill="1" applyBorder="1" applyAlignment="1">
      <alignment horizontal="left" wrapText="1"/>
    </xf>
    <xf numFmtId="0" fontId="17" fillId="2" borderId="9" xfId="0" applyFont="1" applyFill="1" applyBorder="1" applyAlignment="1">
      <alignment horizontal="left" wrapText="1"/>
    </xf>
    <xf numFmtId="0" fontId="18" fillId="2" borderId="10" xfId="0" applyFont="1" applyFill="1" applyBorder="1" applyAlignment="1">
      <alignment horizontal="center" wrapText="1"/>
    </xf>
    <xf numFmtId="0" fontId="20" fillId="2" borderId="0" xfId="0" applyFont="1" applyFill="1" applyAlignment="1">
      <alignment horizontal="left" wrapText="1"/>
    </xf>
    <xf numFmtId="0" fontId="21" fillId="2" borderId="0" xfId="0" applyFont="1" applyFill="1" applyAlignment="1">
      <alignment horizontal="left" wrapText="1"/>
    </xf>
    <xf numFmtId="0" fontId="22" fillId="2" borderId="0" xfId="0" applyFont="1" applyFill="1" applyAlignment="1">
      <alignment horizontal="left" wrapText="1"/>
    </xf>
    <xf numFmtId="0" fontId="22" fillId="2" borderId="0" xfId="0" applyFont="1" applyFill="1" applyAlignment="1">
      <alignment horizontal="center" wrapText="1"/>
    </xf>
    <xf numFmtId="0" fontId="27" fillId="2" borderId="3" xfId="0" applyFont="1" applyFill="1" applyBorder="1" applyAlignment="1">
      <alignment horizontal="left" wrapText="1"/>
    </xf>
    <xf numFmtId="0" fontId="21" fillId="2" borderId="4" xfId="0" applyFont="1" applyFill="1" applyBorder="1" applyAlignment="1">
      <alignment horizontal="left" wrapText="1"/>
    </xf>
    <xf numFmtId="0" fontId="29" fillId="2" borderId="4" xfId="0" applyFont="1" applyFill="1" applyBorder="1" applyAlignment="1">
      <alignment horizontal="left" wrapText="1"/>
    </xf>
    <xf numFmtId="0" fontId="30" fillId="2" borderId="4" xfId="0" applyFont="1" applyFill="1" applyBorder="1" applyAlignment="1">
      <alignment horizontal="center" wrapText="1"/>
    </xf>
    <xf numFmtId="0" fontId="7" fillId="2" borderId="0" xfId="0" applyFont="1" applyFill="1" applyAlignment="1">
      <alignment horizontal="left" wrapText="1"/>
    </xf>
    <xf numFmtId="0" fontId="7" fillId="2" borderId="0" xfId="0" applyFont="1" applyFill="1" applyAlignment="1">
      <alignment horizontal="center" wrapText="1"/>
    </xf>
    <xf numFmtId="0" fontId="1" fillId="2" borderId="0" xfId="0" applyFont="1" applyFill="1" applyBorder="1" applyAlignment="1">
      <alignment horizontal="left" wrapText="1"/>
    </xf>
    <xf numFmtId="0" fontId="9" fillId="2" borderId="0" xfId="0" applyFont="1" applyFill="1" applyBorder="1" applyAlignment="1">
      <alignment horizontal="left" wrapText="1"/>
    </xf>
    <xf numFmtId="0" fontId="21" fillId="2" borderId="0" xfId="0" applyFont="1" applyFill="1" applyBorder="1" applyAlignment="1">
      <alignment horizontal="left" wrapText="1"/>
    </xf>
    <xf numFmtId="0" fontId="29" fillId="2" borderId="0" xfId="0" applyFont="1" applyFill="1" applyBorder="1" applyAlignment="1">
      <alignment horizontal="left" wrapText="1"/>
    </xf>
    <xf numFmtId="0" fontId="30" fillId="2" borderId="0" xfId="0" applyFont="1" applyFill="1" applyBorder="1" applyAlignment="1">
      <alignment horizontal="center" wrapText="1"/>
    </xf>
    <xf numFmtId="0" fontId="27" fillId="2" borderId="6" xfId="0" applyFont="1" applyFill="1" applyBorder="1" applyAlignment="1">
      <alignment horizontal="left" wrapText="1"/>
    </xf>
    <xf numFmtId="0" fontId="9" fillId="2" borderId="0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left"/>
    </xf>
    <xf numFmtId="0" fontId="10" fillId="2" borderId="4" xfId="0" applyFont="1" applyFill="1" applyBorder="1" applyAlignment="1">
      <alignment horizontal="left"/>
    </xf>
    <xf numFmtId="0" fontId="10" fillId="2" borderId="6" xfId="0" applyFont="1" applyFill="1" applyBorder="1" applyAlignment="1">
      <alignment horizontal="left"/>
    </xf>
    <xf numFmtId="0" fontId="10" fillId="2" borderId="0" xfId="0" applyFont="1" applyFill="1" applyBorder="1" applyAlignment="1">
      <alignment horizontal="left"/>
    </xf>
    <xf numFmtId="0" fontId="10" fillId="2" borderId="8" xfId="0" applyFont="1" applyFill="1" applyBorder="1" applyAlignment="1">
      <alignment horizontal="left"/>
    </xf>
    <xf numFmtId="0" fontId="10" fillId="2" borderId="9" xfId="0" applyFont="1" applyFill="1" applyBorder="1" applyAlignment="1">
      <alignment horizontal="left"/>
    </xf>
    <xf numFmtId="0" fontId="11" fillId="2" borderId="4" xfId="0" applyFont="1" applyFill="1" applyBorder="1" applyAlignment="1">
      <alignment horizontal="center"/>
    </xf>
    <xf numFmtId="0" fontId="12" fillId="2" borderId="4" xfId="0" applyFont="1" applyFill="1" applyBorder="1" applyAlignment="1">
      <alignment horizontal="center" wrapText="1"/>
    </xf>
    <xf numFmtId="0" fontId="12" fillId="2" borderId="0" xfId="0" applyFont="1" applyFill="1" applyBorder="1" applyAlignment="1">
      <alignment horizontal="center" wrapText="1"/>
    </xf>
    <xf numFmtId="0" fontId="12" fillId="2" borderId="9" xfId="0" applyFont="1" applyFill="1" applyBorder="1" applyAlignment="1">
      <alignment horizontal="center" wrapText="1"/>
    </xf>
    <xf numFmtId="0" fontId="16" fillId="2" borderId="4" xfId="0" applyFont="1" applyFill="1" applyBorder="1" applyAlignment="1">
      <alignment horizontal="center" wrapText="1"/>
    </xf>
    <xf numFmtId="0" fontId="16" fillId="2" borderId="0" xfId="0" applyFont="1" applyFill="1" applyBorder="1" applyAlignment="1">
      <alignment horizontal="center" wrapText="1"/>
    </xf>
    <xf numFmtId="0" fontId="16" fillId="2" borderId="9" xfId="0" applyFont="1" applyFill="1" applyBorder="1" applyAlignment="1">
      <alignment horizontal="center" wrapText="1"/>
    </xf>
    <xf numFmtId="0" fontId="24" fillId="2" borderId="9" xfId="0" applyFont="1" applyFill="1" applyBorder="1" applyAlignment="1">
      <alignment horizontal="left"/>
    </xf>
    <xf numFmtId="0" fontId="10" fillId="2" borderId="11" xfId="0" applyFont="1" applyFill="1" applyBorder="1" applyAlignment="1">
      <alignment horizontal="left"/>
    </xf>
    <xf numFmtId="0" fontId="10" fillId="2" borderId="12" xfId="0" applyFont="1" applyFill="1" applyBorder="1" applyAlignment="1">
      <alignment horizontal="left"/>
    </xf>
    <xf numFmtId="0" fontId="9" fillId="2" borderId="12" xfId="0" applyFont="1" applyFill="1" applyBorder="1" applyAlignment="1">
      <alignment horizontal="left"/>
    </xf>
    <xf numFmtId="49" fontId="6" fillId="2" borderId="0" xfId="0" applyNumberFormat="1" applyFont="1" applyFill="1" applyBorder="1" applyAlignment="1">
      <alignment horizontal="center" wrapText="1"/>
    </xf>
    <xf numFmtId="0" fontId="11" fillId="2" borderId="12" xfId="0" applyFont="1" applyFill="1" applyBorder="1" applyAlignment="1">
      <alignment horizontal="left"/>
    </xf>
    <xf numFmtId="0" fontId="9" fillId="0" borderId="0" xfId="0" applyFont="1" applyBorder="1"/>
    <xf numFmtId="0" fontId="9" fillId="2" borderId="0" xfId="0" applyFont="1" applyFill="1" applyBorder="1"/>
    <xf numFmtId="0" fontId="0" fillId="2" borderId="0" xfId="0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9" xfId="0" applyFont="1" applyFill="1" applyBorder="1" applyAlignment="1">
      <alignment horizontal="center"/>
    </xf>
    <xf numFmtId="0" fontId="1" fillId="2" borderId="0" xfId="0" applyFont="1" applyFill="1" applyAlignment="1">
      <alignment horizontal="left" wrapText="1"/>
    </xf>
    <xf numFmtId="0" fontId="42" fillId="2" borderId="0" xfId="0" applyFont="1" applyFill="1" applyAlignment="1">
      <alignment horizontal="center" wrapText="1"/>
    </xf>
    <xf numFmtId="0" fontId="0" fillId="2" borderId="0" xfId="0" applyFill="1" applyBorder="1" applyAlignment="1">
      <alignment vertical="center" textRotation="90"/>
    </xf>
    <xf numFmtId="0" fontId="32" fillId="2" borderId="4" xfId="0" applyFont="1" applyFill="1" applyBorder="1" applyAlignment="1">
      <alignment horizontal="center" wrapText="1"/>
    </xf>
    <xf numFmtId="0" fontId="32" fillId="2" borderId="0" xfId="0" applyFont="1" applyFill="1" applyBorder="1" applyAlignment="1">
      <alignment horizontal="center" wrapText="1"/>
    </xf>
    <xf numFmtId="0" fontId="32" fillId="2" borderId="6" xfId="0" applyFont="1" applyFill="1" applyBorder="1" applyAlignment="1">
      <alignment horizontal="left"/>
    </xf>
    <xf numFmtId="0" fontId="32" fillId="2" borderId="0" xfId="0" applyFont="1" applyFill="1" applyBorder="1" applyAlignment="1">
      <alignment horizontal="left"/>
    </xf>
    <xf numFmtId="0" fontId="29" fillId="2" borderId="0" xfId="0" applyFont="1" applyFill="1" applyBorder="1" applyAlignment="1">
      <alignment horizontal="left"/>
    </xf>
    <xf numFmtId="0" fontId="27" fillId="2" borderId="0" xfId="0" applyFont="1" applyFill="1" applyBorder="1" applyAlignment="1">
      <alignment horizontal="center"/>
    </xf>
    <xf numFmtId="0" fontId="32" fillId="2" borderId="0" xfId="0" applyFont="1" applyFill="1" applyBorder="1" applyAlignment="1">
      <alignment horizontal="center"/>
    </xf>
    <xf numFmtId="0" fontId="30" fillId="2" borderId="8" xfId="0" applyFont="1" applyFill="1" applyBorder="1" applyAlignment="1">
      <alignment horizontal="left"/>
    </xf>
    <xf numFmtId="0" fontId="30" fillId="2" borderId="9" xfId="0" applyFont="1" applyFill="1" applyBorder="1" applyAlignment="1">
      <alignment horizontal="center"/>
    </xf>
    <xf numFmtId="0" fontId="0" fillId="2" borderId="0" xfId="0" applyFill="1" applyBorder="1" applyAlignment="1">
      <alignment horizontal="center" wrapText="1"/>
    </xf>
    <xf numFmtId="0" fontId="0" fillId="2" borderId="0" xfId="0" applyFill="1" applyAlignment="1">
      <alignment horizontal="center" wrapText="1"/>
    </xf>
    <xf numFmtId="0" fontId="21" fillId="2" borderId="0" xfId="0" applyFont="1" applyFill="1" applyAlignment="1">
      <alignment horizontal="center" wrapText="1"/>
    </xf>
    <xf numFmtId="0" fontId="30" fillId="2" borderId="0" xfId="0" applyFont="1" applyFill="1" applyBorder="1" applyAlignment="1">
      <alignment horizontal="center"/>
    </xf>
    <xf numFmtId="0" fontId="2" fillId="2" borderId="0" xfId="0" applyFont="1" applyFill="1" applyAlignment="1">
      <alignment horizontal="center" wrapText="1"/>
    </xf>
    <xf numFmtId="0" fontId="43" fillId="6" borderId="3" xfId="0" applyFont="1" applyFill="1" applyBorder="1" applyAlignment="1">
      <alignment horizontal="left"/>
    </xf>
    <xf numFmtId="0" fontId="44" fillId="2" borderId="0" xfId="0" applyFont="1" applyFill="1" applyAlignment="1">
      <alignment horizontal="left"/>
    </xf>
    <xf numFmtId="0" fontId="43" fillId="2" borderId="0" xfId="0" applyFont="1" applyFill="1" applyAlignment="1">
      <alignment horizontal="left"/>
    </xf>
    <xf numFmtId="2" fontId="43" fillId="6" borderId="0" xfId="0" applyNumberFormat="1" applyFont="1" applyFill="1" applyBorder="1" applyAlignment="1">
      <alignment horizontal="left"/>
    </xf>
    <xf numFmtId="0" fontId="43" fillId="6" borderId="6" xfId="0" applyFont="1" applyFill="1" applyBorder="1" applyAlignment="1">
      <alignment horizontal="left"/>
    </xf>
    <xf numFmtId="0" fontId="43" fillId="6" borderId="8" xfId="0" applyFont="1" applyFill="1" applyBorder="1" applyAlignment="1">
      <alignment horizontal="left"/>
    </xf>
    <xf numFmtId="0" fontId="46" fillId="2" borderId="0" xfId="0" applyFont="1" applyFill="1" applyBorder="1" applyAlignment="1">
      <alignment wrapText="1"/>
    </xf>
    <xf numFmtId="0" fontId="46" fillId="2" borderId="0" xfId="0" applyFont="1" applyFill="1" applyBorder="1" applyAlignment="1">
      <alignment horizontal="left" wrapText="1"/>
    </xf>
    <xf numFmtId="0" fontId="48" fillId="2" borderId="0" xfId="0" applyFont="1" applyFill="1" applyAlignment="1"/>
    <xf numFmtId="0" fontId="48" fillId="2" borderId="0" xfId="0" applyFont="1" applyFill="1" applyBorder="1" applyAlignment="1"/>
    <xf numFmtId="165" fontId="0" fillId="2" borderId="0" xfId="0" applyNumberFormat="1" applyFill="1" applyAlignment="1">
      <alignment horizontal="left"/>
    </xf>
    <xf numFmtId="165" fontId="43" fillId="2" borderId="0" xfId="0" applyNumberFormat="1" applyFont="1" applyFill="1" applyAlignment="1">
      <alignment horizontal="left"/>
    </xf>
    <xf numFmtId="165" fontId="48" fillId="2" borderId="0" xfId="0" applyNumberFormat="1" applyFont="1" applyFill="1" applyAlignment="1"/>
    <xf numFmtId="165" fontId="46" fillId="2" borderId="0" xfId="0" applyNumberFormat="1" applyFont="1" applyFill="1" applyBorder="1" applyAlignment="1">
      <alignment wrapText="1"/>
    </xf>
    <xf numFmtId="165" fontId="43" fillId="6" borderId="4" xfId="0" applyNumberFormat="1" applyFont="1" applyFill="1" applyBorder="1" applyAlignment="1">
      <alignment horizontal="left"/>
    </xf>
    <xf numFmtId="165" fontId="43" fillId="6" borderId="0" xfId="0" applyNumberFormat="1" applyFont="1" applyFill="1" applyBorder="1" applyAlignment="1">
      <alignment horizontal="left"/>
    </xf>
    <xf numFmtId="2" fontId="43" fillId="6" borderId="9" xfId="0" applyNumberFormat="1" applyFont="1" applyFill="1" applyBorder="1" applyAlignment="1">
      <alignment horizontal="left"/>
    </xf>
    <xf numFmtId="165" fontId="43" fillId="6" borderId="9" xfId="0" applyNumberFormat="1" applyFont="1" applyFill="1" applyBorder="1" applyAlignment="1">
      <alignment horizontal="left"/>
    </xf>
    <xf numFmtId="0" fontId="45" fillId="2" borderId="0" xfId="0" applyFont="1" applyFill="1" applyBorder="1" applyAlignment="1"/>
    <xf numFmtId="2" fontId="43" fillId="6" borderId="4" xfId="0" applyNumberFormat="1" applyFont="1" applyFill="1" applyBorder="1" applyAlignment="1">
      <alignment horizontal="left"/>
    </xf>
    <xf numFmtId="165" fontId="43" fillId="6" borderId="5" xfId="0" applyNumberFormat="1" applyFont="1" applyFill="1" applyBorder="1" applyAlignment="1">
      <alignment horizontal="left"/>
    </xf>
    <xf numFmtId="165" fontId="43" fillId="6" borderId="7" xfId="0" applyNumberFormat="1" applyFont="1" applyFill="1" applyBorder="1" applyAlignment="1">
      <alignment horizontal="left"/>
    </xf>
    <xf numFmtId="165" fontId="43" fillId="6" borderId="10" xfId="0" applyNumberFormat="1" applyFont="1" applyFill="1" applyBorder="1" applyAlignment="1">
      <alignment horizontal="left"/>
    </xf>
    <xf numFmtId="165" fontId="14" fillId="2" borderId="0" xfId="0" applyNumberFormat="1" applyFont="1" applyFill="1" applyBorder="1" applyAlignment="1">
      <alignment horizontal="center"/>
    </xf>
    <xf numFmtId="0" fontId="14" fillId="3" borderId="2" xfId="0" applyFont="1" applyFill="1" applyBorder="1" applyAlignment="1" applyProtection="1">
      <alignment horizontal="center" wrapText="1"/>
      <protection locked="0"/>
    </xf>
    <xf numFmtId="0" fontId="2" fillId="4" borderId="0" xfId="0" applyFont="1" applyFill="1" applyBorder="1" applyAlignment="1" applyProtection="1">
      <alignment horizontal="center" wrapText="1"/>
      <protection locked="0"/>
    </xf>
    <xf numFmtId="0" fontId="2" fillId="4" borderId="1" xfId="0" applyFont="1" applyFill="1" applyBorder="1" applyAlignment="1" applyProtection="1">
      <alignment horizontal="center" wrapText="1"/>
      <protection locked="0"/>
    </xf>
    <xf numFmtId="0" fontId="14" fillId="5" borderId="5" xfId="0" applyFont="1" applyFill="1" applyBorder="1" applyAlignment="1" applyProtection="1">
      <alignment horizontal="center" wrapText="1"/>
      <protection locked="0"/>
    </xf>
    <xf numFmtId="0" fontId="14" fillId="5" borderId="7" xfId="0" applyFont="1" applyFill="1" applyBorder="1" applyAlignment="1" applyProtection="1">
      <alignment horizontal="center" wrapText="1"/>
      <protection locked="0"/>
    </xf>
    <xf numFmtId="0" fontId="14" fillId="5" borderId="7" xfId="0" applyFont="1" applyFill="1" applyBorder="1" applyAlignment="1" applyProtection="1">
      <alignment horizontal="center"/>
      <protection locked="0"/>
    </xf>
    <xf numFmtId="0" fontId="14" fillId="5" borderId="10" xfId="0" applyFont="1" applyFill="1" applyBorder="1" applyAlignment="1" applyProtection="1">
      <alignment horizontal="center"/>
      <protection locked="0"/>
    </xf>
    <xf numFmtId="0" fontId="24" fillId="2" borderId="0" xfId="0" applyFont="1" applyFill="1" applyBorder="1" applyAlignment="1">
      <alignment horizontal="left"/>
    </xf>
    <xf numFmtId="164" fontId="11" fillId="6" borderId="14" xfId="0" applyNumberFormat="1" applyFont="1" applyFill="1" applyBorder="1" applyAlignment="1">
      <alignment horizontal="center"/>
    </xf>
    <xf numFmtId="165" fontId="11" fillId="6" borderId="15" xfId="0" applyNumberFormat="1" applyFont="1" applyFill="1" applyBorder="1" applyAlignment="1">
      <alignment horizontal="center"/>
    </xf>
    <xf numFmtId="2" fontId="11" fillId="6" borderId="15" xfId="0" applyNumberFormat="1" applyFont="1" applyFill="1" applyBorder="1" applyAlignment="1">
      <alignment horizontal="center"/>
    </xf>
    <xf numFmtId="1" fontId="11" fillId="6" borderId="15" xfId="0" applyNumberFormat="1" applyFont="1" applyFill="1" applyBorder="1" applyAlignment="1">
      <alignment horizontal="center"/>
    </xf>
    <xf numFmtId="165" fontId="11" fillId="6" borderId="16" xfId="0" applyNumberFormat="1" applyFont="1" applyFill="1" applyBorder="1" applyAlignment="1">
      <alignment horizontal="center"/>
    </xf>
    <xf numFmtId="164" fontId="11" fillId="6" borderId="13" xfId="0" applyNumberFormat="1" applyFont="1" applyFill="1" applyBorder="1" applyAlignment="1">
      <alignment horizontal="center"/>
    </xf>
    <xf numFmtId="0" fontId="50" fillId="2" borderId="0" xfId="0" applyFont="1" applyFill="1" applyAlignment="1">
      <alignment horizontal="left"/>
    </xf>
    <xf numFmtId="0" fontId="22" fillId="2" borderId="0" xfId="0" applyFont="1" applyFill="1" applyAlignment="1">
      <alignment horizontal="left"/>
    </xf>
    <xf numFmtId="0" fontId="29" fillId="2" borderId="0" xfId="0" applyFont="1" applyFill="1" applyAlignment="1">
      <alignment horizontal="left"/>
    </xf>
    <xf numFmtId="0" fontId="0" fillId="7" borderId="3" xfId="0" applyFill="1" applyBorder="1" applyAlignment="1">
      <alignment horizontal="left"/>
    </xf>
    <xf numFmtId="0" fontId="0" fillId="7" borderId="4" xfId="0" applyFill="1" applyBorder="1" applyAlignment="1">
      <alignment horizontal="left"/>
    </xf>
    <xf numFmtId="0" fontId="0" fillId="7" borderId="5" xfId="0" applyFill="1" applyBorder="1" applyAlignment="1">
      <alignment horizontal="left"/>
    </xf>
    <xf numFmtId="0" fontId="0" fillId="7" borderId="6" xfId="0" applyFill="1" applyBorder="1" applyAlignment="1">
      <alignment horizontal="left"/>
    </xf>
    <xf numFmtId="0" fontId="0" fillId="7" borderId="0" xfId="0" applyFill="1" applyBorder="1" applyAlignment="1">
      <alignment horizontal="left"/>
    </xf>
    <xf numFmtId="0" fontId="0" fillId="7" borderId="7" xfId="0" applyFill="1" applyBorder="1" applyAlignment="1">
      <alignment horizontal="left"/>
    </xf>
    <xf numFmtId="0" fontId="0" fillId="7" borderId="8" xfId="0" applyFill="1" applyBorder="1" applyAlignment="1">
      <alignment horizontal="left"/>
    </xf>
    <xf numFmtId="0" fontId="0" fillId="7" borderId="9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horizontal="center"/>
    </xf>
    <xf numFmtId="0" fontId="51" fillId="0" borderId="2" xfId="0" applyFont="1" applyBorder="1"/>
    <xf numFmtId="166" fontId="52" fillId="5" borderId="2" xfId="0" applyNumberFormat="1" applyFont="1" applyFill="1" applyBorder="1" applyAlignment="1">
      <alignment horizontal="center"/>
    </xf>
    <xf numFmtId="0" fontId="52" fillId="5" borderId="2" xfId="0" applyFont="1" applyFill="1" applyBorder="1" applyAlignment="1">
      <alignment horizontal="center"/>
    </xf>
    <xf numFmtId="166" fontId="52" fillId="0" borderId="0" xfId="0" applyNumberFormat="1" applyFont="1" applyFill="1" applyBorder="1" applyAlignment="1">
      <alignment horizontal="center"/>
    </xf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8D4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800782294027483"/>
          <c:y val="0.12915821717373407"/>
          <c:w val="0.68192647239830562"/>
          <c:h val="0.7771157273982700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WorkSheet!$S$6</c:f>
              <c:strCache>
                <c:ptCount val="1"/>
                <c:pt idx="0">
                  <c:v>ksoil1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WorkSheet!$Q$8:$Q$67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</c:numRef>
          </c:xVal>
          <c:yVal>
            <c:numRef>
              <c:f>WorkSheet!$S$8:$S$67</c:f>
              <c:numCache>
                <c:formatCode>0.000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0.3151616380458741</c:v>
                </c:pt>
                <c:pt idx="11">
                  <c:v>0.63198540354745669</c:v>
                </c:pt>
                <c:pt idx="12">
                  <c:v>1.0674570918195458</c:v>
                </c:pt>
                <c:pt idx="13">
                  <c:v>1.6601715815122597</c:v>
                </c:pt>
                <c:pt idx="14">
                  <c:v>2.4496312980403321</c:v>
                </c:pt>
                <c:pt idx="15">
                  <c:v>3.4792992790446222</c:v>
                </c:pt>
                <c:pt idx="16">
                  <c:v>4.797472666616958</c:v>
                </c:pt>
                <c:pt idx="17">
                  <c:v>6.4577430798151498</c:v>
                </c:pt>
                <c:pt idx="18">
                  <c:v>8.5193428946556011</c:v>
                </c:pt>
                <c:pt idx="19">
                  <c:v>11.047455427394711</c:v>
                </c:pt>
                <c:pt idx="20">
                  <c:v>14.113515381749325</c:v>
                </c:pt>
                <c:pt idx="21">
                  <c:v>17.795510444050191</c:v>
                </c:pt>
                <c:pt idx="22">
                  <c:v>22.178289437616584</c:v>
                </c:pt>
                <c:pt idx="23">
                  <c:v>27.353880277730777</c:v>
                </c:pt>
                <c:pt idx="24">
                  <c:v>33.421820043549261</c:v>
                </c:pt>
                <c:pt idx="25">
                  <c:v>40.489499080792143</c:v>
                </c:pt>
                <c:pt idx="26">
                  <c:v>48.672520887942895</c:v>
                </c:pt>
                <c:pt idx="27">
                  <c:v>58.095079500288271</c:v>
                </c:pt>
                <c:pt idx="28">
                  <c:v>68.890356117025519</c:v>
                </c:pt>
                <c:pt idx="29">
                  <c:v>81.200936791782354</c:v>
                </c:pt>
                <c:pt idx="30">
                  <c:v>95.179253114226654</c:v>
                </c:pt>
                <c:pt idx="31">
                  <c:v>110.98804794451044</c:v>
                </c:pt>
                <c:pt idx="32">
                  <c:v>128.80086842093311</c:v>
                </c:pt>
                <c:pt idx="33">
                  <c:v>148.80258864436263</c:v>
                </c:pt>
                <c:pt idx="34">
                  <c:v>171.18996465163156</c:v>
                </c:pt>
                <c:pt idx="35">
                  <c:v>196.17222452644145</c:v>
                </c:pt>
                <c:pt idx="36">
                  <c:v>223.97169676289931</c:v>
                </c:pt>
                <c:pt idx="37">
                  <c:v>254.82448029719598</c:v>
                </c:pt>
                <c:pt idx="38">
                  <c:v>288.98115996122215</c:v>
                </c:pt>
                <c:pt idx="39">
                  <c:v>326.70757149298095</c:v>
                </c:pt>
                <c:pt idx="40">
                  <c:v>368.28562066833882</c:v>
                </c:pt>
                <c:pt idx="41">
                  <c:v>414.01416160356581</c:v>
                </c:pt>
                <c:pt idx="42">
                  <c:v>464.20993982626999</c:v>
                </c:pt>
                <c:pt idx="43">
                  <c:v>519.20860633287589</c:v>
                </c:pt>
                <c:pt idx="44">
                  <c:v>579.36580955449483</c:v>
                </c:pt>
                <c:pt idx="45">
                  <c:v>645.0583729527134</c:v>
                </c:pt>
                <c:pt idx="46">
                  <c:v>716.68556687722617</c:v>
                </c:pt>
                <c:pt idx="47">
                  <c:v>794.6704843560924</c:v>
                </c:pt>
                <c:pt idx="48">
                  <c:v>879.46153167748651</c:v>
                </c:pt>
                <c:pt idx="49">
                  <c:v>971.53404598375982</c:v>
                </c:pt>
                <c:pt idx="50">
                  <c:v>1071.3920536639166</c:v>
                </c:pt>
                <c:pt idx="51">
                  <c:v>1179.570185134248</c:v>
                </c:pt>
                <c:pt idx="52">
                  <c:v>1296.6357636807979</c:v>
                </c:pt>
                <c:pt idx="53">
                  <c:v>1423.1910884521617</c:v>
                </c:pt>
                <c:pt idx="54">
                  <c:v>1559.8759344976083</c:v>
                </c:pt>
                <c:pt idx="55">
                  <c:v>1707.3702960174396</c:v>
                </c:pt>
                <c:pt idx="56">
                  <c:v>1866.3974028194343</c:v>
                </c:pt>
                <c:pt idx="57">
                  <c:v>2037.7270444667847</c:v>
                </c:pt>
                <c:pt idx="58">
                  <c:v>2222.179241892828</c:v>
                </c:pt>
                <c:pt idx="59">
                  <c:v>2420.6283125120053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DC-354D-95A2-8A5BAE8216D9}"/>
            </c:ext>
          </c:extLst>
        </c:ser>
        <c:ser>
          <c:idx val="1"/>
          <c:order val="1"/>
          <c:tx>
            <c:strRef>
              <c:f>WorkSheet!$Y$6</c:f>
              <c:strCache>
                <c:ptCount val="1"/>
                <c:pt idx="0">
                  <c:v>ksoilToCollar1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WorkSheet!$Q$8:$Q$67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</c:numRef>
          </c:xVal>
          <c:yVal>
            <c:numRef>
              <c:f>WorkSheet!$Y$8:$Y$67</c:f>
              <c:numCache>
                <c:formatCode>0.000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0.25616308056217729</c:v>
                </c:pt>
                <c:pt idx="11">
                  <c:v>0.43231966606274191</c:v>
                </c:pt>
                <c:pt idx="12">
                  <c:v>0.599666355615326</c:v>
                </c:pt>
                <c:pt idx="13">
                  <c:v>0.75011127189451954</c:v>
                </c:pt>
                <c:pt idx="14">
                  <c:v>0.87795320772144447</c:v>
                </c:pt>
                <c:pt idx="15">
                  <c:v>0.98212304083342128</c:v>
                </c:pt>
                <c:pt idx="16">
                  <c:v>1.064700517580168</c:v>
                </c:pt>
                <c:pt idx="17">
                  <c:v>1.1291256461405335</c:v>
                </c:pt>
                <c:pt idx="18">
                  <c:v>1.1790115489589372</c:v>
                </c:pt>
                <c:pt idx="19">
                  <c:v>1.2175718763409391</c:v>
                </c:pt>
                <c:pt idx="20">
                  <c:v>1.2474392613862997</c:v>
                </c:pt>
                <c:pt idx="21">
                  <c:v>1.2706769055200273</c:v>
                </c:pt>
                <c:pt idx="22">
                  <c:v>1.2888635744675236</c:v>
                </c:pt>
                <c:pt idx="23">
                  <c:v>1.3031929951786028</c:v>
                </c:pt>
                <c:pt idx="24">
                  <c:v>1.3145635734887848</c:v>
                </c:pt>
                <c:pt idx="25">
                  <c:v>1.3236513896316358</c:v>
                </c:pt>
                <c:pt idx="26">
                  <c:v>1.3309666240786677</c:v>
                </c:pt>
                <c:pt idx="27">
                  <c:v>1.3368960200306046</c:v>
                </c:pt>
                <c:pt idx="28">
                  <c:v>1.3417344023301796</c:v>
                </c:pt>
                <c:pt idx="29">
                  <c:v>1.3457079317850806</c:v>
                </c:pt>
                <c:pt idx="30">
                  <c:v>1.3489912386390328</c:v>
                </c:pt>
                <c:pt idx="31">
                  <c:v>1.3517200665445663</c:v>
                </c:pt>
                <c:pt idx="32">
                  <c:v>1.3540006360667187</c:v>
                </c:pt>
                <c:pt idx="33">
                  <c:v>1.3559166114295176</c:v>
                </c:pt>
                <c:pt idx="34">
                  <c:v>1.3575343122340857</c:v>
                </c:pt>
                <c:pt idx="35">
                  <c:v>1.3589066352184731</c:v>
                </c:pt>
                <c:pt idx="36">
                  <c:v>1.3600760233933222</c:v>
                </c:pt>
                <c:pt idx="37">
                  <c:v>1.3610767279048599</c:v>
                </c:pt>
                <c:pt idx="38">
                  <c:v>1.3619365417824301</c:v>
                </c:pt>
                <c:pt idx="39">
                  <c:v>1.3626781370146528</c:v>
                </c:pt>
                <c:pt idx="40">
                  <c:v>1.3633201018994123</c:v>
                </c:pt>
                <c:pt idx="41">
                  <c:v>1.3638777505661861</c:v>
                </c:pt>
                <c:pt idx="42">
                  <c:v>1.3643637582986048</c:v>
                </c:pt>
                <c:pt idx="43">
                  <c:v>1.3647886628885679</c:v>
                </c:pt>
                <c:pt idx="44">
                  <c:v>1.3651612623773528</c:v>
                </c:pt>
                <c:pt idx="45">
                  <c:v>1.3654889322183295</c:v>
                </c:pt>
                <c:pt idx="46">
                  <c:v>1.3657778794388025</c:v>
                </c:pt>
                <c:pt idx="47">
                  <c:v>1.3660333472879647</c:v>
                </c:pt>
                <c:pt idx="48">
                  <c:v>1.366259780774854</c:v>
                </c:pt>
                <c:pt idx="49">
                  <c:v>1.3664609611637988</c:v>
                </c:pt>
                <c:pt idx="50">
                  <c:v>1.3666401157148349</c:v>
                </c:pt>
                <c:pt idx="51">
                  <c:v>1.3668000075934463</c:v>
                </c:pt>
                <c:pt idx="52">
                  <c:v>1.3669430098247448</c:v>
                </c:pt>
                <c:pt idx="53">
                  <c:v>1.3670711663556274</c:v>
                </c:pt>
                <c:pt idx="54">
                  <c:v>1.3671862426576684</c:v>
                </c:pt>
                <c:pt idx="55">
                  <c:v>1.367289767810949</c:v>
                </c:pt>
                <c:pt idx="56">
                  <c:v>1.3673830696226883</c:v>
                </c:pt>
                <c:pt idx="57">
                  <c:v>1.3674673040301519</c:v>
                </c:pt>
                <c:pt idx="58">
                  <c:v>1.3675434797965111</c:v>
                </c:pt>
                <c:pt idx="59">
                  <c:v>1.3676124793169921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4DC-354D-95A2-8A5BAE8216D9}"/>
            </c:ext>
          </c:extLst>
        </c:ser>
        <c:ser>
          <c:idx val="2"/>
          <c:order val="2"/>
          <c:tx>
            <c:strRef>
              <c:f>WorkSheet!$I$22</c:f>
              <c:strCache>
                <c:ptCount val="1"/>
                <c:pt idx="0">
                  <c:v>kroot1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WorkSheet!$Q$8:$Q$67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</c:numRef>
          </c:xVal>
          <c:yVal>
            <c:numRef>
              <c:f>WorkSheet!$V$8:$V$67</c:f>
              <c:numCache>
                <c:formatCode>0.000</c:formatCode>
                <c:ptCount val="60"/>
                <c:pt idx="0">
                  <c:v>1.368385593142037</c:v>
                </c:pt>
                <c:pt idx="1">
                  <c:v>1.368385593142037</c:v>
                </c:pt>
                <c:pt idx="2">
                  <c:v>1.368385593142037</c:v>
                </c:pt>
                <c:pt idx="3">
                  <c:v>1.368385593142037</c:v>
                </c:pt>
                <c:pt idx="4">
                  <c:v>1.368385593142037</c:v>
                </c:pt>
                <c:pt idx="5">
                  <c:v>1.368385593142037</c:v>
                </c:pt>
                <c:pt idx="6">
                  <c:v>1.368385593142037</c:v>
                </c:pt>
                <c:pt idx="7">
                  <c:v>1.368385593142037</c:v>
                </c:pt>
                <c:pt idx="8">
                  <c:v>1.368385593142037</c:v>
                </c:pt>
                <c:pt idx="9">
                  <c:v>1.368385593142037</c:v>
                </c:pt>
                <c:pt idx="10">
                  <c:v>1.368385593142037</c:v>
                </c:pt>
                <c:pt idx="11">
                  <c:v>1.368385593142037</c:v>
                </c:pt>
                <c:pt idx="12">
                  <c:v>1.368385593142037</c:v>
                </c:pt>
                <c:pt idx="13">
                  <c:v>1.368385593142037</c:v>
                </c:pt>
                <c:pt idx="14">
                  <c:v>1.368385593142037</c:v>
                </c:pt>
                <c:pt idx="15">
                  <c:v>1.368385593142037</c:v>
                </c:pt>
                <c:pt idx="16">
                  <c:v>1.368385593142037</c:v>
                </c:pt>
                <c:pt idx="17">
                  <c:v>1.368385593142037</c:v>
                </c:pt>
                <c:pt idx="18">
                  <c:v>1.368385593142037</c:v>
                </c:pt>
                <c:pt idx="19">
                  <c:v>1.368385593142037</c:v>
                </c:pt>
                <c:pt idx="20">
                  <c:v>1.368385593142037</c:v>
                </c:pt>
                <c:pt idx="21">
                  <c:v>1.368385593142037</c:v>
                </c:pt>
                <c:pt idx="22">
                  <c:v>1.368385593142037</c:v>
                </c:pt>
                <c:pt idx="23">
                  <c:v>1.368385593142037</c:v>
                </c:pt>
                <c:pt idx="24">
                  <c:v>1.368385593142037</c:v>
                </c:pt>
                <c:pt idx="25">
                  <c:v>1.368385593142037</c:v>
                </c:pt>
                <c:pt idx="26">
                  <c:v>1.368385593142037</c:v>
                </c:pt>
                <c:pt idx="27">
                  <c:v>1.368385593142037</c:v>
                </c:pt>
                <c:pt idx="28">
                  <c:v>1.368385593142037</c:v>
                </c:pt>
                <c:pt idx="29">
                  <c:v>1.368385593142037</c:v>
                </c:pt>
                <c:pt idx="30">
                  <c:v>1.368385593142037</c:v>
                </c:pt>
                <c:pt idx="31">
                  <c:v>1.368385593142037</c:v>
                </c:pt>
                <c:pt idx="32">
                  <c:v>1.368385593142037</c:v>
                </c:pt>
                <c:pt idx="33">
                  <c:v>1.368385593142037</c:v>
                </c:pt>
                <c:pt idx="34">
                  <c:v>1.368385593142037</c:v>
                </c:pt>
                <c:pt idx="35">
                  <c:v>1.368385593142037</c:v>
                </c:pt>
                <c:pt idx="36">
                  <c:v>1.368385593142037</c:v>
                </c:pt>
                <c:pt idx="37">
                  <c:v>1.368385593142037</c:v>
                </c:pt>
                <c:pt idx="38">
                  <c:v>1.368385593142037</c:v>
                </c:pt>
                <c:pt idx="39">
                  <c:v>1.368385593142037</c:v>
                </c:pt>
                <c:pt idx="40">
                  <c:v>1.368385593142037</c:v>
                </c:pt>
                <c:pt idx="41">
                  <c:v>1.368385593142037</c:v>
                </c:pt>
                <c:pt idx="42">
                  <c:v>1.368385593142037</c:v>
                </c:pt>
                <c:pt idx="43">
                  <c:v>1.368385593142037</c:v>
                </c:pt>
                <c:pt idx="44">
                  <c:v>1.368385593142037</c:v>
                </c:pt>
                <c:pt idx="45">
                  <c:v>1.368385593142037</c:v>
                </c:pt>
                <c:pt idx="46">
                  <c:v>1.368385593142037</c:v>
                </c:pt>
                <c:pt idx="47">
                  <c:v>1.368385593142037</c:v>
                </c:pt>
                <c:pt idx="48">
                  <c:v>1.368385593142037</c:v>
                </c:pt>
                <c:pt idx="49">
                  <c:v>1.368385593142037</c:v>
                </c:pt>
                <c:pt idx="50">
                  <c:v>1.368385593142037</c:v>
                </c:pt>
                <c:pt idx="51">
                  <c:v>1.368385593142037</c:v>
                </c:pt>
                <c:pt idx="52">
                  <c:v>1.368385593142037</c:v>
                </c:pt>
                <c:pt idx="53">
                  <c:v>1.368385593142037</c:v>
                </c:pt>
                <c:pt idx="54">
                  <c:v>1.368385593142037</c:v>
                </c:pt>
                <c:pt idx="55">
                  <c:v>1.368385593142037</c:v>
                </c:pt>
                <c:pt idx="56">
                  <c:v>1.368385593142037</c:v>
                </c:pt>
                <c:pt idx="57">
                  <c:v>1.368385593142037</c:v>
                </c:pt>
                <c:pt idx="58">
                  <c:v>1.368385593142037</c:v>
                </c:pt>
                <c:pt idx="59">
                  <c:v>1.368385593142037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4DC-354D-95A2-8A5BAE8216D9}"/>
            </c:ext>
          </c:extLst>
        </c:ser>
        <c:ser>
          <c:idx val="3"/>
          <c:order val="3"/>
          <c:tx>
            <c:strRef>
              <c:f>WorkSheet!$B$20</c:f>
              <c:strCache>
                <c:ptCount val="1"/>
                <c:pt idx="0">
                  <c:v>sc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WorkSheet!$G$20</c:f>
              <c:numCache>
                <c:formatCode>General</c:formatCode>
                <c:ptCount val="1"/>
                <c:pt idx="0">
                  <c:v>0.28000000000000003</c:v>
                </c:pt>
              </c:numCache>
            </c:numRef>
          </c:xVal>
          <c:yVal>
            <c:numRef>
              <c:f>WorkSheet!$G$20</c:f>
              <c:numCache>
                <c:formatCode>General</c:formatCode>
                <c:ptCount val="1"/>
                <c:pt idx="0">
                  <c:v>0.28000000000000003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4DC-354D-95A2-8A5BAE821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252239"/>
        <c:axId val="1630013327"/>
      </c:scatterChart>
      <c:valAx>
        <c:axId val="1630252239"/>
        <c:scaling>
          <c:orientation val="minMax"/>
          <c:max val="0.6200000000000001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FR" sz="1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Soil water</a:t>
                </a:r>
                <a:r>
                  <a:rPr lang="fr-FR" sz="12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content (m3.m-3)</a:t>
                </a:r>
                <a:endParaRPr lang="fr-FR" sz="12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34773637552353731"/>
              <c:y val="0.9389345832910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0013327"/>
        <c:crossesAt val="0"/>
        <c:crossBetween val="midCat"/>
      </c:valAx>
      <c:valAx>
        <c:axId val="1630013327"/>
        <c:scaling>
          <c:orientation val="minMax"/>
          <c:max val="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FR" sz="1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conductance (mmol.MPar.m2.s-1)</a:t>
                </a:r>
              </a:p>
              <a:p>
                <a:pPr>
                  <a:defRPr sz="1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fr-FR" sz="12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.0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0252239"/>
        <c:crosses val="autoZero"/>
        <c:crossBetween val="midCat"/>
      </c:valAx>
      <c:spPr>
        <a:noFill/>
        <a:ln w="63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5838538952361312"/>
          <c:y val="0.45771129902728208"/>
          <c:w val="0.16465458567567584"/>
          <c:h val="0.193522302485036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Psi-SWC</a:t>
            </a:r>
            <a:r>
              <a:rPr lang="fr-FR" baseline="0"/>
              <a:t> relationship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WorkSheet!$AC$18:$AC$35</c:f>
              <c:numCache>
                <c:formatCode>General</c:formatCode>
                <c:ptCount val="18"/>
                <c:pt idx="0">
                  <c:v>0.11</c:v>
                </c:pt>
                <c:pt idx="1">
                  <c:v>0.12</c:v>
                </c:pt>
                <c:pt idx="2">
                  <c:v>0.13</c:v>
                </c:pt>
                <c:pt idx="3">
                  <c:v>0.14000000000000001</c:v>
                </c:pt>
                <c:pt idx="4">
                  <c:v>0.15</c:v>
                </c:pt>
                <c:pt idx="5">
                  <c:v>0.16</c:v>
                </c:pt>
                <c:pt idx="6">
                  <c:v>0.17</c:v>
                </c:pt>
                <c:pt idx="7">
                  <c:v>0.18</c:v>
                </c:pt>
                <c:pt idx="8">
                  <c:v>0.19</c:v>
                </c:pt>
                <c:pt idx="9">
                  <c:v>0.2</c:v>
                </c:pt>
                <c:pt idx="10">
                  <c:v>0.21</c:v>
                </c:pt>
                <c:pt idx="11">
                  <c:v>0.22</c:v>
                </c:pt>
                <c:pt idx="12">
                  <c:v>0.23</c:v>
                </c:pt>
                <c:pt idx="13">
                  <c:v>0.24</c:v>
                </c:pt>
                <c:pt idx="14">
                  <c:v>0.25</c:v>
                </c:pt>
                <c:pt idx="15">
                  <c:v>0.26</c:v>
                </c:pt>
                <c:pt idx="16">
                  <c:v>0.27</c:v>
                </c:pt>
                <c:pt idx="17">
                  <c:v>0.28000000000000003</c:v>
                </c:pt>
              </c:numCache>
            </c:numRef>
          </c:xVal>
          <c:yVal>
            <c:numRef>
              <c:f>WorkSheet!$AE$18:$AE$35</c:f>
              <c:numCache>
                <c:formatCode>General</c:formatCode>
                <c:ptCount val="18"/>
                <c:pt idx="0">
                  <c:v>-3.5944401511222881</c:v>
                </c:pt>
                <c:pt idx="1">
                  <c:v>-1.7888543819998328</c:v>
                </c:pt>
                <c:pt idx="2">
                  <c:v>-1.1832159566199236</c:v>
                </c:pt>
                <c:pt idx="3">
                  <c:v>-0.87749643873921235</c:v>
                </c:pt>
                <c:pt idx="4">
                  <c:v>-0.69166465863162352</c:v>
                </c:pt>
                <c:pt idx="5">
                  <c:v>-0.56568542494923824</c:v>
                </c:pt>
                <c:pt idx="6">
                  <c:v>-0.47380354147934278</c:v>
                </c:pt>
                <c:pt idx="7">
                  <c:v>-0.40311288741492773</c:v>
                </c:pt>
                <c:pt idx="8">
                  <c:v>-0.34641016151377546</c:v>
                </c:pt>
                <c:pt idx="9">
                  <c:v>-0.29933259094191533</c:v>
                </c:pt>
                <c:pt idx="10">
                  <c:v>-0.25905103361409115</c:v>
                </c:pt>
                <c:pt idx="11">
                  <c:v>-0.22360679774997907</c:v>
                </c:pt>
                <c:pt idx="12">
                  <c:v>-0.19153691689213431</c:v>
                </c:pt>
                <c:pt idx="13">
                  <c:v>-0.16162440712835383</c:v>
                </c:pt>
                <c:pt idx="14">
                  <c:v>-0.13266499161421605</c:v>
                </c:pt>
                <c:pt idx="15">
                  <c:v>-0.10307764064044152</c:v>
                </c:pt>
                <c:pt idx="16">
                  <c:v>-6.9600938624701389E-2</c:v>
                </c:pt>
                <c:pt idx="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B4-6E46-830B-068F9BAD3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0916927"/>
        <c:axId val="1290897999"/>
      </c:scatterChart>
      <c:valAx>
        <c:axId val="1290916927"/>
        <c:scaling>
          <c:orientation val="minMax"/>
          <c:max val="0.28000000000000003"/>
          <c:min val="0.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90897999"/>
        <c:crosses val="autoZero"/>
        <c:crossBetween val="midCat"/>
      </c:valAx>
      <c:valAx>
        <c:axId val="12908979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9091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1043763</xdr:colOff>
      <xdr:row>1</xdr:row>
      <xdr:rowOff>137632</xdr:rowOff>
    </xdr:from>
    <xdr:ext cx="2941342" cy="4150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ZoneTexte 12">
              <a:extLst>
                <a:ext uri="{FF2B5EF4-FFF2-40B4-BE49-F238E27FC236}">
                  <a16:creationId xmlns:a16="http://schemas.microsoft.com/office/drawing/2014/main" id="{7D47744F-54E6-2B49-BE1F-66B5FBF6C7C3}"/>
                </a:ext>
              </a:extLst>
            </xdr:cNvPr>
            <xdr:cNvSpPr txBox="1"/>
          </xdr:nvSpPr>
          <xdr:spPr>
            <a:xfrm>
              <a:off x="24228647" y="388679"/>
              <a:ext cx="2941342" cy="4150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𝑠𝑜𝑖𝑙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fr-F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sSub>
                              <m:sSubPr>
                                <m:ctrlP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𝐵</m:t>
                                </m:r>
                              </m:e>
                              <m:sub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.</m:t>
                            </m:r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𝐾</m:t>
                            </m:r>
                          </m:e>
                          <m:sub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𝑠𝑎𝑡</m:t>
                            </m:r>
                          </m:sub>
                        </m:s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.</m:t>
                        </m:r>
                        <m:sSup>
                          <m:sSup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𝑅𝐸𝑊</m:t>
                            </m:r>
                          </m:e>
                          <m:sup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sup>
                        </m:sSup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.</m:t>
                        </m:r>
                        <m:d>
                          <m:dPr>
                            <m:begChr m:val="["/>
                            <m:endChr m:val="]"/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(1−</m:t>
                                </m:r>
                                <m:sSup>
                                  <m:sSupPr>
                                    <m:ctrlPr>
                                      <a:rPr lang="fr-F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fr-FR" sz="1100" b="0" i="1">
                                        <a:latin typeface="Cambria Math" panose="02040503050406030204" pitchFamily="18" charset="0"/>
                                      </a:rPr>
                                      <m:t>𝑅𝐸𝑊</m:t>
                                    </m:r>
                                  </m:e>
                                  <m:sup>
                                    <m:box>
                                      <m:boxPr>
                                        <m:ctrlPr>
                                          <a:rPr lang="fr-FR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boxPr>
                                      <m:e>
                                        <m:argPr>
                                          <m:argSz m:val="-1"/>
                                        </m:argPr>
                                        <m:f>
                                          <m:fPr>
                                            <m:ctrlPr>
                                              <a:rPr lang="fr-FR" sz="1100" b="0" i="1"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fPr>
                                          <m:num>
                                            <m:r>
                                              <a:rPr lang="fr-FR" sz="1100" b="0" i="1">
                                                <a:latin typeface="Cambria Math" panose="02040503050406030204" pitchFamily="18" charset="0"/>
                                              </a:rPr>
                                              <m:t>1</m:t>
                                            </m:r>
                                          </m:num>
                                          <m:den>
                                            <m:r>
                                              <a:rPr lang="fr-FR" sz="1100" b="0" i="1">
                                                <a:latin typeface="Cambria Math" panose="02040503050406030204" pitchFamily="18" charset="0"/>
                                              </a:rPr>
                                              <m:t>𝑚</m:t>
                                            </m:r>
                                          </m:den>
                                        </m:f>
                                      </m:e>
                                    </m:box>
                                  </m:sup>
                                </m:sSup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𝑚</m:t>
                                </m:r>
                              </m:sup>
                            </m:sSup>
                          </m:e>
                        </m:d>
                      </m:e>
                      <m:sup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13" name="ZoneTexte 12">
              <a:extLst>
                <a:ext uri="{FF2B5EF4-FFF2-40B4-BE49-F238E27FC236}">
                  <a16:creationId xmlns:a16="http://schemas.microsoft.com/office/drawing/2014/main" id="{7D47744F-54E6-2B49-BE1F-66B5FBF6C7C3}"/>
                </a:ext>
              </a:extLst>
            </xdr:cNvPr>
            <xdr:cNvSpPr txBox="1"/>
          </xdr:nvSpPr>
          <xdr:spPr>
            <a:xfrm>
              <a:off x="24228647" y="388679"/>
              <a:ext cx="2941342" cy="4150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fr-FR" sz="1100" b="0" i="0">
                  <a:latin typeface="Cambria Math" panose="02040503050406030204" pitchFamily="18" charset="0"/>
                </a:rPr>
                <a:t>𝑘_(𝑠𝑜𝑖𝑙,𝑖)=〖〖𝐵_𝑖.𝐾〗_𝑠𝑎𝑡.〖𝑅𝐸𝑊〗^𝐼.[1−〖(1−〖𝑅𝐸𝑊〗^□(64&amp;1/𝑚))〗^𝑚 ]〗^2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25</xdr:col>
      <xdr:colOff>96273</xdr:colOff>
      <xdr:row>1</xdr:row>
      <xdr:rowOff>115781</xdr:rowOff>
    </xdr:from>
    <xdr:ext cx="2069469" cy="5391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ZoneTexte 13">
              <a:extLst>
                <a:ext uri="{FF2B5EF4-FFF2-40B4-BE49-F238E27FC236}">
                  <a16:creationId xmlns:a16="http://schemas.microsoft.com/office/drawing/2014/main" id="{6AAA3189-F470-D44C-8FB8-47F346287412}"/>
                </a:ext>
              </a:extLst>
            </xdr:cNvPr>
            <xdr:cNvSpPr txBox="1"/>
          </xdr:nvSpPr>
          <xdr:spPr>
            <a:xfrm>
              <a:off x="28124878" y="366828"/>
              <a:ext cx="2069469" cy="5391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𝑆𝑜𝑖𝑙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𝑡𝑜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𝑐𝑜𝑙𝑎𝑟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fr-FR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f>
                          <m:f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𝑘</m:t>
                                </m:r>
                              </m:e>
                              <m:sub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𝑅𝑜𝑜𝑡</m:t>
                                </m:r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,</m:t>
                                </m:r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den>
                        </m:f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𝑘</m:t>
                                </m:r>
                              </m:e>
                              <m:sub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𝑆𝑜𝑖𝑙</m:t>
                                </m:r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,</m:t>
                                </m:r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den>
                        </m:f>
                      </m:den>
                    </m:f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14" name="ZoneTexte 13">
              <a:extLst>
                <a:ext uri="{FF2B5EF4-FFF2-40B4-BE49-F238E27FC236}">
                  <a16:creationId xmlns:a16="http://schemas.microsoft.com/office/drawing/2014/main" id="{6AAA3189-F470-D44C-8FB8-47F346287412}"/>
                </a:ext>
              </a:extLst>
            </xdr:cNvPr>
            <xdr:cNvSpPr txBox="1"/>
          </xdr:nvSpPr>
          <xdr:spPr>
            <a:xfrm>
              <a:off x="28124878" y="366828"/>
              <a:ext cx="2069469" cy="5391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fr-FR" sz="1100" b="0" i="0">
                  <a:latin typeface="Cambria Math" panose="02040503050406030204" pitchFamily="18" charset="0"/>
                </a:rPr>
                <a:t>𝑘_(𝑆𝑜𝑖𝑙_𝑡𝑜_𝑐𝑜𝑙𝑎𝑟,𝑖)=  1/(1/𝑘_(𝑅𝑜𝑜𝑡,𝑖) +1/𝑘_(𝑆𝑜𝑖𝑙,𝑖) )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15</xdr:col>
      <xdr:colOff>1409112</xdr:colOff>
      <xdr:row>1</xdr:row>
      <xdr:rowOff>164756</xdr:rowOff>
    </xdr:from>
    <xdr:ext cx="2069469" cy="5391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ZoneTexte 15">
              <a:extLst>
                <a:ext uri="{FF2B5EF4-FFF2-40B4-BE49-F238E27FC236}">
                  <a16:creationId xmlns:a16="http://schemas.microsoft.com/office/drawing/2014/main" id="{A1BD9D21-FA36-094C-9FDC-C7ACCAB95E1D}"/>
                </a:ext>
              </a:extLst>
            </xdr:cNvPr>
            <xdr:cNvSpPr txBox="1"/>
          </xdr:nvSpPr>
          <xdr:spPr>
            <a:xfrm>
              <a:off x="19883182" y="415803"/>
              <a:ext cx="2069469" cy="5391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r-FR" sz="1100" b="0" i="1">
                        <a:latin typeface="Cambria Math" panose="02040503050406030204" pitchFamily="18" charset="0"/>
                      </a:rPr>
                      <m:t>𝑅𝐸𝑊</m:t>
                    </m:r>
                    <m:r>
                      <a:rPr lang="fr-FR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𝑆𝑊𝐶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𝑟𝑐</m:t>
                        </m:r>
                      </m:num>
                      <m:den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𝑠𝑐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𝑟𝑐</m:t>
                        </m:r>
                      </m:den>
                    </m:f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16" name="ZoneTexte 15">
              <a:extLst>
                <a:ext uri="{FF2B5EF4-FFF2-40B4-BE49-F238E27FC236}">
                  <a16:creationId xmlns:a16="http://schemas.microsoft.com/office/drawing/2014/main" id="{A1BD9D21-FA36-094C-9FDC-C7ACCAB95E1D}"/>
                </a:ext>
              </a:extLst>
            </xdr:cNvPr>
            <xdr:cNvSpPr txBox="1"/>
          </xdr:nvSpPr>
          <xdr:spPr>
            <a:xfrm>
              <a:off x="19883182" y="415803"/>
              <a:ext cx="2069469" cy="5391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fr-FR" sz="1100" b="0" i="0">
                  <a:latin typeface="Cambria Math" panose="02040503050406030204" pitchFamily="18" charset="0"/>
                </a:rPr>
                <a:t>𝑅𝐸𝑊=  (𝑆𝑊𝐶−𝑟𝑐)/(𝑠𝑐−𝑟𝑐)</a:t>
              </a:r>
              <a:endParaRPr lang="fr-FR" sz="1100"/>
            </a:p>
          </xdr:txBody>
        </xdr:sp>
      </mc:Fallback>
    </mc:AlternateContent>
    <xdr:clientData/>
  </xdr:oneCellAnchor>
  <xdr:twoCellAnchor>
    <xdr:from>
      <xdr:col>2</xdr:col>
      <xdr:colOff>651934</xdr:colOff>
      <xdr:row>34</xdr:row>
      <xdr:rowOff>175593</xdr:rowOff>
    </xdr:from>
    <xdr:to>
      <xdr:col>8</xdr:col>
      <xdr:colOff>375654</xdr:colOff>
      <xdr:row>56</xdr:row>
      <xdr:rowOff>28966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EEA2ADA2-6603-A545-B358-8767B9F7BF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28</xdr:col>
      <xdr:colOff>151855</xdr:colOff>
      <xdr:row>0</xdr:row>
      <xdr:rowOff>244474</xdr:rowOff>
    </xdr:from>
    <xdr:ext cx="1451615" cy="44345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ZoneTexte 2">
              <a:extLst>
                <a:ext uri="{FF2B5EF4-FFF2-40B4-BE49-F238E27FC236}">
                  <a16:creationId xmlns:a16="http://schemas.microsoft.com/office/drawing/2014/main" id="{D56DA5A5-940F-F54E-8548-B2BCB4079CE2}"/>
                </a:ext>
              </a:extLst>
            </xdr:cNvPr>
            <xdr:cNvSpPr txBox="1"/>
          </xdr:nvSpPr>
          <xdr:spPr>
            <a:xfrm>
              <a:off x="34936166" y="244474"/>
              <a:ext cx="1451615" cy="4434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𝜓</m:t>
                        </m:r>
                      </m:e>
                      <m: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𝑠𝑜𝑖𝑙</m:t>
                        </m:r>
                      </m:sub>
                    </m:sSub>
                    <m:r>
                      <a:rPr lang="fr-FR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p>
                          <m:sSup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sSup>
                              <m:sSupPr>
                                <m:ctrlP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f>
                                  <m:fPr>
                                    <m:ctrlPr>
                                      <a:rPr lang="fr-F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fr-FR" sz="1100" b="0" i="1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num>
                                  <m:den>
                                    <m:r>
                                      <a:rPr lang="fr-FR" sz="1100" b="0" i="1">
                                        <a:latin typeface="Cambria Math" panose="02040503050406030204" pitchFamily="18" charset="0"/>
                                      </a:rPr>
                                      <m:t>𝑅𝐸𝑊</m:t>
                                    </m:r>
                                  </m:den>
                                </m:f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f>
                                  <m:fPr>
                                    <m:ctrlPr>
                                      <a:rPr lang="fr-F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fr-FR" sz="1100" b="0" i="1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num>
                                  <m:den>
                                    <m:r>
                                      <a:rPr lang="fr-FR" sz="1100" b="0" i="1">
                                        <a:latin typeface="Cambria Math" panose="02040503050406030204" pitchFamily="18" charset="0"/>
                                      </a:rPr>
                                      <m:t>𝑚</m:t>
                                    </m:r>
                                  </m:den>
                                </m:f>
                              </m:sup>
                            </m:sSup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−1)</m:t>
                            </m:r>
                          </m:e>
                          <m:sup>
                            <m:f>
                              <m:fPr>
                                <m:ctrlP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den>
                            </m:f>
                          </m:sup>
                        </m:sSup>
                      </m:num>
                      <m:den>
                        <m:r>
                          <a:rPr lang="fr-F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∝</m:t>
                        </m:r>
                      </m:den>
                    </m:f>
                  </m:oMath>
                </m:oMathPara>
              </a14:m>
              <a:endParaRPr lang="fr-FR" sz="1100"/>
            </a:p>
          </xdr:txBody>
        </xdr:sp>
      </mc:Choice>
      <mc:Fallback>
        <xdr:sp macro="" textlink="">
          <xdr:nvSpPr>
            <xdr:cNvPr id="3" name="ZoneTexte 2">
              <a:extLst>
                <a:ext uri="{FF2B5EF4-FFF2-40B4-BE49-F238E27FC236}">
                  <a16:creationId xmlns:a16="http://schemas.microsoft.com/office/drawing/2014/main" id="{D56DA5A5-940F-F54E-8548-B2BCB4079CE2}"/>
                </a:ext>
              </a:extLst>
            </xdr:cNvPr>
            <xdr:cNvSpPr txBox="1"/>
          </xdr:nvSpPr>
          <xdr:spPr>
            <a:xfrm>
              <a:off x="34936166" y="244474"/>
              <a:ext cx="1451615" cy="4434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F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𝜓_</a:t>
              </a:r>
              <a:r>
                <a:rPr lang="fr-FR" sz="1100" b="0" i="0">
                  <a:latin typeface="Cambria Math" panose="02040503050406030204" pitchFamily="18" charset="0"/>
                </a:rPr>
                <a:t>𝑠𝑜𝑖𝑙=  ((〖〖(1/𝑅𝐸𝑊)〗^(1/𝑚)−1)〗^(1/𝑛))/</a:t>
              </a:r>
              <a:r>
                <a:rPr lang="fr-F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∝</a:t>
              </a:r>
              <a:endParaRPr lang="fr-FR" sz="1100"/>
            </a:p>
          </xdr:txBody>
        </xdr:sp>
      </mc:Fallback>
    </mc:AlternateContent>
    <xdr:clientData/>
  </xdr:oneCellAnchor>
  <xdr:twoCellAnchor>
    <xdr:from>
      <xdr:col>9</xdr:col>
      <xdr:colOff>560147</xdr:colOff>
      <xdr:row>35</xdr:row>
      <xdr:rowOff>49451</xdr:rowOff>
    </xdr:from>
    <xdr:to>
      <xdr:col>13</xdr:col>
      <xdr:colOff>689607</xdr:colOff>
      <xdr:row>55</xdr:row>
      <xdr:rowOff>129023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4EA65EBF-F3F4-FB42-9BFA-C00BF4A8D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482600</xdr:colOff>
      <xdr:row>25</xdr:row>
      <xdr:rowOff>114300</xdr:rowOff>
    </xdr:from>
    <xdr:to>
      <xdr:col>25</xdr:col>
      <xdr:colOff>345063</xdr:colOff>
      <xdr:row>62</xdr:row>
      <xdr:rowOff>148855</xdr:rowOff>
    </xdr:to>
    <xdr:pic>
      <xdr:nvPicPr>
        <xdr:cNvPr id="2" name="Image 1" descr="USDA soil classification. | Download Scientific Diagram">
          <a:extLst>
            <a:ext uri="{FF2B5EF4-FFF2-40B4-BE49-F238E27FC236}">
              <a16:creationId xmlns:a16="http://schemas.microsoft.com/office/drawing/2014/main" id="{FFE35641-F7AD-CD42-BE12-0D191E90D0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35200" y="5245100"/>
          <a:ext cx="7406263" cy="75529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3C9AC-1A9D-EA45-B245-5C46BCC162EE}">
  <dimension ref="A1:AE67"/>
  <sheetViews>
    <sheetView topLeftCell="B13" zoomScale="62" zoomScaleNormal="64" workbookViewId="0">
      <selection activeCell="G19" sqref="G19"/>
    </sheetView>
  </sheetViews>
  <sheetFormatPr baseColWidth="10" defaultRowHeight="16"/>
  <cols>
    <col min="1" max="1" width="2.1640625" style="1" customWidth="1"/>
    <col min="2" max="2" width="13.1640625" style="1" customWidth="1"/>
    <col min="3" max="3" width="14.5" style="1" customWidth="1"/>
    <col min="4" max="4" width="25.6640625" style="1" customWidth="1"/>
    <col min="5" max="5" width="16.5" style="1" customWidth="1"/>
    <col min="6" max="6" width="13" style="1" customWidth="1"/>
    <col min="7" max="7" width="11.83203125" style="1" customWidth="1"/>
    <col min="8" max="8" width="5" style="1" customWidth="1"/>
    <col min="9" max="9" width="11.33203125" style="1" customWidth="1"/>
    <col min="10" max="10" width="9.83203125" style="1" customWidth="1"/>
    <col min="11" max="11" width="24.5" style="1" customWidth="1"/>
    <col min="12" max="12" width="23.6640625" style="1" customWidth="1"/>
    <col min="13" max="13" width="29.83203125" style="20" customWidth="1"/>
    <col min="14" max="14" width="17" style="1" customWidth="1"/>
    <col min="15" max="15" width="9.6640625" style="1" customWidth="1"/>
    <col min="16" max="16" width="23.1640625" style="1" customWidth="1"/>
    <col min="17" max="17" width="24.6640625" style="1" customWidth="1"/>
    <col min="18" max="18" width="14" style="1" customWidth="1"/>
    <col min="19" max="19" width="15.83203125" style="124" customWidth="1"/>
    <col min="20" max="26" width="15.83203125" style="1" customWidth="1"/>
    <col min="27" max="27" width="21" style="1" customWidth="1"/>
    <col min="28" max="28" width="19.1640625" style="1" customWidth="1"/>
    <col min="29" max="29" width="24" style="1" customWidth="1"/>
    <col min="30" max="16384" width="10.83203125" style="1"/>
  </cols>
  <sheetData>
    <row r="1" spans="2:31" ht="20">
      <c r="B1" s="13" t="s">
        <v>50</v>
      </c>
      <c r="C1" s="13"/>
      <c r="D1" s="13"/>
    </row>
    <row r="2" spans="2:31">
      <c r="B2" s="14" t="s">
        <v>27</v>
      </c>
      <c r="C2" s="14"/>
      <c r="D2" s="14"/>
    </row>
    <row r="3" spans="2:31">
      <c r="B3" s="19" t="s">
        <v>44</v>
      </c>
      <c r="C3" s="14"/>
      <c r="D3" s="14"/>
    </row>
    <row r="5" spans="2:31" ht="34">
      <c r="B5" s="38" t="s">
        <v>28</v>
      </c>
      <c r="C5" s="38"/>
      <c r="D5" s="38"/>
      <c r="E5" s="39"/>
      <c r="F5" s="39"/>
      <c r="G5" s="39"/>
      <c r="I5" s="15" t="s">
        <v>136</v>
      </c>
      <c r="J5" s="15"/>
      <c r="Q5" s="115" t="s">
        <v>116</v>
      </c>
      <c r="R5" s="116"/>
      <c r="S5" s="125"/>
      <c r="T5" s="116"/>
      <c r="U5" s="116"/>
      <c r="V5" s="116"/>
      <c r="W5" s="116"/>
      <c r="X5" s="116"/>
      <c r="Z5" s="116"/>
      <c r="AA5" s="116"/>
      <c r="AC5" s="11" t="s">
        <v>154</v>
      </c>
      <c r="AD5" s="152"/>
      <c r="AE5" s="152"/>
    </row>
    <row r="6" spans="2:31" ht="18" customHeight="1" thickBot="1">
      <c r="B6" s="62" t="s">
        <v>14</v>
      </c>
      <c r="C6" s="62" t="s">
        <v>33</v>
      </c>
      <c r="D6" s="62" t="s">
        <v>13</v>
      </c>
      <c r="E6" s="63" t="s">
        <v>29</v>
      </c>
      <c r="F6" s="63" t="s">
        <v>30</v>
      </c>
      <c r="G6" s="63" t="s">
        <v>15</v>
      </c>
      <c r="I6" s="16" t="s">
        <v>14</v>
      </c>
      <c r="J6" s="16" t="s">
        <v>33</v>
      </c>
      <c r="K6" s="16" t="s">
        <v>13</v>
      </c>
      <c r="L6" s="17" t="s">
        <v>29</v>
      </c>
      <c r="M6" s="145" t="s">
        <v>22</v>
      </c>
      <c r="N6" s="18" t="s">
        <v>21</v>
      </c>
      <c r="O6" s="17" t="s">
        <v>15</v>
      </c>
      <c r="Q6" s="122" t="s">
        <v>134</v>
      </c>
      <c r="R6" s="123" t="s">
        <v>24</v>
      </c>
      <c r="S6" s="126" t="s">
        <v>25</v>
      </c>
      <c r="T6" s="122" t="s">
        <v>117</v>
      </c>
      <c r="U6" s="122" t="s">
        <v>135</v>
      </c>
      <c r="V6" s="122" t="s">
        <v>108</v>
      </c>
      <c r="W6" s="122" t="s">
        <v>109</v>
      </c>
      <c r="X6" s="122" t="s">
        <v>110</v>
      </c>
      <c r="Y6" s="122" t="s">
        <v>4</v>
      </c>
      <c r="Z6" s="122" t="s">
        <v>5</v>
      </c>
      <c r="AA6" s="122" t="s">
        <v>6</v>
      </c>
      <c r="AC6" s="153" t="str">
        <f>Q6</f>
        <v>Soil water content (SWC)</v>
      </c>
      <c r="AD6" s="153" t="str">
        <f>R6</f>
        <v>REW</v>
      </c>
      <c r="AE6" s="153" t="s">
        <v>152</v>
      </c>
    </row>
    <row r="7" spans="2:31" ht="18" customHeight="1">
      <c r="B7" s="25" t="s">
        <v>67</v>
      </c>
      <c r="C7" s="26" t="s">
        <v>95</v>
      </c>
      <c r="D7" s="27" t="s">
        <v>149</v>
      </c>
      <c r="E7" s="78" t="s">
        <v>1</v>
      </c>
      <c r="F7" s="28" t="s">
        <v>94</v>
      </c>
      <c r="G7" s="138">
        <v>0.5</v>
      </c>
      <c r="I7" s="71" t="s">
        <v>45</v>
      </c>
      <c r="J7" s="72" t="s">
        <v>45</v>
      </c>
      <c r="K7" s="21" t="s">
        <v>46</v>
      </c>
      <c r="L7" s="77" t="s">
        <v>121</v>
      </c>
      <c r="M7" s="21" t="s">
        <v>88</v>
      </c>
      <c r="N7" s="7" t="s">
        <v>3</v>
      </c>
      <c r="O7" s="146">
        <f>LAI*fRootToLeaf</f>
        <v>6</v>
      </c>
      <c r="Q7" s="121" t="s">
        <v>133</v>
      </c>
      <c r="R7" s="132" t="s">
        <v>3</v>
      </c>
      <c r="S7" s="127" t="s">
        <v>131</v>
      </c>
      <c r="T7" s="120" t="s">
        <v>131</v>
      </c>
      <c r="U7" s="120" t="s">
        <v>131</v>
      </c>
      <c r="V7" s="127" t="s">
        <v>131</v>
      </c>
      <c r="W7" s="120" t="s">
        <v>131</v>
      </c>
      <c r="X7" s="120" t="s">
        <v>131</v>
      </c>
      <c r="Y7" s="120" t="s">
        <v>131</v>
      </c>
      <c r="Z7" s="120" t="s">
        <v>131</v>
      </c>
      <c r="AA7" s="120" t="s">
        <v>131</v>
      </c>
      <c r="AC7" s="154" t="str">
        <f t="shared" ref="AC7:AC67" si="0">Q7</f>
        <v>cm3.cm-3</v>
      </c>
      <c r="AD7" s="154" t="str">
        <f t="shared" ref="AD7:AD67" si="1">R7</f>
        <v>-</v>
      </c>
      <c r="AE7" s="154" t="s">
        <v>153</v>
      </c>
    </row>
    <row r="8" spans="2:31" ht="18" customHeight="1">
      <c r="B8" s="29" t="s">
        <v>68</v>
      </c>
      <c r="C8" s="30" t="s">
        <v>96</v>
      </c>
      <c r="D8" s="31" t="s">
        <v>150</v>
      </c>
      <c r="E8" s="79" t="s">
        <v>1</v>
      </c>
      <c r="F8" s="32" t="s">
        <v>99</v>
      </c>
      <c r="G8" s="138">
        <v>1</v>
      </c>
      <c r="I8" s="73" t="s">
        <v>1</v>
      </c>
      <c r="J8" s="74" t="s">
        <v>23</v>
      </c>
      <c r="K8" s="70" t="s">
        <v>119</v>
      </c>
      <c r="L8" s="92" t="s">
        <v>3</v>
      </c>
      <c r="M8" s="70" t="s">
        <v>120</v>
      </c>
      <c r="N8" s="3" t="s">
        <v>3</v>
      </c>
      <c r="O8" s="147">
        <f>1-(1/n)</f>
        <v>0.5</v>
      </c>
      <c r="Q8" s="114">
        <v>0.01</v>
      </c>
      <c r="R8" s="133">
        <f t="shared" ref="R8:R39" si="2">MAX((Q8-rc_vg)/(sc_vg-rc_vg),0)</f>
        <v>0</v>
      </c>
      <c r="S8" s="128">
        <f t="shared" ref="S8:S39" si="3">Bgc_1*Ksat*R8^I*(1-(1-Q8^(1/m))^m)^2</f>
        <v>0</v>
      </c>
      <c r="T8" s="128">
        <f t="shared" ref="T8:T39" si="4">Bgc_2*Ksat*R8^I*(1-(1-Q8^(1/m))^m)^2</f>
        <v>0</v>
      </c>
      <c r="U8" s="128">
        <f t="shared" ref="U8:U39" si="5">Bgc_3*Ksat*R8^I*(1-(1-Q8^(1/m))^m)^2</f>
        <v>0</v>
      </c>
      <c r="V8" s="128">
        <f t="shared" ref="V8:V39" si="6">kroot1</f>
        <v>1.368385593142037</v>
      </c>
      <c r="W8" s="128">
        <f t="shared" ref="W8:W39" si="7">kroot2</f>
        <v>0.29839751798850311</v>
      </c>
      <c r="X8" s="128">
        <f t="shared" ref="X8:X39" si="8">kroot3</f>
        <v>8.3207940750375742E-2</v>
      </c>
      <c r="Y8" s="128" t="e">
        <f t="shared" ref="Y8:Y39" si="9">1/((1/kroot1)+(1/S8))</f>
        <v>#DIV/0!</v>
      </c>
      <c r="Z8" s="128" t="e">
        <f t="shared" ref="Z8:Z39" si="10">1/((1/kroot2)+(1/T8))</f>
        <v>#DIV/0!</v>
      </c>
      <c r="AA8" s="134" t="e">
        <f t="shared" ref="AA8:AA39" si="11">1/((1/kroot3)+(1/U8))</f>
        <v>#DIV/0!</v>
      </c>
      <c r="AC8" s="155">
        <f t="shared" si="0"/>
        <v>0.01</v>
      </c>
      <c r="AD8" s="156">
        <f t="shared" si="1"/>
        <v>0</v>
      </c>
      <c r="AE8" s="157" t="e">
        <f>(-1 * ((((1 / AD8)^(1 / m)) - 1)^(1 / n)) / alpha / 10000)</f>
        <v>#DIV/0!</v>
      </c>
    </row>
    <row r="9" spans="2:31" ht="18" customHeight="1">
      <c r="B9" s="29" t="s">
        <v>69</v>
      </c>
      <c r="C9" s="30" t="s">
        <v>97</v>
      </c>
      <c r="D9" s="31" t="s">
        <v>151</v>
      </c>
      <c r="E9" s="79" t="s">
        <v>1</v>
      </c>
      <c r="F9" s="88" t="s">
        <v>98</v>
      </c>
      <c r="G9" s="138">
        <v>4</v>
      </c>
      <c r="I9" s="73" t="s">
        <v>79</v>
      </c>
      <c r="J9" s="74"/>
      <c r="K9" s="70" t="s">
        <v>47</v>
      </c>
      <c r="L9" s="94" t="s">
        <v>3</v>
      </c>
      <c r="M9" s="70" t="s">
        <v>89</v>
      </c>
      <c r="N9" s="70" t="s">
        <v>100</v>
      </c>
      <c r="O9" s="147">
        <f>1-beta^(100*depth1)</f>
        <v>0.78193462465259256</v>
      </c>
      <c r="Q9" s="118">
        <v>0.02</v>
      </c>
      <c r="R9" s="117">
        <f t="shared" si="2"/>
        <v>0</v>
      </c>
      <c r="S9" s="129">
        <f t="shared" si="3"/>
        <v>0</v>
      </c>
      <c r="T9" s="129">
        <f t="shared" si="4"/>
        <v>0</v>
      </c>
      <c r="U9" s="129">
        <f t="shared" si="5"/>
        <v>0</v>
      </c>
      <c r="V9" s="129">
        <f t="shared" si="6"/>
        <v>1.368385593142037</v>
      </c>
      <c r="W9" s="129">
        <f t="shared" si="7"/>
        <v>0.29839751798850311</v>
      </c>
      <c r="X9" s="129">
        <f t="shared" si="8"/>
        <v>8.3207940750375742E-2</v>
      </c>
      <c r="Y9" s="129" t="e">
        <f t="shared" si="9"/>
        <v>#DIV/0!</v>
      </c>
      <c r="Z9" s="129" t="e">
        <f t="shared" si="10"/>
        <v>#DIV/0!</v>
      </c>
      <c r="AA9" s="135" t="e">
        <f t="shared" si="11"/>
        <v>#DIV/0!</v>
      </c>
      <c r="AC9" s="158">
        <f t="shared" si="0"/>
        <v>0.02</v>
      </c>
      <c r="AD9" s="159">
        <f t="shared" si="1"/>
        <v>0</v>
      </c>
      <c r="AE9" s="160" t="e">
        <f>(-1 * ((((1 / AD9)^(1 / m)) - 1)^(1 / n)) / alpha / 10000)</f>
        <v>#DIV/0!</v>
      </c>
    </row>
    <row r="10" spans="2:31" ht="18" customHeight="1">
      <c r="B10" s="29" t="s">
        <v>60</v>
      </c>
      <c r="C10" s="30" t="s">
        <v>52</v>
      </c>
      <c r="D10" s="31" t="s">
        <v>146</v>
      </c>
      <c r="E10" s="79" t="s">
        <v>2</v>
      </c>
      <c r="F10" s="32" t="s">
        <v>32</v>
      </c>
      <c r="G10" s="138">
        <v>40</v>
      </c>
      <c r="I10" s="73" t="s">
        <v>80</v>
      </c>
      <c r="J10" s="74"/>
      <c r="K10" s="70" t="s">
        <v>48</v>
      </c>
      <c r="L10" s="94" t="s">
        <v>3</v>
      </c>
      <c r="M10" s="70" t="s">
        <v>90</v>
      </c>
      <c r="N10" s="8" t="s">
        <v>58</v>
      </c>
      <c r="O10" s="148">
        <f>1-(beta^(100*depth2))-rootP1</f>
        <v>0.17051286742200178</v>
      </c>
      <c r="Q10" s="118">
        <v>0.03</v>
      </c>
      <c r="R10" s="117">
        <f t="shared" si="2"/>
        <v>0</v>
      </c>
      <c r="S10" s="129">
        <f t="shared" si="3"/>
        <v>0</v>
      </c>
      <c r="T10" s="129">
        <f t="shared" si="4"/>
        <v>0</v>
      </c>
      <c r="U10" s="129">
        <f t="shared" si="5"/>
        <v>0</v>
      </c>
      <c r="V10" s="129">
        <f t="shared" si="6"/>
        <v>1.368385593142037</v>
      </c>
      <c r="W10" s="129">
        <f t="shared" si="7"/>
        <v>0.29839751798850311</v>
      </c>
      <c r="X10" s="129">
        <f t="shared" si="8"/>
        <v>8.3207940750375742E-2</v>
      </c>
      <c r="Y10" s="129" t="e">
        <f t="shared" si="9"/>
        <v>#DIV/0!</v>
      </c>
      <c r="Z10" s="129" t="e">
        <f t="shared" si="10"/>
        <v>#DIV/0!</v>
      </c>
      <c r="AA10" s="135" t="e">
        <f t="shared" si="11"/>
        <v>#DIV/0!</v>
      </c>
      <c r="AC10" s="158">
        <f t="shared" si="0"/>
        <v>0.03</v>
      </c>
      <c r="AD10" s="159">
        <f t="shared" si="1"/>
        <v>0</v>
      </c>
      <c r="AE10" s="160" t="e">
        <f>(-1 * ((((1 / AD10)^(1 / m)) - 1)^(1 / n)) / alpha / 10000)</f>
        <v>#DIV/0!</v>
      </c>
    </row>
    <row r="11" spans="2:31" ht="18" customHeight="1">
      <c r="B11" s="29" t="s">
        <v>61</v>
      </c>
      <c r="C11" s="30" t="s">
        <v>53</v>
      </c>
      <c r="D11" s="31" t="s">
        <v>147</v>
      </c>
      <c r="E11" s="79" t="s">
        <v>2</v>
      </c>
      <c r="F11" s="32" t="s">
        <v>32</v>
      </c>
      <c r="G11" s="138">
        <v>70</v>
      </c>
      <c r="I11" s="73" t="s">
        <v>81</v>
      </c>
      <c r="J11" s="74"/>
      <c r="K11" s="70" t="s">
        <v>49</v>
      </c>
      <c r="L11" s="94" t="s">
        <v>3</v>
      </c>
      <c r="M11" s="70" t="s">
        <v>91</v>
      </c>
      <c r="N11" s="8" t="s">
        <v>58</v>
      </c>
      <c r="O11" s="148">
        <f>1-(beta^(100*depth3))-rootP1-rootP2</f>
        <v>4.7547394714500424E-2</v>
      </c>
      <c r="Q11" s="118">
        <v>0.04</v>
      </c>
      <c r="R11" s="117">
        <f t="shared" si="2"/>
        <v>0</v>
      </c>
      <c r="S11" s="129">
        <f t="shared" si="3"/>
        <v>0</v>
      </c>
      <c r="T11" s="129">
        <f t="shared" si="4"/>
        <v>0</v>
      </c>
      <c r="U11" s="129">
        <f t="shared" si="5"/>
        <v>0</v>
      </c>
      <c r="V11" s="129">
        <f t="shared" si="6"/>
        <v>1.368385593142037</v>
      </c>
      <c r="W11" s="129">
        <f t="shared" si="7"/>
        <v>0.29839751798850311</v>
      </c>
      <c r="X11" s="129">
        <f t="shared" si="8"/>
        <v>8.3207940750375742E-2</v>
      </c>
      <c r="Y11" s="129" t="e">
        <f t="shared" si="9"/>
        <v>#DIV/0!</v>
      </c>
      <c r="Z11" s="129" t="e">
        <f t="shared" si="10"/>
        <v>#DIV/0!</v>
      </c>
      <c r="AA11" s="135" t="e">
        <f t="shared" si="11"/>
        <v>#DIV/0!</v>
      </c>
      <c r="AC11" s="158">
        <f t="shared" si="0"/>
        <v>0.04</v>
      </c>
      <c r="AD11" s="159">
        <f t="shared" si="1"/>
        <v>0</v>
      </c>
      <c r="AE11" s="160" t="e">
        <f>(-1 * ((((1 / AD11)^(1 / m)) - 1)^(1 / n)) / alpha / 10000)</f>
        <v>#DIV/0!</v>
      </c>
    </row>
    <row r="12" spans="2:31" ht="18" customHeight="1">
      <c r="B12" s="33" t="s">
        <v>62</v>
      </c>
      <c r="C12" s="34" t="s">
        <v>54</v>
      </c>
      <c r="D12" s="35" t="s">
        <v>148</v>
      </c>
      <c r="E12" s="80" t="s">
        <v>2</v>
      </c>
      <c r="F12" s="36" t="s">
        <v>32</v>
      </c>
      <c r="G12" s="138">
        <v>80</v>
      </c>
      <c r="I12" s="73" t="s">
        <v>19</v>
      </c>
      <c r="J12" s="74" t="s">
        <v>3</v>
      </c>
      <c r="K12" s="90" t="s">
        <v>102</v>
      </c>
      <c r="L12" s="94" t="s">
        <v>103</v>
      </c>
      <c r="M12" s="90" t="s">
        <v>83</v>
      </c>
      <c r="N12" s="8"/>
      <c r="O12" s="149">
        <f>RAI/(2*PI()*root_radius)</f>
        <v>4774.6482927568604</v>
      </c>
      <c r="Q12" s="118">
        <v>0.05</v>
      </c>
      <c r="R12" s="117">
        <f t="shared" si="2"/>
        <v>0</v>
      </c>
      <c r="S12" s="129">
        <f t="shared" si="3"/>
        <v>0</v>
      </c>
      <c r="T12" s="129">
        <f t="shared" si="4"/>
        <v>0</v>
      </c>
      <c r="U12" s="129">
        <f t="shared" si="5"/>
        <v>0</v>
      </c>
      <c r="V12" s="129">
        <f t="shared" si="6"/>
        <v>1.368385593142037</v>
      </c>
      <c r="W12" s="129">
        <f t="shared" si="7"/>
        <v>0.29839751798850311</v>
      </c>
      <c r="X12" s="129">
        <f t="shared" si="8"/>
        <v>8.3207940750375742E-2</v>
      </c>
      <c r="Y12" s="129" t="e">
        <f t="shared" si="9"/>
        <v>#DIV/0!</v>
      </c>
      <c r="Z12" s="129" t="e">
        <f t="shared" si="10"/>
        <v>#DIV/0!</v>
      </c>
      <c r="AA12" s="135" t="e">
        <f t="shared" si="11"/>
        <v>#DIV/0!</v>
      </c>
      <c r="AC12" s="158">
        <f t="shared" si="0"/>
        <v>0.05</v>
      </c>
      <c r="AD12" s="159">
        <f t="shared" si="1"/>
        <v>0</v>
      </c>
      <c r="AE12" s="160" t="e">
        <f>(-1 * ((((1 / AD12)^(1 / m)) - 1)^(1 / n)) / alpha / 10000)</f>
        <v>#DIV/0!</v>
      </c>
    </row>
    <row r="13" spans="2:31" ht="18" customHeight="1">
      <c r="B13" s="64"/>
      <c r="C13" s="64"/>
      <c r="D13" s="65"/>
      <c r="E13" s="64"/>
      <c r="F13" s="109"/>
      <c r="G13" s="109"/>
      <c r="I13" s="73" t="s">
        <v>70</v>
      </c>
      <c r="J13" s="74" t="s">
        <v>122</v>
      </c>
      <c r="K13" s="90" t="s">
        <v>102</v>
      </c>
      <c r="L13" s="94" t="s">
        <v>103</v>
      </c>
      <c r="M13" s="70" t="s">
        <v>84</v>
      </c>
      <c r="N13" s="8" t="s">
        <v>58</v>
      </c>
      <c r="O13" s="149">
        <f>La*rootP1</f>
        <v>3733.4628206449775</v>
      </c>
      <c r="Q13" s="118">
        <v>0.06</v>
      </c>
      <c r="R13" s="117">
        <f t="shared" si="2"/>
        <v>0</v>
      </c>
      <c r="S13" s="129">
        <f t="shared" si="3"/>
        <v>0</v>
      </c>
      <c r="T13" s="129">
        <f t="shared" si="4"/>
        <v>0</v>
      </c>
      <c r="U13" s="129">
        <f t="shared" si="5"/>
        <v>0</v>
      </c>
      <c r="V13" s="129">
        <f t="shared" si="6"/>
        <v>1.368385593142037</v>
      </c>
      <c r="W13" s="129">
        <f t="shared" si="7"/>
        <v>0.29839751798850311</v>
      </c>
      <c r="X13" s="129">
        <f t="shared" si="8"/>
        <v>8.3207940750375742E-2</v>
      </c>
      <c r="Y13" s="129" t="e">
        <f t="shared" si="9"/>
        <v>#DIV/0!</v>
      </c>
      <c r="Z13" s="129" t="e">
        <f t="shared" si="10"/>
        <v>#DIV/0!</v>
      </c>
      <c r="AA13" s="135" t="e">
        <f t="shared" si="11"/>
        <v>#DIV/0!</v>
      </c>
      <c r="AC13" s="158">
        <f t="shared" si="0"/>
        <v>0.06</v>
      </c>
      <c r="AD13" s="159">
        <f t="shared" si="1"/>
        <v>0</v>
      </c>
      <c r="AE13" s="160" t="e">
        <f>(-1 * ((((1 / AD13)^(1 / m)) - 1)^(1 / n)) / alpha / 10000)</f>
        <v>#DIV/0!</v>
      </c>
    </row>
    <row r="14" spans="2:31" ht="18" customHeight="1">
      <c r="B14" s="10" t="s">
        <v>31</v>
      </c>
      <c r="C14" s="37"/>
      <c r="D14" s="38"/>
      <c r="E14" s="97"/>
      <c r="F14" s="110"/>
      <c r="G14" s="113"/>
      <c r="I14" s="73" t="s">
        <v>71</v>
      </c>
      <c r="J14" s="74" t="s">
        <v>123</v>
      </c>
      <c r="K14" s="91" t="s">
        <v>102</v>
      </c>
      <c r="L14" s="94" t="s">
        <v>103</v>
      </c>
      <c r="M14" s="70" t="s">
        <v>85</v>
      </c>
      <c r="N14" s="8" t="s">
        <v>58</v>
      </c>
      <c r="O14" s="149">
        <f>La*rootP2</f>
        <v>814.13897132953764</v>
      </c>
      <c r="Q14" s="118">
        <v>7.0000000000000007E-2</v>
      </c>
      <c r="R14" s="117">
        <f t="shared" si="2"/>
        <v>0</v>
      </c>
      <c r="S14" s="129">
        <f t="shared" si="3"/>
        <v>0</v>
      </c>
      <c r="T14" s="129">
        <f t="shared" si="4"/>
        <v>0</v>
      </c>
      <c r="U14" s="129">
        <f t="shared" si="5"/>
        <v>0</v>
      </c>
      <c r="V14" s="129">
        <f t="shared" si="6"/>
        <v>1.368385593142037</v>
      </c>
      <c r="W14" s="129">
        <f t="shared" si="7"/>
        <v>0.29839751798850311</v>
      </c>
      <c r="X14" s="129">
        <f t="shared" si="8"/>
        <v>8.3207940750375742E-2</v>
      </c>
      <c r="Y14" s="129" t="e">
        <f t="shared" si="9"/>
        <v>#DIV/0!</v>
      </c>
      <c r="Z14" s="129" t="e">
        <f t="shared" si="10"/>
        <v>#DIV/0!</v>
      </c>
      <c r="AA14" s="135" t="e">
        <f t="shared" si="11"/>
        <v>#DIV/0!</v>
      </c>
      <c r="AC14" s="158">
        <f t="shared" si="0"/>
        <v>7.0000000000000007E-2</v>
      </c>
      <c r="AD14" s="159">
        <f t="shared" si="1"/>
        <v>0</v>
      </c>
      <c r="AE14" s="160" t="e">
        <f>(-1 * ((((1 / AD14)^(1 / m)) - 1)^(1 / n)) / alpha / 10000)</f>
        <v>#DIV/0!</v>
      </c>
    </row>
    <row r="15" spans="2:31" ht="18" customHeight="1">
      <c r="B15" s="40" t="s">
        <v>14</v>
      </c>
      <c r="C15" s="40" t="s">
        <v>33</v>
      </c>
      <c r="D15" s="40" t="s">
        <v>13</v>
      </c>
      <c r="E15" s="98" t="s">
        <v>29</v>
      </c>
      <c r="F15" s="41" t="s">
        <v>30</v>
      </c>
      <c r="G15" s="41" t="s">
        <v>15</v>
      </c>
      <c r="I15" s="73" t="s">
        <v>72</v>
      </c>
      <c r="J15" s="74" t="s">
        <v>124</v>
      </c>
      <c r="K15" s="90" t="s">
        <v>102</v>
      </c>
      <c r="L15" s="94" t="s">
        <v>103</v>
      </c>
      <c r="M15" s="70" t="s">
        <v>86</v>
      </c>
      <c r="N15" s="8" t="s">
        <v>58</v>
      </c>
      <c r="O15" s="149">
        <f>La*rootP3</f>
        <v>227.02208699862601</v>
      </c>
      <c r="Q15" s="118">
        <v>0.08</v>
      </c>
      <c r="R15" s="117">
        <f t="shared" si="2"/>
        <v>0</v>
      </c>
      <c r="S15" s="129">
        <f t="shared" si="3"/>
        <v>0</v>
      </c>
      <c r="T15" s="129">
        <f t="shared" si="4"/>
        <v>0</v>
      </c>
      <c r="U15" s="129">
        <f t="shared" si="5"/>
        <v>0</v>
      </c>
      <c r="V15" s="129">
        <f t="shared" si="6"/>
        <v>1.368385593142037</v>
      </c>
      <c r="W15" s="129">
        <f t="shared" si="7"/>
        <v>0.29839751798850311</v>
      </c>
      <c r="X15" s="129">
        <f t="shared" si="8"/>
        <v>8.3207940750375742E-2</v>
      </c>
      <c r="Y15" s="129" t="e">
        <f t="shared" si="9"/>
        <v>#DIV/0!</v>
      </c>
      <c r="Z15" s="129" t="e">
        <f t="shared" si="10"/>
        <v>#DIV/0!</v>
      </c>
      <c r="AA15" s="135" t="e">
        <f t="shared" si="11"/>
        <v>#DIV/0!</v>
      </c>
      <c r="AC15" s="158">
        <f t="shared" si="0"/>
        <v>0.08</v>
      </c>
      <c r="AD15" s="159">
        <f t="shared" si="1"/>
        <v>0</v>
      </c>
      <c r="AE15" s="160" t="e">
        <f>(-1 * ((((1 / AD15)^(1 / m)) - 1)^(1 / n)) / alpha / 10000)</f>
        <v>#DIV/0!</v>
      </c>
    </row>
    <row r="16" spans="2:31" ht="18" customHeight="1">
      <c r="B16" s="42" t="s">
        <v>38</v>
      </c>
      <c r="C16" s="43" t="s">
        <v>7</v>
      </c>
      <c r="D16" s="44" t="s">
        <v>40</v>
      </c>
      <c r="E16" s="81" t="s">
        <v>63</v>
      </c>
      <c r="F16" s="45"/>
      <c r="G16" s="139">
        <v>5.0000000000000001E-4</v>
      </c>
      <c r="I16" s="73" t="s">
        <v>73</v>
      </c>
      <c r="J16" s="74" t="s">
        <v>125</v>
      </c>
      <c r="K16" s="70" t="s">
        <v>101</v>
      </c>
      <c r="L16" s="94" t="s">
        <v>104</v>
      </c>
      <c r="M16" s="70" t="s">
        <v>87</v>
      </c>
      <c r="N16" s="8"/>
      <c r="O16" s="149">
        <f>La_1/(depth1*(1-(RFC_1/100)))</f>
        <v>12444.876068816591</v>
      </c>
      <c r="Q16" s="118">
        <v>0.09</v>
      </c>
      <c r="R16" s="117">
        <f t="shared" si="2"/>
        <v>0</v>
      </c>
      <c r="S16" s="129">
        <f t="shared" si="3"/>
        <v>0</v>
      </c>
      <c r="T16" s="129">
        <f t="shared" si="4"/>
        <v>0</v>
      </c>
      <c r="U16" s="129">
        <f t="shared" si="5"/>
        <v>0</v>
      </c>
      <c r="V16" s="129">
        <f t="shared" si="6"/>
        <v>1.368385593142037</v>
      </c>
      <c r="W16" s="129">
        <f t="shared" si="7"/>
        <v>0.29839751798850311</v>
      </c>
      <c r="X16" s="129">
        <f t="shared" si="8"/>
        <v>8.3207940750375742E-2</v>
      </c>
      <c r="Y16" s="129" t="e">
        <f t="shared" si="9"/>
        <v>#DIV/0!</v>
      </c>
      <c r="Z16" s="129" t="e">
        <f t="shared" si="10"/>
        <v>#DIV/0!</v>
      </c>
      <c r="AA16" s="135" t="e">
        <f t="shared" si="11"/>
        <v>#DIV/0!</v>
      </c>
      <c r="AC16" s="158">
        <f t="shared" si="0"/>
        <v>0.09</v>
      </c>
      <c r="AD16" s="159">
        <f t="shared" si="1"/>
        <v>0</v>
      </c>
      <c r="AE16" s="160" t="e">
        <f>(-1 * ((((1 / AD16)^(1 / m)) - 1)^(1 / n)) / alpha / 10000)</f>
        <v>#DIV/0!</v>
      </c>
    </row>
    <row r="17" spans="1:31" ht="18" customHeight="1">
      <c r="B17" s="46" t="s">
        <v>37</v>
      </c>
      <c r="C17" s="47" t="s">
        <v>10</v>
      </c>
      <c r="D17" s="48" t="s">
        <v>40</v>
      </c>
      <c r="E17" s="82" t="s">
        <v>3</v>
      </c>
      <c r="F17" s="49"/>
      <c r="G17" s="139">
        <v>2</v>
      </c>
      <c r="I17" s="73" t="s">
        <v>74</v>
      </c>
      <c r="J17" s="74" t="s">
        <v>126</v>
      </c>
      <c r="K17" s="70" t="s">
        <v>101</v>
      </c>
      <c r="L17" s="94" t="s">
        <v>104</v>
      </c>
      <c r="M17" s="70" t="s">
        <v>92</v>
      </c>
      <c r="N17" s="8" t="s">
        <v>58</v>
      </c>
      <c r="O17" s="149">
        <f>La_2/((depth2-depth1)*(1-(RFC_2/100)))</f>
        <v>5427.5931421969171</v>
      </c>
      <c r="Q17" s="118">
        <v>0.1</v>
      </c>
      <c r="R17" s="117">
        <f t="shared" si="2"/>
        <v>0</v>
      </c>
      <c r="S17" s="129">
        <f t="shared" si="3"/>
        <v>0</v>
      </c>
      <c r="T17" s="129">
        <f t="shared" si="4"/>
        <v>0</v>
      </c>
      <c r="U17" s="129">
        <f t="shared" si="5"/>
        <v>0</v>
      </c>
      <c r="V17" s="129">
        <f t="shared" si="6"/>
        <v>1.368385593142037</v>
      </c>
      <c r="W17" s="129">
        <f t="shared" si="7"/>
        <v>0.29839751798850311</v>
      </c>
      <c r="X17" s="129">
        <f t="shared" si="8"/>
        <v>8.3207940750375742E-2</v>
      </c>
      <c r="Y17" s="129" t="e">
        <f t="shared" si="9"/>
        <v>#DIV/0!</v>
      </c>
      <c r="Z17" s="129" t="e">
        <f t="shared" si="10"/>
        <v>#DIV/0!</v>
      </c>
      <c r="AA17" s="135" t="e">
        <f t="shared" si="11"/>
        <v>#DIV/0!</v>
      </c>
      <c r="AC17" s="158">
        <f t="shared" si="0"/>
        <v>0.1</v>
      </c>
      <c r="AD17" s="159">
        <f t="shared" si="1"/>
        <v>0</v>
      </c>
      <c r="AE17" s="160" t="e">
        <f>(-1 * ((((1 / AD17)^(1 / m)) - 1)^(1 / n)) / alpha / 10000)</f>
        <v>#DIV/0!</v>
      </c>
    </row>
    <row r="18" spans="1:31" ht="18" customHeight="1">
      <c r="B18" s="46" t="s">
        <v>36</v>
      </c>
      <c r="C18" s="47" t="s">
        <v>8</v>
      </c>
      <c r="D18" s="48" t="s">
        <v>41</v>
      </c>
      <c r="E18" s="82" t="s">
        <v>3</v>
      </c>
      <c r="F18" s="49"/>
      <c r="G18" s="139">
        <v>0.5</v>
      </c>
      <c r="I18" s="73" t="s">
        <v>75</v>
      </c>
      <c r="J18" s="74" t="s">
        <v>127</v>
      </c>
      <c r="K18" s="70" t="s">
        <v>101</v>
      </c>
      <c r="L18" s="94" t="s">
        <v>104</v>
      </c>
      <c r="M18" s="70" t="s">
        <v>93</v>
      </c>
      <c r="N18" s="8" t="s">
        <v>58</v>
      </c>
      <c r="O18" s="149">
        <f>La_3/((depth3-depth2)*(1-(RFC_3/100)))</f>
        <v>378.3701449977101</v>
      </c>
      <c r="Q18" s="118">
        <v>0.11</v>
      </c>
      <c r="R18" s="117">
        <f t="shared" si="2"/>
        <v>5.5555555555555525E-2</v>
      </c>
      <c r="S18" s="129">
        <f t="shared" si="3"/>
        <v>0.3151616380458741</v>
      </c>
      <c r="T18" s="129">
        <f t="shared" si="4"/>
        <v>6.0903284244074471E-2</v>
      </c>
      <c r="U18" s="129">
        <f t="shared" si="5"/>
        <v>1.243866491344923E-2</v>
      </c>
      <c r="V18" s="129">
        <f t="shared" si="6"/>
        <v>1.368385593142037</v>
      </c>
      <c r="W18" s="129">
        <f t="shared" si="7"/>
        <v>0.29839751798850311</v>
      </c>
      <c r="X18" s="129">
        <f t="shared" si="8"/>
        <v>8.3207940750375742E-2</v>
      </c>
      <c r="Y18" s="129">
        <f t="shared" si="9"/>
        <v>0.25616308056217729</v>
      </c>
      <c r="Z18" s="129">
        <f t="shared" si="10"/>
        <v>5.057987274967559E-2</v>
      </c>
      <c r="AA18" s="135">
        <f t="shared" si="11"/>
        <v>1.0821039449845448E-2</v>
      </c>
      <c r="AC18" s="158">
        <f t="shared" si="0"/>
        <v>0.11</v>
      </c>
      <c r="AD18" s="159">
        <f t="shared" si="1"/>
        <v>5.5555555555555525E-2</v>
      </c>
      <c r="AE18" s="160">
        <f>(-1 * ((((1 / AD18)^(1 / m)) - 1)^(1 / n)) / alpha / 10000)</f>
        <v>-3.5944401511222881</v>
      </c>
    </row>
    <row r="19" spans="1:31" ht="18" customHeight="1">
      <c r="B19" s="46" t="s">
        <v>9</v>
      </c>
      <c r="C19" s="47" t="s">
        <v>9</v>
      </c>
      <c r="D19" s="48" t="s">
        <v>42</v>
      </c>
      <c r="E19" s="82" t="s">
        <v>64</v>
      </c>
      <c r="F19" s="49"/>
      <c r="G19" s="139">
        <v>5</v>
      </c>
      <c r="I19" s="73" t="s">
        <v>76</v>
      </c>
      <c r="J19" s="74"/>
      <c r="K19" s="70"/>
      <c r="L19" s="8"/>
      <c r="M19" s="90" t="s">
        <v>105</v>
      </c>
      <c r="N19" s="8"/>
      <c r="O19" s="149">
        <f>2*PI()*La_1/LN((1/SQRT(PI()*Lv_1))/root_radius)</f>
        <v>7261.8849375360205</v>
      </c>
      <c r="Q19" s="118">
        <v>0.12</v>
      </c>
      <c r="R19" s="117">
        <f t="shared" si="2"/>
        <v>0.11111111111111105</v>
      </c>
      <c r="S19" s="129">
        <f t="shared" si="3"/>
        <v>0.63198540354745669</v>
      </c>
      <c r="T19" s="129">
        <f t="shared" si="4"/>
        <v>0.12212776564117986</v>
      </c>
      <c r="U19" s="129">
        <f t="shared" si="5"/>
        <v>2.4942929963365553E-2</v>
      </c>
      <c r="V19" s="129">
        <f t="shared" si="6"/>
        <v>1.368385593142037</v>
      </c>
      <c r="W19" s="129">
        <f t="shared" si="7"/>
        <v>0.29839751798850311</v>
      </c>
      <c r="X19" s="129">
        <f t="shared" si="8"/>
        <v>8.3207940750375742E-2</v>
      </c>
      <c r="Y19" s="129">
        <f t="shared" si="9"/>
        <v>0.43231966606274191</v>
      </c>
      <c r="Z19" s="129">
        <f t="shared" si="10"/>
        <v>8.6659764735813702E-2</v>
      </c>
      <c r="AA19" s="135">
        <f t="shared" si="11"/>
        <v>1.9190320196551064E-2</v>
      </c>
      <c r="AC19" s="158">
        <f t="shared" si="0"/>
        <v>0.12</v>
      </c>
      <c r="AD19" s="159">
        <f t="shared" si="1"/>
        <v>0.11111111111111105</v>
      </c>
      <c r="AE19" s="160">
        <f>(-1 * ((((1 / AD19)^(1 / m)) - 1)^(1 / n)) / alpha / 10000)</f>
        <v>-1.7888543819998328</v>
      </c>
    </row>
    <row r="20" spans="1:31" ht="18" customHeight="1">
      <c r="B20" s="46" t="s">
        <v>34</v>
      </c>
      <c r="C20" s="47" t="s">
        <v>11</v>
      </c>
      <c r="D20" s="48" t="s">
        <v>16</v>
      </c>
      <c r="E20" s="82" t="s">
        <v>132</v>
      </c>
      <c r="F20" s="49" t="s">
        <v>142</v>
      </c>
      <c r="G20" s="139">
        <v>0.28000000000000003</v>
      </c>
      <c r="I20" s="73" t="s">
        <v>77</v>
      </c>
      <c r="J20" s="74"/>
      <c r="K20" s="3"/>
      <c r="L20" s="8"/>
      <c r="M20" s="90" t="s">
        <v>107</v>
      </c>
      <c r="N20" s="8" t="s">
        <v>58</v>
      </c>
      <c r="O20" s="149">
        <f>2*PI()*La_2/LN((1/SQRT(PI()*Lv_2))/root_radius)</f>
        <v>1403.3200399667398</v>
      </c>
      <c r="Q20" s="118">
        <v>0.13</v>
      </c>
      <c r="R20" s="117">
        <f t="shared" si="2"/>
        <v>0.16666666666666663</v>
      </c>
      <c r="S20" s="129">
        <f t="shared" si="3"/>
        <v>1.0674570918195458</v>
      </c>
      <c r="T20" s="129">
        <f t="shared" si="4"/>
        <v>0.20628031725097196</v>
      </c>
      <c r="U20" s="129">
        <f t="shared" si="5"/>
        <v>4.2129940550365036E-2</v>
      </c>
      <c r="V20" s="129">
        <f t="shared" si="6"/>
        <v>1.368385593142037</v>
      </c>
      <c r="W20" s="129">
        <f t="shared" si="7"/>
        <v>0.29839751798850311</v>
      </c>
      <c r="X20" s="129">
        <f t="shared" si="8"/>
        <v>8.3207940750375742E-2</v>
      </c>
      <c r="Y20" s="129">
        <f t="shared" si="9"/>
        <v>0.599666355615326</v>
      </c>
      <c r="Z20" s="129">
        <f t="shared" si="10"/>
        <v>0.12196599568983096</v>
      </c>
      <c r="AA20" s="135">
        <f t="shared" si="11"/>
        <v>2.7968763798713641E-2</v>
      </c>
      <c r="AC20" s="158">
        <f t="shared" si="0"/>
        <v>0.13</v>
      </c>
      <c r="AD20" s="159">
        <f t="shared" si="1"/>
        <v>0.16666666666666663</v>
      </c>
      <c r="AE20" s="160">
        <f>(-1 * ((((1 / AD20)^(1 / m)) - 1)^(1 / n)) / alpha / 10000)</f>
        <v>-1.1832159566199236</v>
      </c>
    </row>
    <row r="21" spans="1:31" ht="18" customHeight="1" thickBot="1">
      <c r="B21" s="50" t="s">
        <v>35</v>
      </c>
      <c r="C21" s="51" t="s">
        <v>12</v>
      </c>
      <c r="D21" s="52" t="s">
        <v>17</v>
      </c>
      <c r="E21" s="83" t="s">
        <v>26</v>
      </c>
      <c r="F21" s="53" t="s">
        <v>141</v>
      </c>
      <c r="G21" s="140">
        <v>0.1</v>
      </c>
      <c r="I21" s="73" t="s">
        <v>78</v>
      </c>
      <c r="J21" s="74"/>
      <c r="K21" s="70"/>
      <c r="L21" s="8"/>
      <c r="M21" s="90" t="s">
        <v>106</v>
      </c>
      <c r="N21" s="8" t="s">
        <v>58</v>
      </c>
      <c r="O21" s="149">
        <f>2*PI()*La_3/LN((1/SQRT(PI()*Lv_3))/root_radius)</f>
        <v>286.6089729007146</v>
      </c>
      <c r="Q21" s="118">
        <v>0.14000000000000001</v>
      </c>
      <c r="R21" s="117">
        <f t="shared" si="2"/>
        <v>0.22222222222222224</v>
      </c>
      <c r="S21" s="129">
        <f t="shared" si="3"/>
        <v>1.6601715815122597</v>
      </c>
      <c r="T21" s="129">
        <f t="shared" si="4"/>
        <v>0.32081919090691652</v>
      </c>
      <c r="U21" s="129">
        <f t="shared" si="5"/>
        <v>6.5522942859740627E-2</v>
      </c>
      <c r="V21" s="129">
        <f t="shared" si="6"/>
        <v>1.368385593142037</v>
      </c>
      <c r="W21" s="129">
        <f t="shared" si="7"/>
        <v>0.29839751798850311</v>
      </c>
      <c r="X21" s="129">
        <f t="shared" si="8"/>
        <v>8.3207940750375742E-2</v>
      </c>
      <c r="Y21" s="129">
        <f t="shared" si="9"/>
        <v>0.75011127189451954</v>
      </c>
      <c r="Z21" s="129">
        <f t="shared" si="10"/>
        <v>0.15460120651536211</v>
      </c>
      <c r="AA21" s="135">
        <f t="shared" si="11"/>
        <v>3.6657007710352352E-2</v>
      </c>
      <c r="AC21" s="158">
        <f t="shared" si="0"/>
        <v>0.14000000000000001</v>
      </c>
      <c r="AD21" s="159">
        <f t="shared" si="1"/>
        <v>0.22222222222222224</v>
      </c>
      <c r="AE21" s="160">
        <f>(-1 * ((((1 / AD21)^(1 / m)) - 1)^(1 / n)) / alpha / 10000)</f>
        <v>-0.87749643873921235</v>
      </c>
    </row>
    <row r="22" spans="1:31" ht="18" customHeight="1">
      <c r="B22" s="39"/>
      <c r="C22" s="39"/>
      <c r="D22" s="39"/>
      <c r="E22" s="39"/>
      <c r="F22" s="110"/>
      <c r="G22" s="110"/>
      <c r="I22" s="73" t="s">
        <v>108</v>
      </c>
      <c r="J22" s="74" t="s">
        <v>128</v>
      </c>
      <c r="K22" s="70" t="s">
        <v>112</v>
      </c>
      <c r="L22" s="95" t="s">
        <v>115</v>
      </c>
      <c r="M22" s="5"/>
      <c r="N22" s="3"/>
      <c r="O22" s="147">
        <f>KRootTotal*rootP1</f>
        <v>1.368385593142037</v>
      </c>
      <c r="Q22" s="118">
        <v>0.15</v>
      </c>
      <c r="R22" s="117">
        <f t="shared" si="2"/>
        <v>0.27777777777777768</v>
      </c>
      <c r="S22" s="129">
        <f t="shared" si="3"/>
        <v>2.4496312980403321</v>
      </c>
      <c r="T22" s="129">
        <f t="shared" si="4"/>
        <v>0.47337801695273485</v>
      </c>
      <c r="U22" s="129">
        <f t="shared" si="5"/>
        <v>9.6681001744845049E-2</v>
      </c>
      <c r="V22" s="129">
        <f t="shared" si="6"/>
        <v>1.368385593142037</v>
      </c>
      <c r="W22" s="129">
        <f t="shared" si="7"/>
        <v>0.29839751798850311</v>
      </c>
      <c r="X22" s="129">
        <f t="shared" si="8"/>
        <v>8.3207940750375742E-2</v>
      </c>
      <c r="Y22" s="129">
        <f t="shared" si="9"/>
        <v>0.87795320772144447</v>
      </c>
      <c r="Z22" s="129">
        <f t="shared" si="10"/>
        <v>0.18302578785393944</v>
      </c>
      <c r="AA22" s="135">
        <f t="shared" si="11"/>
        <v>4.4719964180598634E-2</v>
      </c>
      <c r="AC22" s="158">
        <f t="shared" si="0"/>
        <v>0.15</v>
      </c>
      <c r="AD22" s="159">
        <f t="shared" si="1"/>
        <v>0.27777777777777768</v>
      </c>
      <c r="AE22" s="160">
        <f>(-1 * ((((1 / AD22)^(1 / m)) - 1)^(1 / n)) / alpha / 10000)</f>
        <v>-0.69166465863162352</v>
      </c>
    </row>
    <row r="23" spans="1:31" ht="18" customHeight="1">
      <c r="B23" s="11" t="s">
        <v>39</v>
      </c>
      <c r="C23" s="54"/>
      <c r="D23" s="54"/>
      <c r="E23" s="55"/>
      <c r="F23" s="111"/>
      <c r="G23" s="111"/>
      <c r="I23" s="73" t="s">
        <v>109</v>
      </c>
      <c r="J23" s="74" t="s">
        <v>129</v>
      </c>
      <c r="K23" s="70" t="s">
        <v>111</v>
      </c>
      <c r="L23" s="94" t="s">
        <v>115</v>
      </c>
      <c r="M23" s="5"/>
      <c r="N23" s="3"/>
      <c r="O23" s="147">
        <f>KRootTotal*rootP2</f>
        <v>0.29839751798850311</v>
      </c>
      <c r="Q23" s="118">
        <v>0.16</v>
      </c>
      <c r="R23" s="117">
        <f t="shared" si="2"/>
        <v>0.33333333333333326</v>
      </c>
      <c r="S23" s="129">
        <f t="shared" si="3"/>
        <v>3.4792992790446222</v>
      </c>
      <c r="T23" s="129">
        <f t="shared" si="4"/>
        <v>0.67235579265206846</v>
      </c>
      <c r="U23" s="129">
        <f t="shared" si="5"/>
        <v>0.13731949781065084</v>
      </c>
      <c r="V23" s="129">
        <f t="shared" si="6"/>
        <v>1.368385593142037</v>
      </c>
      <c r="W23" s="129">
        <f t="shared" si="7"/>
        <v>0.29839751798850311</v>
      </c>
      <c r="X23" s="129">
        <f t="shared" si="8"/>
        <v>8.3207940750375742E-2</v>
      </c>
      <c r="Y23" s="129">
        <f t="shared" si="9"/>
        <v>0.98212304083342128</v>
      </c>
      <c r="Z23" s="129">
        <f t="shared" si="10"/>
        <v>0.2066738248877879</v>
      </c>
      <c r="AA23" s="135">
        <f t="shared" si="11"/>
        <v>5.1812476090307681E-2</v>
      </c>
      <c r="AC23" s="158">
        <f t="shared" si="0"/>
        <v>0.16</v>
      </c>
      <c r="AD23" s="159">
        <f t="shared" si="1"/>
        <v>0.33333333333333326</v>
      </c>
      <c r="AE23" s="160">
        <f>(-1 * ((((1 / AD23)^(1 / m)) - 1)^(1 / n)) / alpha / 10000)</f>
        <v>-0.56568542494923824</v>
      </c>
    </row>
    <row r="24" spans="1:31" ht="18" customHeight="1" thickBot="1">
      <c r="B24" s="56" t="s">
        <v>14</v>
      </c>
      <c r="C24" s="56" t="s">
        <v>33</v>
      </c>
      <c r="D24" s="56" t="s">
        <v>13</v>
      </c>
      <c r="E24" s="57" t="s">
        <v>29</v>
      </c>
      <c r="F24" s="57" t="s">
        <v>30</v>
      </c>
      <c r="G24" s="57" t="s">
        <v>15</v>
      </c>
      <c r="I24" s="75" t="s">
        <v>110</v>
      </c>
      <c r="J24" s="76" t="s">
        <v>130</v>
      </c>
      <c r="K24" s="22" t="s">
        <v>113</v>
      </c>
      <c r="L24" s="96" t="s">
        <v>115</v>
      </c>
      <c r="M24" s="6"/>
      <c r="N24" s="4"/>
      <c r="O24" s="150">
        <f>KRootTotal*rootP3</f>
        <v>8.3207940750375742E-2</v>
      </c>
      <c r="Q24" s="118">
        <v>0.17</v>
      </c>
      <c r="R24" s="117">
        <f t="shared" si="2"/>
        <v>0.3888888888888889</v>
      </c>
      <c r="S24" s="129">
        <f t="shared" si="3"/>
        <v>4.797472666616958</v>
      </c>
      <c r="T24" s="129">
        <f t="shared" si="4"/>
        <v>0.92708567984286638</v>
      </c>
      <c r="U24" s="129">
        <f t="shared" si="5"/>
        <v>0.1893446020317805</v>
      </c>
      <c r="V24" s="129">
        <f t="shared" si="6"/>
        <v>1.368385593142037</v>
      </c>
      <c r="W24" s="129">
        <f t="shared" si="7"/>
        <v>0.29839751798850311</v>
      </c>
      <c r="X24" s="129">
        <f t="shared" si="8"/>
        <v>8.3207940750375742E-2</v>
      </c>
      <c r="Y24" s="129">
        <f t="shared" si="9"/>
        <v>1.064700517580168</v>
      </c>
      <c r="Z24" s="129">
        <f t="shared" si="10"/>
        <v>0.22573958281708073</v>
      </c>
      <c r="AA24" s="135">
        <f t="shared" si="11"/>
        <v>5.7805274045292558E-2</v>
      </c>
      <c r="AC24" s="158">
        <f t="shared" si="0"/>
        <v>0.17</v>
      </c>
      <c r="AD24" s="159">
        <f t="shared" si="1"/>
        <v>0.3888888888888889</v>
      </c>
      <c r="AE24" s="160">
        <f>(-1 * ((((1 / AD24)^(1 / m)) - 1)^(1 / n)) / alpha / 10000)</f>
        <v>-0.47380354147934278</v>
      </c>
    </row>
    <row r="25" spans="1:31" ht="18" customHeight="1">
      <c r="B25" s="58" t="s">
        <v>59</v>
      </c>
      <c r="C25" s="59" t="s">
        <v>43</v>
      </c>
      <c r="D25" s="60" t="s">
        <v>18</v>
      </c>
      <c r="E25" s="100" t="s">
        <v>1</v>
      </c>
      <c r="F25" s="61"/>
      <c r="G25" s="141">
        <v>2.0000000000000001E-4</v>
      </c>
      <c r="Q25" s="118">
        <v>0.18</v>
      </c>
      <c r="R25" s="117">
        <f t="shared" si="2"/>
        <v>0.44444444444444431</v>
      </c>
      <c r="S25" s="129">
        <f t="shared" si="3"/>
        <v>6.4577430798151498</v>
      </c>
      <c r="T25" s="129">
        <f t="shared" si="4"/>
        <v>1.2479239694392614</v>
      </c>
      <c r="U25" s="129">
        <f t="shared" si="5"/>
        <v>0.25487144553828683</v>
      </c>
      <c r="V25" s="129">
        <f t="shared" si="6"/>
        <v>1.368385593142037</v>
      </c>
      <c r="W25" s="129">
        <f t="shared" si="7"/>
        <v>0.29839751798850311</v>
      </c>
      <c r="X25" s="129">
        <f t="shared" si="8"/>
        <v>8.3207940750375742E-2</v>
      </c>
      <c r="Y25" s="129">
        <f t="shared" si="9"/>
        <v>1.1291256461405335</v>
      </c>
      <c r="Z25" s="129">
        <f t="shared" si="10"/>
        <v>0.24081500396044364</v>
      </c>
      <c r="AA25" s="135">
        <f t="shared" si="11"/>
        <v>6.2728841211291478E-2</v>
      </c>
      <c r="AC25" s="158">
        <f t="shared" si="0"/>
        <v>0.18</v>
      </c>
      <c r="AD25" s="159">
        <f t="shared" si="1"/>
        <v>0.44444444444444431</v>
      </c>
      <c r="AE25" s="160">
        <f>(-1 * ((((1 / AD25)^(1 / m)) - 1)^(1 / n)) / alpha / 10000)</f>
        <v>-0.40311288741492773</v>
      </c>
    </row>
    <row r="26" spans="1:31" ht="18" customHeight="1">
      <c r="B26" s="69" t="s">
        <v>51</v>
      </c>
      <c r="C26" s="66" t="s">
        <v>3</v>
      </c>
      <c r="D26" s="67" t="s">
        <v>145</v>
      </c>
      <c r="E26" s="101" t="s">
        <v>114</v>
      </c>
      <c r="F26" s="68" t="s">
        <v>55</v>
      </c>
      <c r="G26" s="142">
        <v>1.75</v>
      </c>
      <c r="Q26" s="118">
        <v>0.19</v>
      </c>
      <c r="R26" s="117">
        <f t="shared" si="2"/>
        <v>0.49999999999999994</v>
      </c>
      <c r="S26" s="129">
        <f t="shared" si="3"/>
        <v>8.5193428946556011</v>
      </c>
      <c r="T26" s="129">
        <f t="shared" si="4"/>
        <v>1.646316998169755</v>
      </c>
      <c r="U26" s="129">
        <f t="shared" si="5"/>
        <v>0.33623778644649327</v>
      </c>
      <c r="V26" s="129">
        <f t="shared" si="6"/>
        <v>1.368385593142037</v>
      </c>
      <c r="W26" s="129">
        <f t="shared" si="7"/>
        <v>0.29839751798850311</v>
      </c>
      <c r="X26" s="129">
        <f t="shared" si="8"/>
        <v>8.3207940750375742E-2</v>
      </c>
      <c r="Y26" s="129">
        <f t="shared" si="9"/>
        <v>1.1790115489589372</v>
      </c>
      <c r="Z26" s="129">
        <f t="shared" si="10"/>
        <v>0.25261132263598535</v>
      </c>
      <c r="AA26" s="135">
        <f t="shared" si="11"/>
        <v>6.6701487221363084E-2</v>
      </c>
      <c r="AC26" s="158">
        <f t="shared" si="0"/>
        <v>0.19</v>
      </c>
      <c r="AD26" s="159">
        <f t="shared" si="1"/>
        <v>0.49999999999999994</v>
      </c>
      <c r="AE26" s="160">
        <f>(-1 * ((((1 / AD26)^(1 / m)) - 1)^(1 / n)) / alpha / 10000)</f>
        <v>-0.34641016151377546</v>
      </c>
    </row>
    <row r="27" spans="1:31">
      <c r="B27" s="102" t="s">
        <v>56</v>
      </c>
      <c r="C27" s="103" t="s">
        <v>56</v>
      </c>
      <c r="D27" s="104" t="s">
        <v>118</v>
      </c>
      <c r="E27" s="105" t="s">
        <v>3</v>
      </c>
      <c r="F27" s="112" t="s">
        <v>55</v>
      </c>
      <c r="G27" s="143">
        <v>1</v>
      </c>
      <c r="Q27" s="118">
        <v>0.2</v>
      </c>
      <c r="R27" s="117">
        <f t="shared" si="2"/>
        <v>0.55555555555555547</v>
      </c>
      <c r="S27" s="129">
        <f t="shared" si="3"/>
        <v>11.047455427394711</v>
      </c>
      <c r="T27" s="129">
        <f t="shared" si="4"/>
        <v>2.134861089820927</v>
      </c>
      <c r="U27" s="129">
        <f t="shared" si="5"/>
        <v>0.43601625204025313</v>
      </c>
      <c r="V27" s="129">
        <f t="shared" si="6"/>
        <v>1.368385593142037</v>
      </c>
      <c r="W27" s="129">
        <f t="shared" si="7"/>
        <v>0.29839751798850311</v>
      </c>
      <c r="X27" s="129">
        <f t="shared" si="8"/>
        <v>8.3207940750375742E-2</v>
      </c>
      <c r="Y27" s="129">
        <f t="shared" si="9"/>
        <v>1.2175718763409391</v>
      </c>
      <c r="Z27" s="129">
        <f t="shared" si="10"/>
        <v>0.26180417009858881</v>
      </c>
      <c r="AA27" s="135">
        <f t="shared" si="11"/>
        <v>6.9873505452385146E-2</v>
      </c>
      <c r="AC27" s="158">
        <f t="shared" si="0"/>
        <v>0.2</v>
      </c>
      <c r="AD27" s="159">
        <f t="shared" si="1"/>
        <v>0.55555555555555547</v>
      </c>
      <c r="AE27" s="160">
        <f>(-1 * ((((1 / AD27)^(1 / m)) - 1)^(1 / n)) / alpha / 10000)</f>
        <v>-0.29933259094191533</v>
      </c>
    </row>
    <row r="28" spans="1:31">
      <c r="B28" s="102" t="s">
        <v>0</v>
      </c>
      <c r="C28" s="103" t="s">
        <v>0</v>
      </c>
      <c r="D28" s="104" t="s">
        <v>20</v>
      </c>
      <c r="E28" s="106" t="s">
        <v>143</v>
      </c>
      <c r="F28" s="112" t="s">
        <v>57</v>
      </c>
      <c r="G28" s="143">
        <v>6</v>
      </c>
      <c r="Q28" s="118">
        <v>0.21</v>
      </c>
      <c r="R28" s="117">
        <f t="shared" si="2"/>
        <v>0.61111111111111094</v>
      </c>
      <c r="S28" s="129">
        <f t="shared" si="3"/>
        <v>14.113515381749325</v>
      </c>
      <c r="T28" s="129">
        <f t="shared" si="4"/>
        <v>2.7273606150399594</v>
      </c>
      <c r="U28" s="129">
        <f t="shared" si="5"/>
        <v>0.55702619669351472</v>
      </c>
      <c r="V28" s="129">
        <f t="shared" si="6"/>
        <v>1.368385593142037</v>
      </c>
      <c r="W28" s="129">
        <f t="shared" si="7"/>
        <v>0.29839751798850311</v>
      </c>
      <c r="X28" s="129">
        <f t="shared" si="8"/>
        <v>8.3207940750375742E-2</v>
      </c>
      <c r="Y28" s="129">
        <f t="shared" si="9"/>
        <v>1.2474392613862997</v>
      </c>
      <c r="Z28" s="129">
        <f t="shared" si="10"/>
        <v>0.26896982587731033</v>
      </c>
      <c r="AA28" s="135">
        <f t="shared" si="11"/>
        <v>7.2393832287556054E-2</v>
      </c>
      <c r="AC28" s="158">
        <f t="shared" si="0"/>
        <v>0.21</v>
      </c>
      <c r="AD28" s="159">
        <f t="shared" si="1"/>
        <v>0.61111111111111094</v>
      </c>
      <c r="AE28" s="160">
        <f>(-1 * ((((1 / AD28)^(1 / m)) - 1)^(1 / n)) / alpha / 10000)</f>
        <v>-0.25905103361409115</v>
      </c>
    </row>
    <row r="29" spans="1:31">
      <c r="A29" s="3"/>
      <c r="B29" s="107" t="s">
        <v>82</v>
      </c>
      <c r="C29" s="24" t="s">
        <v>65</v>
      </c>
      <c r="D29" s="23" t="s">
        <v>144</v>
      </c>
      <c r="E29" s="108" t="s">
        <v>3</v>
      </c>
      <c r="F29" s="108" t="s">
        <v>66</v>
      </c>
      <c r="G29" s="144">
        <v>0.97</v>
      </c>
      <c r="I29" s="15" t="s">
        <v>137</v>
      </c>
      <c r="J29" s="15"/>
      <c r="Q29" s="118">
        <v>0.22</v>
      </c>
      <c r="R29" s="117">
        <f t="shared" si="2"/>
        <v>0.66666666666666652</v>
      </c>
      <c r="S29" s="129">
        <f t="shared" si="3"/>
        <v>17.795510444050191</v>
      </c>
      <c r="T29" s="129">
        <f t="shared" si="4"/>
        <v>3.4388862729690115</v>
      </c>
      <c r="U29" s="129">
        <f t="shared" si="5"/>
        <v>0.70234560509901578</v>
      </c>
      <c r="V29" s="129">
        <f t="shared" si="6"/>
        <v>1.368385593142037</v>
      </c>
      <c r="W29" s="129">
        <f t="shared" si="7"/>
        <v>0.29839751798850311</v>
      </c>
      <c r="X29" s="129">
        <f t="shared" si="8"/>
        <v>8.3207940750375742E-2</v>
      </c>
      <c r="Y29" s="129">
        <f t="shared" si="9"/>
        <v>1.2706769055200273</v>
      </c>
      <c r="Z29" s="129">
        <f t="shared" si="10"/>
        <v>0.2745724397439403</v>
      </c>
      <c r="AA29" s="135">
        <f t="shared" si="11"/>
        <v>7.4394332256721971E-2</v>
      </c>
      <c r="AC29" s="158">
        <f t="shared" si="0"/>
        <v>0.22</v>
      </c>
      <c r="AD29" s="159">
        <f t="shared" si="1"/>
        <v>0.66666666666666652</v>
      </c>
      <c r="AE29" s="160">
        <f>(-1 * ((((1 / AD29)^(1 / m)) - 1)^(1 / n)) / alpha / 10000)</f>
        <v>-0.22360679774997907</v>
      </c>
    </row>
    <row r="30" spans="1:31" ht="17" thickBot="1">
      <c r="A30" s="3"/>
      <c r="B30" s="3"/>
      <c r="C30" s="3"/>
      <c r="D30" s="3"/>
      <c r="E30" s="3"/>
      <c r="F30" s="3"/>
      <c r="G30" s="3"/>
      <c r="I30" s="16" t="s">
        <v>14</v>
      </c>
      <c r="J30" s="16" t="s">
        <v>33</v>
      </c>
      <c r="K30" s="16" t="s">
        <v>13</v>
      </c>
      <c r="L30" s="17" t="s">
        <v>29</v>
      </c>
      <c r="M30" s="84" t="s">
        <v>22</v>
      </c>
      <c r="N30" s="18" t="s">
        <v>21</v>
      </c>
      <c r="O30" s="17" t="s">
        <v>15</v>
      </c>
      <c r="Q30" s="118">
        <v>0.23</v>
      </c>
      <c r="R30" s="117">
        <f t="shared" si="2"/>
        <v>0.72222222222222221</v>
      </c>
      <c r="S30" s="129">
        <f t="shared" si="3"/>
        <v>22.178289437616584</v>
      </c>
      <c r="T30" s="129">
        <f t="shared" si="4"/>
        <v>4.2858346404136558</v>
      </c>
      <c r="U30" s="129">
        <f t="shared" si="5"/>
        <v>0.87532325437351743</v>
      </c>
      <c r="V30" s="129">
        <f t="shared" si="6"/>
        <v>1.368385593142037</v>
      </c>
      <c r="W30" s="129">
        <f t="shared" si="7"/>
        <v>0.29839751798850311</v>
      </c>
      <c r="X30" s="129">
        <f t="shared" si="8"/>
        <v>8.3207940750375742E-2</v>
      </c>
      <c r="Y30" s="129">
        <f t="shared" si="9"/>
        <v>1.2888635744675236</v>
      </c>
      <c r="Z30" s="129">
        <f t="shared" si="10"/>
        <v>0.27897418259339202</v>
      </c>
      <c r="AA30" s="135">
        <f t="shared" si="11"/>
        <v>7.5984846250020804E-2</v>
      </c>
      <c r="AC30" s="158">
        <f t="shared" si="0"/>
        <v>0.23</v>
      </c>
      <c r="AD30" s="159">
        <f t="shared" si="1"/>
        <v>0.72222222222222221</v>
      </c>
      <c r="AE30" s="160">
        <f>(-1 * ((((1 / AD30)^(1 / m)) - 1)^(1 / n)) / alpha / 10000)</f>
        <v>-0.19153691689213431</v>
      </c>
    </row>
    <row r="31" spans="1:31" ht="17" thickBot="1">
      <c r="A31" s="3"/>
      <c r="B31" s="3"/>
      <c r="C31" s="3"/>
      <c r="D31" s="3"/>
      <c r="E31" s="3"/>
      <c r="F31" s="3"/>
      <c r="G31" s="3"/>
      <c r="I31" s="85" t="s">
        <v>139</v>
      </c>
      <c r="J31" s="86" t="s">
        <v>3</v>
      </c>
      <c r="K31" s="87" t="s">
        <v>140</v>
      </c>
      <c r="L31" s="93" t="s">
        <v>138</v>
      </c>
      <c r="M31" s="87" t="s">
        <v>3</v>
      </c>
      <c r="N31" s="89" t="s">
        <v>3</v>
      </c>
      <c r="O31" s="151">
        <f>1000*(sc_vg-rc_vg)*((depth1*(1-RFC_1/100)+(depth2-depth1)*(1-RFC_2/100))+((depth3-depth2)*(1-RFC_3/100)))</f>
        <v>189</v>
      </c>
      <c r="Q31" s="118">
        <v>0.24</v>
      </c>
      <c r="R31" s="117">
        <f t="shared" si="2"/>
        <v>0.77777777777777757</v>
      </c>
      <c r="S31" s="129">
        <f t="shared" si="3"/>
        <v>27.353880277730777</v>
      </c>
      <c r="T31" s="129">
        <f t="shared" si="4"/>
        <v>5.2859896149242953</v>
      </c>
      <c r="U31" s="129">
        <f t="shared" si="5"/>
        <v>1.0795912629689259</v>
      </c>
      <c r="V31" s="129">
        <f t="shared" si="6"/>
        <v>1.368385593142037</v>
      </c>
      <c r="W31" s="129">
        <f t="shared" si="7"/>
        <v>0.29839751798850311</v>
      </c>
      <c r="X31" s="129">
        <f t="shared" si="8"/>
        <v>8.3207940750375742E-2</v>
      </c>
      <c r="Y31" s="129">
        <f t="shared" si="9"/>
        <v>1.3031929951786028</v>
      </c>
      <c r="Z31" s="129">
        <f t="shared" si="10"/>
        <v>0.28245287149060611</v>
      </c>
      <c r="AA31" s="135">
        <f t="shared" si="11"/>
        <v>7.7253721499302555E-2</v>
      </c>
      <c r="AC31" s="158">
        <f t="shared" si="0"/>
        <v>0.24</v>
      </c>
      <c r="AD31" s="159">
        <f t="shared" si="1"/>
        <v>0.77777777777777757</v>
      </c>
      <c r="AE31" s="160">
        <f>(-1 * ((((1 / AD31)^(1 / m)) - 1)^(1 / n)) / alpha / 10000)</f>
        <v>-0.16162440712835383</v>
      </c>
    </row>
    <row r="32" spans="1:31">
      <c r="A32" s="3"/>
      <c r="B32" s="3"/>
      <c r="C32" s="3"/>
      <c r="D32" s="3"/>
      <c r="E32" s="3"/>
      <c r="F32" s="3"/>
      <c r="G32" s="3"/>
      <c r="Q32" s="118">
        <v>0.25</v>
      </c>
      <c r="R32" s="117">
        <f t="shared" si="2"/>
        <v>0.83333333333333326</v>
      </c>
      <c r="S32" s="129">
        <f t="shared" si="3"/>
        <v>33.421820043549261</v>
      </c>
      <c r="T32" s="129">
        <f t="shared" si="4"/>
        <v>6.4585861994101714</v>
      </c>
      <c r="U32" s="129">
        <f t="shared" si="5"/>
        <v>1.3190781178094997</v>
      </c>
      <c r="V32" s="129">
        <f t="shared" si="6"/>
        <v>1.368385593142037</v>
      </c>
      <c r="W32" s="129">
        <f t="shared" si="7"/>
        <v>0.29839751798850311</v>
      </c>
      <c r="X32" s="129">
        <f t="shared" si="8"/>
        <v>8.3207940750375742E-2</v>
      </c>
      <c r="Y32" s="129">
        <f t="shared" si="9"/>
        <v>1.3145635734887848</v>
      </c>
      <c r="Z32" s="129">
        <f t="shared" si="10"/>
        <v>0.28521988097386514</v>
      </c>
      <c r="AA32" s="135">
        <f t="shared" si="11"/>
        <v>7.8270601923069408E-2</v>
      </c>
      <c r="AC32" s="158">
        <f t="shared" si="0"/>
        <v>0.25</v>
      </c>
      <c r="AD32" s="159">
        <f t="shared" si="1"/>
        <v>0.83333333333333326</v>
      </c>
      <c r="AE32" s="160">
        <f>(-1 * ((((1 / AD32)^(1 / m)) - 1)^(1 / n)) / alpha / 10000)</f>
        <v>-0.13266499161421605</v>
      </c>
    </row>
    <row r="33" spans="1:31">
      <c r="A33" s="3"/>
      <c r="B33" s="9"/>
      <c r="C33" s="3"/>
      <c r="D33" s="3"/>
      <c r="E33" s="3"/>
      <c r="F33" s="3"/>
      <c r="G33" s="3"/>
      <c r="H33" s="3"/>
      <c r="I33" s="74"/>
      <c r="J33" s="74"/>
      <c r="K33" s="70"/>
      <c r="L33" s="92"/>
      <c r="M33" s="70"/>
      <c r="N33" s="3"/>
      <c r="O33" s="137"/>
      <c r="Q33" s="118">
        <v>0.26</v>
      </c>
      <c r="R33" s="117">
        <f t="shared" si="2"/>
        <v>0.88888888888888884</v>
      </c>
      <c r="S33" s="129">
        <f t="shared" si="3"/>
        <v>40.489499080792143</v>
      </c>
      <c r="T33" s="129">
        <f t="shared" si="4"/>
        <v>7.8243769981254498</v>
      </c>
      <c r="U33" s="129">
        <f t="shared" si="5"/>
        <v>1.5980222551898156</v>
      </c>
      <c r="V33" s="129">
        <f t="shared" si="6"/>
        <v>1.368385593142037</v>
      </c>
      <c r="W33" s="129">
        <f t="shared" si="7"/>
        <v>0.29839751798850311</v>
      </c>
      <c r="X33" s="129">
        <f t="shared" si="8"/>
        <v>8.3207940750375742E-2</v>
      </c>
      <c r="Y33" s="129">
        <f t="shared" si="9"/>
        <v>1.3236513896316358</v>
      </c>
      <c r="Z33" s="129">
        <f t="shared" si="10"/>
        <v>0.2874356134612927</v>
      </c>
      <c r="AA33" s="135">
        <f t="shared" si="11"/>
        <v>7.9089788803880276E-2</v>
      </c>
      <c r="AC33" s="158">
        <f t="shared" si="0"/>
        <v>0.26</v>
      </c>
      <c r="AD33" s="159">
        <f t="shared" si="1"/>
        <v>0.88888888888888884</v>
      </c>
      <c r="AE33" s="160">
        <f>(-1 * ((((1 / AD33)^(1 / m)) - 1)^(1 / n)) / alpha / 10000)</f>
        <v>-0.10307764064044152</v>
      </c>
    </row>
    <row r="34" spans="1:31">
      <c r="A34" s="3"/>
      <c r="B34" s="9"/>
      <c r="C34" s="9"/>
      <c r="D34" s="9"/>
      <c r="E34" s="3"/>
      <c r="F34" s="2"/>
      <c r="G34" s="2"/>
      <c r="Q34" s="118">
        <v>0.27</v>
      </c>
      <c r="R34" s="117">
        <f t="shared" si="2"/>
        <v>0.94444444444444442</v>
      </c>
      <c r="S34" s="129">
        <f t="shared" si="3"/>
        <v>48.672520887942895</v>
      </c>
      <c r="T34" s="129">
        <f t="shared" si="4"/>
        <v>9.4057017627334449</v>
      </c>
      <c r="U34" s="129">
        <f t="shared" si="5"/>
        <v>1.9209862646095797</v>
      </c>
      <c r="V34" s="129">
        <f t="shared" si="6"/>
        <v>1.368385593142037</v>
      </c>
      <c r="W34" s="129">
        <f t="shared" si="7"/>
        <v>0.29839751798850311</v>
      </c>
      <c r="X34" s="129">
        <f t="shared" si="8"/>
        <v>8.3207940750375742E-2</v>
      </c>
      <c r="Y34" s="129">
        <f t="shared" si="9"/>
        <v>1.3309666240786677</v>
      </c>
      <c r="Z34" s="129">
        <f t="shared" si="10"/>
        <v>0.2892219030070502</v>
      </c>
      <c r="AA34" s="135">
        <f t="shared" si="11"/>
        <v>7.9753404565508085E-2</v>
      </c>
      <c r="AC34" s="158">
        <f t="shared" si="0"/>
        <v>0.27</v>
      </c>
      <c r="AD34" s="159">
        <f t="shared" si="1"/>
        <v>0.94444444444444442</v>
      </c>
      <c r="AE34" s="160">
        <f>(-1 * ((((1 / AD34)^(1 / m)) - 1)^(1 / n)) / alpha / 10000)</f>
        <v>-6.9600938624701389E-2</v>
      </c>
    </row>
    <row r="35" spans="1:31">
      <c r="A35" s="3"/>
      <c r="B35" s="9"/>
      <c r="C35" s="9"/>
      <c r="D35" s="9"/>
      <c r="E35" s="3"/>
      <c r="F35" s="2"/>
      <c r="G35" s="2"/>
      <c r="Q35" s="118">
        <v>0.28000000000000003</v>
      </c>
      <c r="R35" s="117">
        <f t="shared" si="2"/>
        <v>1</v>
      </c>
      <c r="S35" s="129">
        <f t="shared" si="3"/>
        <v>58.095079500288271</v>
      </c>
      <c r="T35" s="129">
        <f t="shared" si="4"/>
        <v>11.22656031973394</v>
      </c>
      <c r="U35" s="129">
        <f t="shared" si="5"/>
        <v>2.292871783205721</v>
      </c>
      <c r="V35" s="129">
        <f t="shared" si="6"/>
        <v>1.368385593142037</v>
      </c>
      <c r="W35" s="129">
        <f t="shared" si="7"/>
        <v>0.29839751798850311</v>
      </c>
      <c r="X35" s="129">
        <f t="shared" si="8"/>
        <v>8.3207940750375742E-2</v>
      </c>
      <c r="Y35" s="129">
        <f t="shared" si="9"/>
        <v>1.3368960200306046</v>
      </c>
      <c r="Z35" s="129">
        <f t="shared" si="10"/>
        <v>0.29067158267529458</v>
      </c>
      <c r="AA35" s="135">
        <f t="shared" si="11"/>
        <v>8.0294081701744777E-2</v>
      </c>
      <c r="AC35" s="158">
        <f t="shared" si="0"/>
        <v>0.28000000000000003</v>
      </c>
      <c r="AD35" s="159">
        <f t="shared" si="1"/>
        <v>1</v>
      </c>
      <c r="AE35" s="160">
        <f>(-1 * ((((1 / AD35)^(1 / m)) - 1)^(1 / n)) / alpha / 10000)</f>
        <v>0</v>
      </c>
    </row>
    <row r="36" spans="1:31">
      <c r="A36" s="3"/>
      <c r="B36" s="9"/>
      <c r="C36" s="9"/>
      <c r="D36" s="9"/>
      <c r="E36" s="2"/>
      <c r="F36" s="2"/>
      <c r="G36" s="2"/>
      <c r="Q36" s="118">
        <v>0.28999999999999998</v>
      </c>
      <c r="R36" s="117">
        <f t="shared" si="2"/>
        <v>1.0555555555555554</v>
      </c>
      <c r="S36" s="129">
        <f t="shared" si="3"/>
        <v>68.890356117025519</v>
      </c>
      <c r="T36" s="129">
        <f t="shared" si="4"/>
        <v>13.312689216509312</v>
      </c>
      <c r="U36" s="129">
        <f t="shared" si="5"/>
        <v>2.7189351496616445</v>
      </c>
      <c r="V36" s="129">
        <f t="shared" si="6"/>
        <v>1.368385593142037</v>
      </c>
      <c r="W36" s="129">
        <f t="shared" si="7"/>
        <v>0.29839751798850311</v>
      </c>
      <c r="X36" s="129">
        <f t="shared" si="8"/>
        <v>8.3207940750375742E-2</v>
      </c>
      <c r="Y36" s="129">
        <f t="shared" si="9"/>
        <v>1.3417344023301796</v>
      </c>
      <c r="Z36" s="129">
        <f t="shared" si="10"/>
        <v>0.29185571273234956</v>
      </c>
      <c r="AA36" s="135">
        <f t="shared" si="11"/>
        <v>8.0737131380358873E-2</v>
      </c>
      <c r="AC36" s="158">
        <f t="shared" si="0"/>
        <v>0.28999999999999998</v>
      </c>
      <c r="AD36" s="159">
        <f t="shared" si="1"/>
        <v>1.0555555555555554</v>
      </c>
      <c r="AE36" s="160" t="e">
        <f>MAX(0,(-1*((((1/AD36)^(1/m))-1)^(1/n))/alpha/10000))</f>
        <v>#NUM!</v>
      </c>
    </row>
    <row r="37" spans="1:31">
      <c r="A37" s="3"/>
      <c r="B37" s="9"/>
      <c r="C37" s="9"/>
      <c r="D37" s="9"/>
      <c r="E37" s="2"/>
      <c r="F37" s="2"/>
      <c r="G37" s="2"/>
      <c r="Q37" s="118">
        <v>0.3</v>
      </c>
      <c r="R37" s="117">
        <f t="shared" si="2"/>
        <v>1.1111111111111109</v>
      </c>
      <c r="S37" s="129">
        <f t="shared" si="3"/>
        <v>81.200936791782354</v>
      </c>
      <c r="T37" s="129">
        <f t="shared" si="4"/>
        <v>15.691642437761432</v>
      </c>
      <c r="U37" s="129">
        <f t="shared" si="5"/>
        <v>3.2048038894382649</v>
      </c>
      <c r="V37" s="129">
        <f t="shared" si="6"/>
        <v>1.368385593142037</v>
      </c>
      <c r="W37" s="129">
        <f t="shared" si="7"/>
        <v>0.29839751798850311</v>
      </c>
      <c r="X37" s="129">
        <f t="shared" si="8"/>
        <v>8.3207940750375742E-2</v>
      </c>
      <c r="Y37" s="129">
        <f t="shared" si="9"/>
        <v>1.3457079317850806</v>
      </c>
      <c r="Z37" s="129">
        <f t="shared" si="10"/>
        <v>0.29282898413942537</v>
      </c>
      <c r="AA37" s="135">
        <f t="shared" si="11"/>
        <v>8.1102242303566677E-2</v>
      </c>
      <c r="AC37" s="158">
        <f t="shared" si="0"/>
        <v>0.3</v>
      </c>
      <c r="AD37" s="159">
        <f t="shared" si="1"/>
        <v>1.1111111111111109</v>
      </c>
      <c r="AE37" s="160" t="e">
        <f>(-1 * ((((1 / AD37)^(1 / m)) - 1)^(1 / n)) / alpha / 10000)</f>
        <v>#NUM!</v>
      </c>
    </row>
    <row r="38" spans="1:31">
      <c r="A38" s="3"/>
      <c r="B38" s="9"/>
      <c r="C38" s="9"/>
      <c r="D38" s="9"/>
      <c r="E38" s="2"/>
      <c r="F38" s="2"/>
      <c r="G38" s="2"/>
      <c r="Q38" s="118">
        <v>0.31</v>
      </c>
      <c r="R38" s="117">
        <f t="shared" si="2"/>
        <v>1.1666666666666665</v>
      </c>
      <c r="S38" s="129">
        <f t="shared" si="3"/>
        <v>95.179253114226654</v>
      </c>
      <c r="T38" s="129">
        <f t="shared" si="4"/>
        <v>18.392876564852411</v>
      </c>
      <c r="U38" s="129">
        <f t="shared" si="5"/>
        <v>3.7564941074075415</v>
      </c>
      <c r="V38" s="129">
        <f t="shared" si="6"/>
        <v>1.368385593142037</v>
      </c>
      <c r="W38" s="129">
        <f t="shared" si="7"/>
        <v>0.29839751798850311</v>
      </c>
      <c r="X38" s="129">
        <f t="shared" si="8"/>
        <v>8.3207940750375742E-2</v>
      </c>
      <c r="Y38" s="129">
        <f t="shared" si="9"/>
        <v>1.3489912386390328</v>
      </c>
      <c r="Z38" s="129">
        <f t="shared" si="10"/>
        <v>0.29363374007015125</v>
      </c>
      <c r="AA38" s="135">
        <f t="shared" si="11"/>
        <v>8.1404790058712165E-2</v>
      </c>
      <c r="AC38" s="158">
        <f t="shared" si="0"/>
        <v>0.31</v>
      </c>
      <c r="AD38" s="159">
        <f t="shared" si="1"/>
        <v>1.1666666666666665</v>
      </c>
      <c r="AE38" s="160" t="e">
        <f>(-1 * ((((1 / AD38)^(1 / m)) - 1)^(1 / n)) / alpha / 10000)</f>
        <v>#NUM!</v>
      </c>
    </row>
    <row r="39" spans="1:31">
      <c r="A39" s="3"/>
      <c r="B39" s="9"/>
      <c r="C39" s="9"/>
      <c r="D39" s="9"/>
      <c r="E39" s="2"/>
      <c r="F39" s="2"/>
      <c r="G39" s="2"/>
      <c r="Q39" s="118">
        <v>0.32</v>
      </c>
      <c r="R39" s="117">
        <f t="shared" si="2"/>
        <v>1.2222222222222221</v>
      </c>
      <c r="S39" s="129">
        <f t="shared" si="3"/>
        <v>110.98804794451044</v>
      </c>
      <c r="T39" s="129">
        <f t="shared" si="4"/>
        <v>21.44784077647034</v>
      </c>
      <c r="U39" s="129">
        <f t="shared" si="5"/>
        <v>4.3804288692605882</v>
      </c>
      <c r="V39" s="129">
        <f t="shared" si="6"/>
        <v>1.368385593142037</v>
      </c>
      <c r="W39" s="129">
        <f t="shared" si="7"/>
        <v>0.29839751798850311</v>
      </c>
      <c r="X39" s="129">
        <f t="shared" si="8"/>
        <v>8.3207940750375742E-2</v>
      </c>
      <c r="Y39" s="129">
        <f t="shared" si="9"/>
        <v>1.3517200665445663</v>
      </c>
      <c r="Z39" s="129">
        <f t="shared" si="10"/>
        <v>0.29430296712706111</v>
      </c>
      <c r="AA39" s="135">
        <f t="shared" si="11"/>
        <v>8.1656837535976662E-2</v>
      </c>
      <c r="AC39" s="158">
        <f t="shared" si="0"/>
        <v>0.32</v>
      </c>
      <c r="AD39" s="159">
        <f t="shared" si="1"/>
        <v>1.2222222222222221</v>
      </c>
      <c r="AE39" s="160" t="e">
        <f>(-1 * ((((1 / AD39)^(1 / m)) - 1)^(1 / n)) / alpha / 10000)</f>
        <v>#NUM!</v>
      </c>
    </row>
    <row r="40" spans="1:31">
      <c r="A40" s="3"/>
      <c r="B40" s="9"/>
      <c r="C40" s="9"/>
      <c r="D40" s="9"/>
      <c r="E40" s="2"/>
      <c r="F40" s="2"/>
      <c r="G40" s="2"/>
      <c r="Q40" s="118">
        <v>0.33</v>
      </c>
      <c r="R40" s="117">
        <f t="shared" ref="R40:R66" si="12">MAX((Q40-rc_vg)/(sc_vg-rc_vg),0)</f>
        <v>1.2777777777777777</v>
      </c>
      <c r="S40" s="129">
        <f t="shared" ref="S40:S67" si="13">Bgc_1*Ksat*R40^I*(1-(1-Q40^(1/m))^m)^2</f>
        <v>128.80086842093311</v>
      </c>
      <c r="T40" s="129">
        <f t="shared" ref="T40:T67" si="14">Bgc_2*Ksat*R40^I*(1-(1-Q40^(1/m))^m)^2</f>
        <v>24.890072119697244</v>
      </c>
      <c r="U40" s="129">
        <f t="shared" ref="U40:U67" si="15">Bgc_3*Ksat*R40^I*(1-(1-Q40^(1/m))^m)^2</f>
        <v>5.083457659323539</v>
      </c>
      <c r="V40" s="129">
        <f t="shared" ref="V40:V67" si="16">kroot1</f>
        <v>1.368385593142037</v>
      </c>
      <c r="W40" s="129">
        <f t="shared" ref="W40:W67" si="17">kroot2</f>
        <v>0.29839751798850311</v>
      </c>
      <c r="X40" s="129">
        <f t="shared" ref="X40:X67" si="18">kroot3</f>
        <v>8.3207940750375742E-2</v>
      </c>
      <c r="Y40" s="129">
        <f t="shared" ref="Y40:Y67" si="19">1/((1/kroot1)+(1/S40))</f>
        <v>1.3540006360667187</v>
      </c>
      <c r="Z40" s="129">
        <f t="shared" ref="Z40:Z67" si="20">1/((1/kroot2)+(1/T40))</f>
        <v>0.29486252439728944</v>
      </c>
      <c r="AA40" s="135">
        <f t="shared" ref="AA40:AA67" si="21">1/((1/kroot3)+(1/U40))</f>
        <v>8.1867896331046769E-2</v>
      </c>
      <c r="AC40" s="158">
        <f t="shared" si="0"/>
        <v>0.33</v>
      </c>
      <c r="AD40" s="159">
        <f t="shared" si="1"/>
        <v>1.2777777777777777</v>
      </c>
      <c r="AE40" s="160" t="e">
        <f>(-1 * ((((1 / AD40)^(1 / m)) - 1)^(1 / n)) / alpha / 10000)</f>
        <v>#NUM!</v>
      </c>
    </row>
    <row r="41" spans="1:31">
      <c r="A41" s="3"/>
      <c r="B41" s="12"/>
      <c r="C41" s="9"/>
      <c r="D41" s="9"/>
      <c r="E41" s="2"/>
      <c r="F41" s="2"/>
      <c r="G41" s="2"/>
      <c r="Q41" s="118">
        <v>0.34</v>
      </c>
      <c r="R41" s="117">
        <f t="shared" si="12"/>
        <v>1.3333333333333333</v>
      </c>
      <c r="S41" s="129">
        <f t="shared" si="13"/>
        <v>148.80258864436263</v>
      </c>
      <c r="T41" s="129">
        <f t="shared" si="14"/>
        <v>28.75529651595027</v>
      </c>
      <c r="U41" s="129">
        <f t="shared" si="15"/>
        <v>5.8728770096430303</v>
      </c>
      <c r="V41" s="129">
        <f t="shared" si="16"/>
        <v>1.368385593142037</v>
      </c>
      <c r="W41" s="129">
        <f t="shared" si="17"/>
        <v>0.29839751798850311</v>
      </c>
      <c r="X41" s="129">
        <f t="shared" si="18"/>
        <v>8.3207940750375742E-2</v>
      </c>
      <c r="Y41" s="129">
        <f t="shared" si="19"/>
        <v>1.3559166114295176</v>
      </c>
      <c r="Z41" s="129">
        <f t="shared" si="20"/>
        <v>0.29533281032559155</v>
      </c>
      <c r="AA41" s="135">
        <f t="shared" si="21"/>
        <v>8.2045505784860237E-2</v>
      </c>
      <c r="AC41" s="158">
        <f t="shared" si="0"/>
        <v>0.34</v>
      </c>
      <c r="AD41" s="159">
        <f t="shared" si="1"/>
        <v>1.3333333333333333</v>
      </c>
      <c r="AE41" s="160" t="e">
        <f>(-1 * ((((1 / AD41)^(1 / m)) - 1)^(1 / n)) / alpha / 10000)</f>
        <v>#NUM!</v>
      </c>
    </row>
    <row r="42" spans="1:31">
      <c r="A42" s="99"/>
      <c r="B42" s="12"/>
      <c r="C42" s="12"/>
      <c r="D42" s="12"/>
      <c r="E42" s="3"/>
      <c r="F42" s="12"/>
      <c r="G42" s="12"/>
      <c r="Q42" s="118">
        <v>0.35</v>
      </c>
      <c r="R42" s="117">
        <f t="shared" si="12"/>
        <v>1.3888888888888886</v>
      </c>
      <c r="S42" s="129">
        <f t="shared" si="13"/>
        <v>171.18996465163156</v>
      </c>
      <c r="T42" s="129">
        <f t="shared" si="14"/>
        <v>33.081536006592884</v>
      </c>
      <c r="U42" s="129">
        <f t="shared" si="15"/>
        <v>6.7564524034391438</v>
      </c>
      <c r="V42" s="129">
        <f t="shared" si="16"/>
        <v>1.368385593142037</v>
      </c>
      <c r="W42" s="129">
        <f t="shared" si="17"/>
        <v>0.29839751798850311</v>
      </c>
      <c r="X42" s="129">
        <f t="shared" si="18"/>
        <v>8.3207940750375742E-2</v>
      </c>
      <c r="Y42" s="129">
        <f t="shared" si="19"/>
        <v>1.3575343122340857</v>
      </c>
      <c r="Z42" s="129">
        <f t="shared" si="20"/>
        <v>0.29573001481099892</v>
      </c>
      <c r="AA42" s="135">
        <f t="shared" si="21"/>
        <v>8.2195673904435093E-2</v>
      </c>
      <c r="AC42" s="158">
        <f t="shared" si="0"/>
        <v>0.35</v>
      </c>
      <c r="AD42" s="159">
        <f t="shared" si="1"/>
        <v>1.3888888888888886</v>
      </c>
      <c r="AE42" s="160" t="e">
        <f>(-1 * ((((1 / AD42)^(1 / m)) - 1)^(1 / n)) / alpha / 10000)</f>
        <v>#NUM!</v>
      </c>
    </row>
    <row r="43" spans="1:31">
      <c r="A43" s="99"/>
      <c r="B43" s="12"/>
      <c r="C43" s="12"/>
      <c r="D43" s="12"/>
      <c r="E43" s="3"/>
      <c r="F43" s="12"/>
      <c r="G43" s="12"/>
      <c r="Q43" s="118">
        <v>0.36</v>
      </c>
      <c r="R43" s="117">
        <f t="shared" si="12"/>
        <v>1.4444444444444444</v>
      </c>
      <c r="S43" s="129">
        <f t="shared" si="13"/>
        <v>196.17222452644145</v>
      </c>
      <c r="T43" s="129">
        <f t="shared" si="14"/>
        <v>37.909222788679656</v>
      </c>
      <c r="U43" s="129">
        <f t="shared" si="15"/>
        <v>7.7424415653505205</v>
      </c>
      <c r="V43" s="129">
        <f t="shared" si="16"/>
        <v>1.368385593142037</v>
      </c>
      <c r="W43" s="129">
        <f t="shared" si="17"/>
        <v>0.29839751798850311</v>
      </c>
      <c r="X43" s="129">
        <f t="shared" si="18"/>
        <v>8.3207940750375742E-2</v>
      </c>
      <c r="Y43" s="129">
        <f t="shared" si="19"/>
        <v>1.3589066352184731</v>
      </c>
      <c r="Z43" s="129">
        <f t="shared" si="20"/>
        <v>0.29606706458609217</v>
      </c>
      <c r="AA43" s="135">
        <f t="shared" si="21"/>
        <v>8.2323214006797416E-2</v>
      </c>
      <c r="AC43" s="158">
        <f t="shared" si="0"/>
        <v>0.36</v>
      </c>
      <c r="AD43" s="159">
        <f t="shared" si="1"/>
        <v>1.4444444444444444</v>
      </c>
      <c r="AE43" s="160" t="e">
        <f>(-1 * ((((1 / AD43)^(1 / m)) - 1)^(1 / n)) / alpha / 10000)</f>
        <v>#NUM!</v>
      </c>
    </row>
    <row r="44" spans="1:31">
      <c r="A44" s="99"/>
      <c r="B44" s="12"/>
      <c r="C44" s="12"/>
      <c r="D44" s="12"/>
      <c r="E44" s="3"/>
      <c r="F44" s="12"/>
      <c r="G44" s="12"/>
      <c r="Q44" s="118">
        <v>0.37</v>
      </c>
      <c r="R44" s="117">
        <f t="shared" si="12"/>
        <v>1.5</v>
      </c>
      <c r="S44" s="129">
        <f t="shared" si="13"/>
        <v>223.97169676289931</v>
      </c>
      <c r="T44" s="129">
        <f t="shared" si="14"/>
        <v>43.281320642815736</v>
      </c>
      <c r="U44" s="129">
        <f t="shared" si="15"/>
        <v>8.8396192614180311</v>
      </c>
      <c r="V44" s="129">
        <f t="shared" si="16"/>
        <v>1.368385593142037</v>
      </c>
      <c r="W44" s="129">
        <f t="shared" si="17"/>
        <v>0.29839751798850311</v>
      </c>
      <c r="X44" s="129">
        <f t="shared" si="18"/>
        <v>8.3207940750375742E-2</v>
      </c>
      <c r="Y44" s="129">
        <f t="shared" si="19"/>
        <v>1.3600760233933222</v>
      </c>
      <c r="Z44" s="129">
        <f t="shared" si="20"/>
        <v>0.29635434096718444</v>
      </c>
      <c r="AA44" s="135">
        <f t="shared" si="21"/>
        <v>8.2432002670768473E-2</v>
      </c>
      <c r="AC44" s="158">
        <f t="shared" si="0"/>
        <v>0.37</v>
      </c>
      <c r="AD44" s="159">
        <f t="shared" si="1"/>
        <v>1.5</v>
      </c>
      <c r="AE44" s="160" t="e">
        <f>(-1 * ((((1 / AD44)^(1 / m)) - 1)^(1 / n)) / alpha / 10000)</f>
        <v>#NUM!</v>
      </c>
    </row>
    <row r="45" spans="1:31">
      <c r="A45" s="99"/>
      <c r="B45" s="12"/>
      <c r="C45" s="12"/>
      <c r="D45" s="12"/>
      <c r="E45" s="3"/>
      <c r="F45" s="12"/>
      <c r="G45" s="12"/>
      <c r="Q45" s="118">
        <v>0.38</v>
      </c>
      <c r="R45" s="117">
        <f t="shared" si="12"/>
        <v>1.5555555555555556</v>
      </c>
      <c r="S45" s="129">
        <f t="shared" si="13"/>
        <v>254.82448029719598</v>
      </c>
      <c r="T45" s="129">
        <f t="shared" si="14"/>
        <v>49.243454413159519</v>
      </c>
      <c r="U45" s="129">
        <f t="shared" si="15"/>
        <v>10.057303743608848</v>
      </c>
      <c r="V45" s="129">
        <f t="shared" si="16"/>
        <v>1.368385593142037</v>
      </c>
      <c r="W45" s="129">
        <f t="shared" si="17"/>
        <v>0.29839751798850311</v>
      </c>
      <c r="X45" s="129">
        <f t="shared" si="18"/>
        <v>8.3207940750375742E-2</v>
      </c>
      <c r="Y45" s="129">
        <f t="shared" si="19"/>
        <v>1.3610767279048599</v>
      </c>
      <c r="Z45" s="129">
        <f t="shared" si="20"/>
        <v>0.29660022791413437</v>
      </c>
      <c r="AA45" s="135">
        <f t="shared" si="21"/>
        <v>8.252517822128197E-2</v>
      </c>
      <c r="AC45" s="158">
        <f t="shared" si="0"/>
        <v>0.38</v>
      </c>
      <c r="AD45" s="159">
        <f t="shared" si="1"/>
        <v>1.5555555555555556</v>
      </c>
      <c r="AE45" s="160" t="e">
        <f>(-1 * ((((1 / AD45)^(1 / m)) - 1)^(1 / n)) / alpha / 10000)</f>
        <v>#NUM!</v>
      </c>
    </row>
    <row r="46" spans="1:31">
      <c r="A46" s="99"/>
      <c r="B46" s="12"/>
      <c r="C46" s="12"/>
      <c r="D46" s="12"/>
      <c r="E46" s="3"/>
      <c r="F46" s="12"/>
      <c r="G46" s="12"/>
      <c r="Q46" s="118">
        <v>0.39</v>
      </c>
      <c r="R46" s="117">
        <f t="shared" si="12"/>
        <v>1.6111111111111112</v>
      </c>
      <c r="S46" s="129">
        <f t="shared" si="13"/>
        <v>288.98115996122215</v>
      </c>
      <c r="T46" s="129">
        <f t="shared" si="14"/>
        <v>55.84404826496958</v>
      </c>
      <c r="U46" s="129">
        <f t="shared" si="15"/>
        <v>11.405384987034182</v>
      </c>
      <c r="V46" s="129">
        <f t="shared" si="16"/>
        <v>1.368385593142037</v>
      </c>
      <c r="W46" s="129">
        <f t="shared" si="17"/>
        <v>0.29839751798850311</v>
      </c>
      <c r="X46" s="129">
        <f t="shared" si="18"/>
        <v>8.3207940750375742E-2</v>
      </c>
      <c r="Y46" s="129">
        <f t="shared" si="19"/>
        <v>1.3619365417824301</v>
      </c>
      <c r="Z46" s="129">
        <f t="shared" si="20"/>
        <v>0.29681153295525531</v>
      </c>
      <c r="AA46" s="135">
        <f t="shared" si="21"/>
        <v>8.2605294155841627E-2</v>
      </c>
      <c r="AC46" s="158">
        <f t="shared" si="0"/>
        <v>0.39</v>
      </c>
      <c r="AD46" s="159">
        <f t="shared" si="1"/>
        <v>1.6111111111111112</v>
      </c>
      <c r="AE46" s="160" t="e">
        <f>(-1 * ((((1 / AD46)^(1 / m)) - 1)^(1 / n)) / alpha / 10000)</f>
        <v>#NUM!</v>
      </c>
    </row>
    <row r="47" spans="1:31">
      <c r="A47" s="99"/>
      <c r="B47" s="3"/>
      <c r="C47" s="12"/>
      <c r="D47" s="12"/>
      <c r="E47" s="3"/>
      <c r="F47" s="12"/>
      <c r="G47" s="12"/>
      <c r="Q47" s="118">
        <v>0.4</v>
      </c>
      <c r="R47" s="117">
        <f t="shared" si="12"/>
        <v>1.6666666666666667</v>
      </c>
      <c r="S47" s="129">
        <f t="shared" si="13"/>
        <v>326.70757149298095</v>
      </c>
      <c r="T47" s="129">
        <f t="shared" si="14"/>
        <v>63.13447351873473</v>
      </c>
      <c r="U47" s="129">
        <f t="shared" si="15"/>
        <v>12.894354883053472</v>
      </c>
      <c r="V47" s="129">
        <f t="shared" si="16"/>
        <v>1.368385593142037</v>
      </c>
      <c r="W47" s="129">
        <f t="shared" si="17"/>
        <v>0.29839751798850311</v>
      </c>
      <c r="X47" s="129">
        <f t="shared" si="18"/>
        <v>8.3207940750375742E-2</v>
      </c>
      <c r="Y47" s="129">
        <f t="shared" si="19"/>
        <v>1.3626781370146528</v>
      </c>
      <c r="Z47" s="129">
        <f t="shared" si="20"/>
        <v>0.29699381234998407</v>
      </c>
      <c r="AA47" s="135">
        <f t="shared" si="21"/>
        <v>8.2674438312520568E-2</v>
      </c>
      <c r="AC47" s="158">
        <f t="shared" si="0"/>
        <v>0.4</v>
      </c>
      <c r="AD47" s="159">
        <f t="shared" si="1"/>
        <v>1.6666666666666667</v>
      </c>
      <c r="AE47" s="160" t="e">
        <f>(-1 * ((((1 / AD47)^(1 / m)) - 1)^(1 / n)) / alpha / 10000)</f>
        <v>#NUM!</v>
      </c>
    </row>
    <row r="48" spans="1:31">
      <c r="A48" s="3"/>
      <c r="C48" s="3"/>
      <c r="D48" s="3"/>
      <c r="E48" s="3"/>
      <c r="F48" s="3"/>
      <c r="G48" s="3"/>
      <c r="Q48" s="118">
        <v>0.41</v>
      </c>
      <c r="R48" s="117">
        <f t="shared" si="12"/>
        <v>1.7222222222222217</v>
      </c>
      <c r="S48" s="129">
        <f t="shared" si="13"/>
        <v>368.28562066833882</v>
      </c>
      <c r="T48" s="129">
        <f t="shared" si="14"/>
        <v>71.1692069429605</v>
      </c>
      <c r="U48" s="129">
        <f t="shared" si="15"/>
        <v>14.535339568416456</v>
      </c>
      <c r="V48" s="129">
        <f t="shared" si="16"/>
        <v>1.368385593142037</v>
      </c>
      <c r="W48" s="129">
        <f t="shared" si="17"/>
        <v>0.29839751798850311</v>
      </c>
      <c r="X48" s="129">
        <f t="shared" si="18"/>
        <v>8.3207940750375742E-2</v>
      </c>
      <c r="Y48" s="129">
        <f t="shared" si="19"/>
        <v>1.3633201018994123</v>
      </c>
      <c r="Z48" s="129">
        <f t="shared" si="20"/>
        <v>0.29715162372055748</v>
      </c>
      <c r="AA48" s="135">
        <f t="shared" si="21"/>
        <v>8.273432588545318E-2</v>
      </c>
      <c r="AC48" s="158">
        <f t="shared" si="0"/>
        <v>0.41</v>
      </c>
      <c r="AD48" s="159">
        <f t="shared" si="1"/>
        <v>1.7222222222222217</v>
      </c>
      <c r="AE48" s="160" t="e">
        <f>(-1 * ((((1 / AD48)^(1 / m)) - 1)^(1 / n)) / alpha / 10000)</f>
        <v>#NUM!</v>
      </c>
    </row>
    <row r="49" spans="17:31">
      <c r="Q49" s="118">
        <v>0.42</v>
      </c>
      <c r="R49" s="117">
        <f t="shared" si="12"/>
        <v>1.7777777777777772</v>
      </c>
      <c r="S49" s="129">
        <f t="shared" si="13"/>
        <v>414.01416160356581</v>
      </c>
      <c r="T49" s="129">
        <f t="shared" si="14"/>
        <v>80.006000481390913</v>
      </c>
      <c r="U49" s="129">
        <f t="shared" si="15"/>
        <v>16.340134089732661</v>
      </c>
      <c r="V49" s="129">
        <f t="shared" si="16"/>
        <v>1.368385593142037</v>
      </c>
      <c r="W49" s="129">
        <f t="shared" si="17"/>
        <v>0.29839751798850311</v>
      </c>
      <c r="X49" s="129">
        <f t="shared" si="18"/>
        <v>8.3207940750375742E-2</v>
      </c>
      <c r="Y49" s="129">
        <f t="shared" si="19"/>
        <v>1.3638777505661861</v>
      </c>
      <c r="Z49" s="129">
        <f t="shared" si="20"/>
        <v>0.29728872343976137</v>
      </c>
      <c r="AA49" s="135">
        <f t="shared" si="21"/>
        <v>8.2786372388037113E-2</v>
      </c>
      <c r="AC49" s="158">
        <f t="shared" si="0"/>
        <v>0.42</v>
      </c>
      <c r="AD49" s="159">
        <f t="shared" si="1"/>
        <v>1.7777777777777772</v>
      </c>
      <c r="AE49" s="160" t="e">
        <f>(-1 * ((((1 / AD49)^(1 / m)) - 1)^(1 / n)) / alpha / 10000)</f>
        <v>#NUM!</v>
      </c>
    </row>
    <row r="50" spans="17:31">
      <c r="Q50" s="118">
        <v>0.43</v>
      </c>
      <c r="R50" s="117">
        <f t="shared" si="12"/>
        <v>1.8333333333333328</v>
      </c>
      <c r="S50" s="129">
        <f t="shared" si="13"/>
        <v>464.20993982626999</v>
      </c>
      <c r="T50" s="129">
        <f t="shared" si="14"/>
        <v>89.706063496372735</v>
      </c>
      <c r="U50" s="129">
        <f t="shared" si="15"/>
        <v>18.321239624192245</v>
      </c>
      <c r="V50" s="129">
        <f t="shared" si="16"/>
        <v>1.368385593142037</v>
      </c>
      <c r="W50" s="129">
        <f t="shared" si="17"/>
        <v>0.29839751798850311</v>
      </c>
      <c r="X50" s="129">
        <f t="shared" si="18"/>
        <v>8.3207940750375742E-2</v>
      </c>
      <c r="Y50" s="129">
        <f t="shared" si="19"/>
        <v>1.3643637582986048</v>
      </c>
      <c r="Z50" s="129">
        <f t="shared" si="20"/>
        <v>0.29740822170542786</v>
      </c>
      <c r="AA50" s="135">
        <f t="shared" si="21"/>
        <v>8.2831751170140466E-2</v>
      </c>
      <c r="AC50" s="158">
        <f t="shared" si="0"/>
        <v>0.43</v>
      </c>
      <c r="AD50" s="159">
        <f t="shared" si="1"/>
        <v>1.8333333333333328</v>
      </c>
      <c r="AE50" s="160" t="e">
        <f>(-1 * ((((1 / AD50)^(1 / m)) - 1)^(1 / n)) / alpha / 10000)</f>
        <v>#NUM!</v>
      </c>
    </row>
    <row r="51" spans="17:31">
      <c r="Q51" s="118">
        <v>0.44</v>
      </c>
      <c r="R51" s="117">
        <f t="shared" si="12"/>
        <v>1.8888888888888884</v>
      </c>
      <c r="S51" s="129">
        <f t="shared" si="13"/>
        <v>519.20860633287589</v>
      </c>
      <c r="T51" s="129">
        <f t="shared" si="14"/>
        <v>100.33425872998592</v>
      </c>
      <c r="U51" s="129">
        <f t="shared" si="15"/>
        <v>20.491903501953399</v>
      </c>
      <c r="V51" s="129">
        <f t="shared" si="16"/>
        <v>1.368385593142037</v>
      </c>
      <c r="W51" s="129">
        <f t="shared" si="17"/>
        <v>0.29839751798850311</v>
      </c>
      <c r="X51" s="129">
        <f t="shared" si="18"/>
        <v>8.3207940750375742E-2</v>
      </c>
      <c r="Y51" s="129">
        <f t="shared" si="19"/>
        <v>1.3647886628885679</v>
      </c>
      <c r="Z51" s="129">
        <f t="shared" si="20"/>
        <v>0.29751270502557897</v>
      </c>
      <c r="AA51" s="135">
        <f t="shared" si="21"/>
        <v>8.2871438981080431E-2</v>
      </c>
      <c r="AC51" s="158">
        <f t="shared" si="0"/>
        <v>0.44</v>
      </c>
      <c r="AD51" s="159">
        <f t="shared" si="1"/>
        <v>1.8888888888888884</v>
      </c>
      <c r="AE51" s="160" t="e">
        <f>(-1 * ((((1 / AD51)^(1 / m)) - 1)^(1 / n)) / alpha / 10000)</f>
        <v>#NUM!</v>
      </c>
    </row>
    <row r="52" spans="17:31">
      <c r="Q52" s="118">
        <v>0.45</v>
      </c>
      <c r="R52" s="117">
        <f t="shared" si="12"/>
        <v>1.9444444444444442</v>
      </c>
      <c r="S52" s="129">
        <f t="shared" si="13"/>
        <v>579.36580955449483</v>
      </c>
      <c r="T52" s="129">
        <f t="shared" si="14"/>
        <v>111.95931332054977</v>
      </c>
      <c r="U52" s="129">
        <f t="shared" si="15"/>
        <v>22.866162303384904</v>
      </c>
      <c r="V52" s="129">
        <f t="shared" si="16"/>
        <v>1.368385593142037</v>
      </c>
      <c r="W52" s="129">
        <f t="shared" si="17"/>
        <v>0.29839751798850311</v>
      </c>
      <c r="X52" s="129">
        <f t="shared" si="18"/>
        <v>8.3207940750375742E-2</v>
      </c>
      <c r="Y52" s="129">
        <f t="shared" si="19"/>
        <v>1.3651612623773528</v>
      </c>
      <c r="Z52" s="129">
        <f t="shared" si="20"/>
        <v>0.29760433346624104</v>
      </c>
      <c r="AA52" s="135">
        <f t="shared" si="21"/>
        <v>8.2906252236474701E-2</v>
      </c>
      <c r="AC52" s="158">
        <f t="shared" si="0"/>
        <v>0.45</v>
      </c>
      <c r="AD52" s="159">
        <f t="shared" si="1"/>
        <v>1.9444444444444442</v>
      </c>
      <c r="AE52" s="160" t="e">
        <f>(-1 * ((((1 / AD52)^(1 / m)) - 1)^(1 / n)) / alpha / 10000)</f>
        <v>#NUM!</v>
      </c>
    </row>
    <row r="53" spans="17:31">
      <c r="Q53" s="118">
        <v>0.46</v>
      </c>
      <c r="R53" s="117">
        <f t="shared" si="12"/>
        <v>1.9999999999999998</v>
      </c>
      <c r="S53" s="129">
        <f t="shared" si="13"/>
        <v>645.0583729527134</v>
      </c>
      <c r="T53" s="129">
        <f t="shared" si="14"/>
        <v>124.65404636664859</v>
      </c>
      <c r="U53" s="129">
        <f t="shared" si="15"/>
        <v>25.458888335913716</v>
      </c>
      <c r="V53" s="129">
        <f t="shared" si="16"/>
        <v>1.368385593142037</v>
      </c>
      <c r="W53" s="129">
        <f t="shared" si="17"/>
        <v>0.29839751798850311</v>
      </c>
      <c r="X53" s="129">
        <f t="shared" si="18"/>
        <v>8.3207940750375742E-2</v>
      </c>
      <c r="Y53" s="129">
        <f t="shared" si="19"/>
        <v>1.3654889322183295</v>
      </c>
      <c r="Z53" s="129">
        <f t="shared" si="20"/>
        <v>0.29768491825076682</v>
      </c>
      <c r="AA53" s="135">
        <f t="shared" si="21"/>
        <v>8.2936876021430864E-2</v>
      </c>
      <c r="AC53" s="158">
        <f t="shared" si="0"/>
        <v>0.46</v>
      </c>
      <c r="AD53" s="159">
        <f t="shared" si="1"/>
        <v>1.9999999999999998</v>
      </c>
      <c r="AE53" s="160" t="e">
        <f>(-1 * ((((1 / AD53)^(1 / m)) - 1)^(1 / n)) / alpha / 10000)</f>
        <v>#NUM!</v>
      </c>
    </row>
    <row r="54" spans="17:31">
      <c r="Q54" s="118">
        <v>0.47</v>
      </c>
      <c r="R54" s="117">
        <f t="shared" si="12"/>
        <v>2.0555555555555554</v>
      </c>
      <c r="S54" s="129">
        <f t="shared" si="13"/>
        <v>716.68556687722617</v>
      </c>
      <c r="T54" s="129">
        <f t="shared" si="14"/>
        <v>138.49561470674928</v>
      </c>
      <c r="U54" s="129">
        <f t="shared" si="15"/>
        <v>28.285839831158757</v>
      </c>
      <c r="V54" s="129">
        <f t="shared" si="16"/>
        <v>1.368385593142037</v>
      </c>
      <c r="W54" s="129">
        <f t="shared" si="17"/>
        <v>0.29839751798850311</v>
      </c>
      <c r="X54" s="129">
        <f t="shared" si="18"/>
        <v>8.3207940750375742E-2</v>
      </c>
      <c r="Y54" s="129">
        <f t="shared" si="19"/>
        <v>1.3657778794388025</v>
      </c>
      <c r="Z54" s="129">
        <f t="shared" si="20"/>
        <v>0.29775598398199621</v>
      </c>
      <c r="AA54" s="135">
        <f t="shared" si="21"/>
        <v>8.2963887391250532E-2</v>
      </c>
      <c r="AC54" s="158">
        <f t="shared" si="0"/>
        <v>0.47</v>
      </c>
      <c r="AD54" s="159">
        <f t="shared" si="1"/>
        <v>2.0555555555555554</v>
      </c>
      <c r="AE54" s="160" t="e">
        <f>(-1 * ((((1 / AD54)^(1 / m)) - 1)^(1 / n)) / alpha / 10000)</f>
        <v>#NUM!</v>
      </c>
    </row>
    <row r="55" spans="17:31">
      <c r="Q55" s="118">
        <v>0.48</v>
      </c>
      <c r="R55" s="117">
        <f t="shared" si="12"/>
        <v>2.1111111111111107</v>
      </c>
      <c r="S55" s="129">
        <f t="shared" si="13"/>
        <v>794.6704843560924</v>
      </c>
      <c r="T55" s="129">
        <f t="shared" si="14"/>
        <v>153.56577878323736</v>
      </c>
      <c r="U55" s="129">
        <f t="shared" si="15"/>
        <v>31.36371524403312</v>
      </c>
      <c r="V55" s="129">
        <f t="shared" si="16"/>
        <v>1.368385593142037</v>
      </c>
      <c r="W55" s="129">
        <f t="shared" si="17"/>
        <v>0.29839751798850311</v>
      </c>
      <c r="X55" s="129">
        <f t="shared" si="18"/>
        <v>8.3207940750375742E-2</v>
      </c>
      <c r="Y55" s="129">
        <f t="shared" si="19"/>
        <v>1.3660333472879647</v>
      </c>
      <c r="Z55" s="129">
        <f t="shared" si="20"/>
        <v>0.29781881876895649</v>
      </c>
      <c r="AA55" s="135">
        <f t="shared" si="21"/>
        <v>8.2987774174357001E-2</v>
      </c>
      <c r="AC55" s="158">
        <f t="shared" si="0"/>
        <v>0.48</v>
      </c>
      <c r="AD55" s="159">
        <f t="shared" si="1"/>
        <v>2.1111111111111107</v>
      </c>
      <c r="AE55" s="160" t="e">
        <f>(-1 * ((((1 / AD55)^(1 / m)) - 1)^(1 / n)) / alpha / 10000)</f>
        <v>#NUM!</v>
      </c>
    </row>
    <row r="56" spans="17:31">
      <c r="Q56" s="118">
        <v>0.49</v>
      </c>
      <c r="R56" s="117">
        <f t="shared" si="12"/>
        <v>2.1666666666666665</v>
      </c>
      <c r="S56" s="129">
        <f t="shared" si="13"/>
        <v>879.46153167748651</v>
      </c>
      <c r="T56" s="129">
        <f t="shared" si="14"/>
        <v>169.95119068928912</v>
      </c>
      <c r="U56" s="129">
        <f t="shared" si="15"/>
        <v>34.710212082387926</v>
      </c>
      <c r="V56" s="129">
        <f t="shared" si="16"/>
        <v>1.368385593142037</v>
      </c>
      <c r="W56" s="129">
        <f t="shared" si="17"/>
        <v>0.29839751798850311</v>
      </c>
      <c r="X56" s="129">
        <f t="shared" si="18"/>
        <v>8.3207940750375742E-2</v>
      </c>
      <c r="Y56" s="129">
        <f t="shared" si="19"/>
        <v>1.366259780774854</v>
      </c>
      <c r="Z56" s="129">
        <f t="shared" si="20"/>
        <v>0.29787451479255239</v>
      </c>
      <c r="AA56" s="135">
        <f t="shared" si="21"/>
        <v>8.3008950211379759E-2</v>
      </c>
      <c r="AC56" s="158">
        <f t="shared" si="0"/>
        <v>0.49</v>
      </c>
      <c r="AD56" s="159">
        <f t="shared" si="1"/>
        <v>2.1666666666666665</v>
      </c>
      <c r="AE56" s="160" t="e">
        <f>(-1 * ((((1 / AD56)^(1 / m)) - 1)^(1 / n)) / alpha / 10000)</f>
        <v>#NUM!</v>
      </c>
    </row>
    <row r="57" spans="17:31">
      <c r="Q57" s="118">
        <v>0.5</v>
      </c>
      <c r="R57" s="117">
        <f t="shared" si="12"/>
        <v>2.2222222222222219</v>
      </c>
      <c r="S57" s="129">
        <f t="shared" si="13"/>
        <v>971.53404598375982</v>
      </c>
      <c r="T57" s="129">
        <f t="shared" si="14"/>
        <v>187.74370676018657</v>
      </c>
      <c r="U57" s="129">
        <f t="shared" si="15"/>
        <v>38.344090749523787</v>
      </c>
      <c r="V57" s="129">
        <f t="shared" si="16"/>
        <v>1.368385593142037</v>
      </c>
      <c r="W57" s="129">
        <f t="shared" si="17"/>
        <v>0.29839751798850311</v>
      </c>
      <c r="X57" s="129">
        <f t="shared" si="18"/>
        <v>8.3207940750375742E-2</v>
      </c>
      <c r="Y57" s="129">
        <f t="shared" si="19"/>
        <v>1.3664609611637988</v>
      </c>
      <c r="Z57" s="129">
        <f t="shared" si="20"/>
        <v>0.29792400127753299</v>
      </c>
      <c r="AA57" s="135">
        <f t="shared" si="21"/>
        <v>8.3027767757740428E-2</v>
      </c>
      <c r="AC57" s="158">
        <f t="shared" si="0"/>
        <v>0.5</v>
      </c>
      <c r="AD57" s="159">
        <f t="shared" si="1"/>
        <v>2.2222222222222219</v>
      </c>
      <c r="AE57" s="160" t="e">
        <f>(-1 * ((((1 / AD57)^(1 / m)) - 1)^(1 / n)) / alpha / 10000)</f>
        <v>#NUM!</v>
      </c>
    </row>
    <row r="58" spans="17:31">
      <c r="Q58" s="118">
        <v>0.51</v>
      </c>
      <c r="R58" s="117">
        <f t="shared" si="12"/>
        <v>2.2777777777777777</v>
      </c>
      <c r="S58" s="129">
        <f t="shared" si="13"/>
        <v>1071.3920536639166</v>
      </c>
      <c r="T58" s="129">
        <f t="shared" si="14"/>
        <v>207.04072737316591</v>
      </c>
      <c r="U58" s="129">
        <f t="shared" si="15"/>
        <v>42.285243943674004</v>
      </c>
      <c r="V58" s="129">
        <f t="shared" si="16"/>
        <v>1.368385593142037</v>
      </c>
      <c r="W58" s="129">
        <f t="shared" si="17"/>
        <v>0.29839751798850311</v>
      </c>
      <c r="X58" s="129">
        <f t="shared" si="18"/>
        <v>8.3207940750375742E-2</v>
      </c>
      <c r="Y58" s="129">
        <f t="shared" si="19"/>
        <v>1.3666401157148349</v>
      </c>
      <c r="Z58" s="129">
        <f t="shared" si="20"/>
        <v>0.29796807140533438</v>
      </c>
      <c r="AA58" s="135">
        <f t="shared" si="21"/>
        <v>8.3044527618765351E-2</v>
      </c>
      <c r="AC58" s="158">
        <f t="shared" si="0"/>
        <v>0.51</v>
      </c>
      <c r="AD58" s="159">
        <f t="shared" si="1"/>
        <v>2.2777777777777777</v>
      </c>
      <c r="AE58" s="160" t="e">
        <f>(-1 * ((((1 / AD58)^(1 / m)) - 1)^(1 / n)) / alpha / 10000)</f>
        <v>#NUM!</v>
      </c>
    </row>
    <row r="59" spans="17:31">
      <c r="Q59" s="118">
        <v>0.52</v>
      </c>
      <c r="R59" s="117">
        <f t="shared" si="12"/>
        <v>2.3333333333333335</v>
      </c>
      <c r="S59" s="129">
        <f t="shared" si="13"/>
        <v>1179.570185134248</v>
      </c>
      <c r="T59" s="129">
        <f t="shared" si="14"/>
        <v>227.94556696843242</v>
      </c>
      <c r="U59" s="129">
        <f t="shared" si="15"/>
        <v>46.554772229748735</v>
      </c>
      <c r="V59" s="129">
        <f t="shared" si="16"/>
        <v>1.368385593142037</v>
      </c>
      <c r="W59" s="129">
        <f t="shared" si="17"/>
        <v>0.29839751798850311</v>
      </c>
      <c r="X59" s="129">
        <f t="shared" si="18"/>
        <v>8.3207940750375742E-2</v>
      </c>
      <c r="Y59" s="129">
        <f t="shared" si="19"/>
        <v>1.3668000075934463</v>
      </c>
      <c r="Z59" s="129">
        <f t="shared" si="20"/>
        <v>0.29800740437063789</v>
      </c>
      <c r="AA59" s="135">
        <f t="shared" si="21"/>
        <v>8.3059487464478568E-2</v>
      </c>
      <c r="AC59" s="158">
        <f t="shared" si="0"/>
        <v>0.52</v>
      </c>
      <c r="AD59" s="159">
        <f t="shared" si="1"/>
        <v>2.3333333333333335</v>
      </c>
      <c r="AE59" s="160" t="e">
        <f>(-1 * ((((1 / AD59)^(1 / m)) - 1)^(1 / n)) / alpha / 10000)</f>
        <v>#NUM!</v>
      </c>
    </row>
    <row r="60" spans="17:31">
      <c r="Q60" s="118">
        <v>0.53</v>
      </c>
      <c r="R60" s="117">
        <f t="shared" si="12"/>
        <v>2.3888888888888888</v>
      </c>
      <c r="S60" s="129">
        <f t="shared" si="13"/>
        <v>1296.6357636807979</v>
      </c>
      <c r="T60" s="129">
        <f t="shared" si="14"/>
        <v>250.56785770668458</v>
      </c>
      <c r="U60" s="129">
        <f t="shared" si="15"/>
        <v>51.175066480877277</v>
      </c>
      <c r="V60" s="129">
        <f t="shared" si="16"/>
        <v>1.368385593142037</v>
      </c>
      <c r="W60" s="129">
        <f t="shared" si="17"/>
        <v>0.29839751798850311</v>
      </c>
      <c r="X60" s="129">
        <f t="shared" si="18"/>
        <v>8.3207940750375742E-2</v>
      </c>
      <c r="Y60" s="129">
        <f t="shared" si="19"/>
        <v>1.3669430098247448</v>
      </c>
      <c r="Z60" s="129">
        <f t="shared" si="20"/>
        <v>0.29804258352885665</v>
      </c>
      <c r="AA60" s="135">
        <f t="shared" si="21"/>
        <v>8.3072868676997549E-2</v>
      </c>
      <c r="AC60" s="158">
        <f t="shared" si="0"/>
        <v>0.53</v>
      </c>
      <c r="AD60" s="159">
        <f t="shared" si="1"/>
        <v>2.3888888888888888</v>
      </c>
      <c r="AE60" s="160" t="e">
        <f>(-1 * ((((1 / AD60)^(1 / m)) - 1)^(1 / n)) / alpha / 10000)</f>
        <v>#NUM!</v>
      </c>
    </row>
    <row r="61" spans="17:31">
      <c r="Q61" s="118">
        <v>0.54</v>
      </c>
      <c r="R61" s="117">
        <f t="shared" si="12"/>
        <v>2.4444444444444446</v>
      </c>
      <c r="S61" s="129">
        <f t="shared" si="13"/>
        <v>1423.1910884521617</v>
      </c>
      <c r="T61" s="129">
        <f t="shared" si="14"/>
        <v>275.02399064514083</v>
      </c>
      <c r="U61" s="129">
        <f t="shared" si="15"/>
        <v>56.169897982592602</v>
      </c>
      <c r="V61" s="129">
        <f t="shared" si="16"/>
        <v>1.368385593142037</v>
      </c>
      <c r="W61" s="129">
        <f t="shared" si="17"/>
        <v>0.29839751798850311</v>
      </c>
      <c r="X61" s="129">
        <f t="shared" si="18"/>
        <v>8.3207940750375742E-2</v>
      </c>
      <c r="Y61" s="129">
        <f t="shared" si="19"/>
        <v>1.3670711663556274</v>
      </c>
      <c r="Z61" s="129">
        <f t="shared" si="20"/>
        <v>0.29807411138384682</v>
      </c>
      <c r="AA61" s="135">
        <f t="shared" si="21"/>
        <v>8.3084862010272875E-2</v>
      </c>
      <c r="AC61" s="158">
        <f t="shared" si="0"/>
        <v>0.54</v>
      </c>
      <c r="AD61" s="159">
        <f t="shared" si="1"/>
        <v>2.4444444444444446</v>
      </c>
      <c r="AE61" s="160" t="e">
        <f>(-1 * ((((1 / AD61)^(1 / m)) - 1)^(1 / n)) / alpha / 10000)</f>
        <v>#NUM!</v>
      </c>
    </row>
    <row r="62" spans="17:31">
      <c r="Q62" s="118">
        <v>0.55000000000000004</v>
      </c>
      <c r="R62" s="117">
        <f t="shared" si="12"/>
        <v>2.5</v>
      </c>
      <c r="S62" s="129">
        <f t="shared" si="13"/>
        <v>1559.8759344976083</v>
      </c>
      <c r="T62" s="129">
        <f t="shared" si="14"/>
        <v>301.43759885640316</v>
      </c>
      <c r="U62" s="129">
        <f t="shared" si="15"/>
        <v>61.56451710326818</v>
      </c>
      <c r="V62" s="129">
        <f t="shared" si="16"/>
        <v>1.368385593142037</v>
      </c>
      <c r="W62" s="129">
        <f t="shared" si="17"/>
        <v>0.29839751798850311</v>
      </c>
      <c r="X62" s="129">
        <f t="shared" si="18"/>
        <v>8.3207940750375742E-2</v>
      </c>
      <c r="Y62" s="129">
        <f t="shared" si="19"/>
        <v>1.3671862426576684</v>
      </c>
      <c r="Z62" s="129">
        <f t="shared" si="20"/>
        <v>0.29810242201118653</v>
      </c>
      <c r="AA62" s="135">
        <f t="shared" si="21"/>
        <v>8.3095632284832618E-2</v>
      </c>
      <c r="AC62" s="158">
        <f t="shared" si="0"/>
        <v>0.55000000000000004</v>
      </c>
      <c r="AD62" s="159">
        <f t="shared" si="1"/>
        <v>2.5</v>
      </c>
      <c r="AE62" s="160" t="e">
        <f>(-1 * ((((1 / AD62)^(1 / m)) - 1)^(1 / n)) / alpha / 10000)</f>
        <v>#NUM!</v>
      </c>
    </row>
    <row r="63" spans="17:31">
      <c r="Q63" s="118">
        <v>0.56000000000000005</v>
      </c>
      <c r="R63" s="117">
        <f t="shared" si="12"/>
        <v>2.5555555555555558</v>
      </c>
      <c r="S63" s="129">
        <f t="shared" si="13"/>
        <v>1707.3702960174396</v>
      </c>
      <c r="T63" s="129">
        <f t="shared" si="14"/>
        <v>329.94008754677179</v>
      </c>
      <c r="U63" s="129">
        <f t="shared" si="15"/>
        <v>67.385761563551384</v>
      </c>
      <c r="V63" s="129">
        <f t="shared" si="16"/>
        <v>1.368385593142037</v>
      </c>
      <c r="W63" s="129">
        <f t="shared" si="17"/>
        <v>0.29839751798850311</v>
      </c>
      <c r="X63" s="129">
        <f t="shared" si="18"/>
        <v>8.3207940750375742E-2</v>
      </c>
      <c r="Y63" s="129">
        <f t="shared" si="19"/>
        <v>1.367289767810949</v>
      </c>
      <c r="Z63" s="129">
        <f t="shared" si="20"/>
        <v>0.29812789139206253</v>
      </c>
      <c r="AA63" s="135">
        <f t="shared" si="21"/>
        <v>8.3105322295480316E-2</v>
      </c>
      <c r="AC63" s="158">
        <f t="shared" si="0"/>
        <v>0.56000000000000005</v>
      </c>
      <c r="AD63" s="159">
        <f t="shared" si="1"/>
        <v>2.5555555555555558</v>
      </c>
      <c r="AE63" s="160" t="e">
        <f>(-1 * ((((1 / AD63)^(1 / m)) - 1)^(1 / n)) / alpha / 10000)</f>
        <v>#NUM!</v>
      </c>
    </row>
    <row r="64" spans="17:31">
      <c r="Q64" s="118">
        <v>0.56999999999999995</v>
      </c>
      <c r="R64" s="117">
        <f t="shared" si="12"/>
        <v>2.6111111111111107</v>
      </c>
      <c r="S64" s="129">
        <f t="shared" si="13"/>
        <v>1866.3974028194343</v>
      </c>
      <c r="T64" s="129">
        <f t="shared" si="14"/>
        <v>360.67121697015966</v>
      </c>
      <c r="U64" s="129">
        <f t="shared" si="15"/>
        <v>73.662175488577972</v>
      </c>
      <c r="V64" s="129">
        <f t="shared" si="16"/>
        <v>1.368385593142037</v>
      </c>
      <c r="W64" s="129">
        <f t="shared" si="17"/>
        <v>0.29839751798850311</v>
      </c>
      <c r="X64" s="129">
        <f t="shared" si="18"/>
        <v>8.3207940750375742E-2</v>
      </c>
      <c r="Y64" s="129">
        <f t="shared" si="19"/>
        <v>1.3673830696226883</v>
      </c>
      <c r="Z64" s="129">
        <f t="shared" si="20"/>
        <v>0.29815084603837799</v>
      </c>
      <c r="AA64" s="135">
        <f t="shared" si="21"/>
        <v>8.3114056074726148E-2</v>
      </c>
      <c r="AC64" s="158">
        <f t="shared" si="0"/>
        <v>0.56999999999999995</v>
      </c>
      <c r="AD64" s="159">
        <f t="shared" si="1"/>
        <v>2.6111111111111107</v>
      </c>
      <c r="AE64" s="160" t="e">
        <f>(-1 * ((((1 / AD64)^(1 / m)) - 1)^(1 / n)) / alpha / 10000)</f>
        <v>#NUM!</v>
      </c>
    </row>
    <row r="65" spans="17:31">
      <c r="Q65" s="118">
        <v>0.57999999999999996</v>
      </c>
      <c r="R65" s="117">
        <f t="shared" si="12"/>
        <v>2.6666666666666661</v>
      </c>
      <c r="S65" s="129">
        <f t="shared" si="13"/>
        <v>2037.7270444667847</v>
      </c>
      <c r="T65" s="129">
        <f t="shared" si="14"/>
        <v>393.77974480172645</v>
      </c>
      <c r="U65" s="129">
        <f t="shared" si="15"/>
        <v>80.424140604023052</v>
      </c>
      <c r="V65" s="129">
        <f t="shared" si="16"/>
        <v>1.368385593142037</v>
      </c>
      <c r="W65" s="129">
        <f t="shared" si="17"/>
        <v>0.29839751798850311</v>
      </c>
      <c r="X65" s="129">
        <f t="shared" si="18"/>
        <v>8.3207940750375742E-2</v>
      </c>
      <c r="Y65" s="129">
        <f t="shared" si="19"/>
        <v>1.3674673040301519</v>
      </c>
      <c r="Z65" s="129">
        <f t="shared" si="20"/>
        <v>0.29817157021525803</v>
      </c>
      <c r="AA65" s="135">
        <f t="shared" si="21"/>
        <v>8.3121941626953272E-2</v>
      </c>
      <c r="AC65" s="158">
        <f t="shared" si="0"/>
        <v>0.57999999999999996</v>
      </c>
      <c r="AD65" s="159">
        <f t="shared" si="1"/>
        <v>2.6666666666666661</v>
      </c>
      <c r="AE65" s="160" t="e">
        <f>(-1 * ((((1 / AD65)^(1 / m)) - 1)^(1 / n)) / alpha / 10000)</f>
        <v>#NUM!</v>
      </c>
    </row>
    <row r="66" spans="17:31">
      <c r="Q66" s="118">
        <v>0.59</v>
      </c>
      <c r="R66" s="117">
        <f t="shared" si="12"/>
        <v>2.7222222222222219</v>
      </c>
      <c r="S66" s="129">
        <f t="shared" si="13"/>
        <v>2222.179241892828</v>
      </c>
      <c r="T66" s="129">
        <f t="shared" si="14"/>
        <v>429.42413565759352</v>
      </c>
      <c r="U66" s="129">
        <f t="shared" si="15"/>
        <v>87.704021145822921</v>
      </c>
      <c r="V66" s="129">
        <f t="shared" si="16"/>
        <v>1.368385593142037</v>
      </c>
      <c r="W66" s="129">
        <f t="shared" si="17"/>
        <v>0.29839751798850311</v>
      </c>
      <c r="X66" s="129">
        <f t="shared" si="18"/>
        <v>8.3207940750375742E-2</v>
      </c>
      <c r="Y66" s="129">
        <f t="shared" si="19"/>
        <v>1.3675434797965111</v>
      </c>
      <c r="Z66" s="129">
        <f t="shared" si="20"/>
        <v>0.29819031200820761</v>
      </c>
      <c r="AA66" s="135">
        <f t="shared" si="21"/>
        <v>8.3129073226295563E-2</v>
      </c>
      <c r="AC66" s="158">
        <f t="shared" si="0"/>
        <v>0.59</v>
      </c>
      <c r="AD66" s="159">
        <f t="shared" si="1"/>
        <v>2.7222222222222219</v>
      </c>
      <c r="AE66" s="160" t="e">
        <f>(-1 * ((((1 / AD66)^(1 / m)) - 1)^(1 / n)) / alpha / 10000)</f>
        <v>#NUM!</v>
      </c>
    </row>
    <row r="67" spans="17:31">
      <c r="Q67" s="119">
        <v>0.6</v>
      </c>
      <c r="R67" s="130">
        <f>MAX((Q67-rc_vg)/(sc_vg-rc_vg),0)</f>
        <v>2.7777777777777772</v>
      </c>
      <c r="S67" s="131">
        <f t="shared" si="13"/>
        <v>2420.6283125120053</v>
      </c>
      <c r="T67" s="131">
        <f t="shared" si="14"/>
        <v>467.7733466555797</v>
      </c>
      <c r="U67" s="131">
        <f t="shared" si="15"/>
        <v>95.536324300238149</v>
      </c>
      <c r="V67" s="131">
        <f t="shared" si="16"/>
        <v>1.368385593142037</v>
      </c>
      <c r="W67" s="131">
        <f t="shared" si="17"/>
        <v>0.29839751798850311</v>
      </c>
      <c r="X67" s="131">
        <f t="shared" si="18"/>
        <v>8.3207940750375742E-2</v>
      </c>
      <c r="Y67" s="131">
        <f t="shared" si="19"/>
        <v>1.3676124793169921</v>
      </c>
      <c r="Z67" s="131">
        <f t="shared" si="20"/>
        <v>0.29820728843534156</v>
      </c>
      <c r="AA67" s="136">
        <f t="shared" si="21"/>
        <v>8.3135533353668661E-2</v>
      </c>
      <c r="AC67" s="161">
        <f t="shared" si="0"/>
        <v>0.6</v>
      </c>
      <c r="AD67" s="162">
        <f t="shared" si="1"/>
        <v>2.7777777777777772</v>
      </c>
      <c r="AE67" s="163" t="e">
        <f>(-1 * ((((1 / AD67)^(1 / m)) - 1)^(1 / n)) / alpha / 10000)</f>
        <v>#NUM!</v>
      </c>
    </row>
  </sheetData>
  <sheetProtection formatCells="0"/>
  <phoneticPr fontId="40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FD7BA-9C33-F547-9AC6-C27B4D692E2A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2D1FA-6D1A-5B47-9BFC-4C8DE5F35F87}">
  <dimension ref="E1:O23"/>
  <sheetViews>
    <sheetView tabSelected="1" topLeftCell="D1" zoomScale="150" workbookViewId="0">
      <selection activeCell="H11" sqref="H11"/>
    </sheetView>
  </sheetViews>
  <sheetFormatPr baseColWidth="10" defaultRowHeight="16"/>
  <cols>
    <col min="9" max="9" width="15.83203125" customWidth="1"/>
    <col min="10" max="10" width="15.1640625" customWidth="1"/>
    <col min="11" max="11" width="15.33203125" customWidth="1"/>
  </cols>
  <sheetData>
    <row r="1" spans="5:15">
      <c r="E1" s="170" t="s">
        <v>170</v>
      </c>
    </row>
    <row r="2" spans="5:15">
      <c r="E2" t="s">
        <v>169</v>
      </c>
    </row>
    <row r="3" spans="5:15">
      <c r="E3" t="s">
        <v>171</v>
      </c>
    </row>
    <row r="5" spans="5:15" ht="18">
      <c r="I5" t="s">
        <v>166</v>
      </c>
      <c r="J5" s="167" t="s">
        <v>167</v>
      </c>
      <c r="K5" s="168" t="s">
        <v>168</v>
      </c>
      <c r="L5" t="s">
        <v>38</v>
      </c>
      <c r="M5" t="s">
        <v>37</v>
      </c>
      <c r="N5" t="s">
        <v>9</v>
      </c>
      <c r="O5" t="s">
        <v>36</v>
      </c>
    </row>
    <row r="6" spans="5:15">
      <c r="I6" s="164"/>
      <c r="J6" s="164">
        <v>0.43</v>
      </c>
      <c r="K6" s="164">
        <v>4.4999999999999998E-2</v>
      </c>
      <c r="L6" s="164">
        <v>0.14499999999999999</v>
      </c>
      <c r="M6" s="164">
        <v>2.68</v>
      </c>
      <c r="N6" s="164">
        <v>399.68796033994334</v>
      </c>
      <c r="O6" s="165">
        <v>0.5</v>
      </c>
    </row>
    <row r="7" spans="5:15">
      <c r="I7" s="164" t="s">
        <v>155</v>
      </c>
      <c r="J7" s="164">
        <v>0.41</v>
      </c>
      <c r="K7" s="164">
        <v>5.7000000000000002E-2</v>
      </c>
      <c r="L7" s="164">
        <v>0.124</v>
      </c>
      <c r="M7" s="164">
        <v>2.2799999999999998</v>
      </c>
      <c r="N7" s="164">
        <v>196.36745750708218</v>
      </c>
      <c r="O7" s="165">
        <v>0.5</v>
      </c>
    </row>
    <row r="8" spans="5:15">
      <c r="I8" s="164" t="s">
        <v>156</v>
      </c>
      <c r="J8" s="166">
        <v>0.41</v>
      </c>
      <c r="K8" s="166">
        <v>6.5000000000000002E-2</v>
      </c>
      <c r="L8" s="166">
        <v>7.4999999999999997E-2</v>
      </c>
      <c r="M8" s="166">
        <v>1.89</v>
      </c>
      <c r="N8" s="166">
        <v>59.493395892351273</v>
      </c>
      <c r="O8" s="165">
        <v>0.5</v>
      </c>
    </row>
    <row r="9" spans="5:15">
      <c r="I9" s="164" t="s">
        <v>157</v>
      </c>
      <c r="J9" s="166">
        <v>0.43</v>
      </c>
      <c r="K9" s="166">
        <v>7.8E-2</v>
      </c>
      <c r="L9" s="166">
        <v>3.5999999999999997E-2</v>
      </c>
      <c r="M9" s="166">
        <v>1.56</v>
      </c>
      <c r="N9" s="166">
        <v>13.995807365439095</v>
      </c>
      <c r="O9" s="165">
        <v>0.5</v>
      </c>
    </row>
    <row r="10" spans="5:15">
      <c r="I10" s="164" t="s">
        <v>158</v>
      </c>
      <c r="J10" s="164">
        <v>0.46</v>
      </c>
      <c r="K10" s="164">
        <v>3.4000000000000002E-2</v>
      </c>
      <c r="L10" s="164">
        <v>1.6E-2</v>
      </c>
      <c r="M10" s="164">
        <v>1.37</v>
      </c>
      <c r="N10" s="164">
        <v>3.3643767705382435</v>
      </c>
      <c r="O10" s="165">
        <v>0.5</v>
      </c>
    </row>
    <row r="11" spans="5:15">
      <c r="I11" s="164" t="s">
        <v>159</v>
      </c>
      <c r="J11" s="164">
        <v>0.45</v>
      </c>
      <c r="K11" s="164">
        <v>6.7000000000000004E-2</v>
      </c>
      <c r="L11" s="164">
        <v>0.02</v>
      </c>
      <c r="M11" s="164">
        <v>1.41</v>
      </c>
      <c r="N11" s="164">
        <v>6.0558781869688394</v>
      </c>
      <c r="O11" s="165">
        <v>0.5</v>
      </c>
    </row>
    <row r="12" spans="5:15">
      <c r="I12" s="164" t="s">
        <v>160</v>
      </c>
      <c r="J12" s="164">
        <v>0.39</v>
      </c>
      <c r="K12" s="164">
        <v>0.1</v>
      </c>
      <c r="L12" s="164">
        <v>5.8999999999999997E-2</v>
      </c>
      <c r="M12" s="164">
        <v>1.48</v>
      </c>
      <c r="N12" s="164">
        <v>17.629334277620398</v>
      </c>
      <c r="O12" s="165">
        <v>0.5</v>
      </c>
    </row>
    <row r="13" spans="5:15">
      <c r="I13" s="164" t="s">
        <v>161</v>
      </c>
      <c r="J13" s="164">
        <v>0.41</v>
      </c>
      <c r="K13" s="164">
        <v>9.5000000000000001E-2</v>
      </c>
      <c r="L13" s="164">
        <v>1.9E-2</v>
      </c>
      <c r="M13" s="164">
        <v>1.31</v>
      </c>
      <c r="N13" s="164">
        <v>3.4989518413597738</v>
      </c>
      <c r="O13" s="165">
        <v>0.5</v>
      </c>
    </row>
    <row r="14" spans="5:15">
      <c r="I14" s="164" t="s">
        <v>162</v>
      </c>
      <c r="J14" s="164">
        <v>0.43</v>
      </c>
      <c r="K14" s="164">
        <v>8.8999999999999996E-2</v>
      </c>
      <c r="L14" s="164">
        <v>0.01</v>
      </c>
      <c r="M14" s="164">
        <v>1.23</v>
      </c>
      <c r="N14" s="164">
        <v>0.94202549575070804</v>
      </c>
      <c r="O14" s="165">
        <v>0.5</v>
      </c>
    </row>
    <row r="15" spans="5:15">
      <c r="I15" s="164" t="s">
        <v>163</v>
      </c>
      <c r="J15" s="164">
        <v>0.38</v>
      </c>
      <c r="K15" s="164">
        <v>0.1</v>
      </c>
      <c r="L15" s="164">
        <v>2.7E-2</v>
      </c>
      <c r="M15" s="164">
        <v>1.23</v>
      </c>
      <c r="N15" s="164">
        <v>1.6149008498583568</v>
      </c>
      <c r="O15" s="165">
        <v>0.5</v>
      </c>
    </row>
    <row r="16" spans="5:15">
      <c r="I16" s="164" t="s">
        <v>164</v>
      </c>
      <c r="J16" s="164">
        <v>0.36</v>
      </c>
      <c r="K16" s="164">
        <v>7.0000000000000007E-2</v>
      </c>
      <c r="L16" s="164">
        <v>5.0000000000000001E-3</v>
      </c>
      <c r="M16" s="164">
        <v>1.0900000000000001</v>
      </c>
      <c r="N16" s="164">
        <v>0.2691501416430595</v>
      </c>
      <c r="O16" s="165">
        <v>0.5</v>
      </c>
    </row>
    <row r="17" spans="9:15">
      <c r="I17" s="164" t="s">
        <v>165</v>
      </c>
      <c r="J17" s="164">
        <v>0.38</v>
      </c>
      <c r="K17" s="164">
        <v>6.8000000000000005E-2</v>
      </c>
      <c r="L17" s="164">
        <v>8.0000000000000002E-3</v>
      </c>
      <c r="M17" s="164">
        <v>1.0900000000000001</v>
      </c>
      <c r="N17" s="164">
        <v>2.6915014164305946</v>
      </c>
      <c r="O17" s="165">
        <v>0.5</v>
      </c>
    </row>
    <row r="23" spans="9:15" ht="18">
      <c r="I23" s="16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37</vt:i4>
      </vt:variant>
    </vt:vector>
  </HeadingPairs>
  <TitlesOfParts>
    <vt:vector size="40" baseType="lpstr">
      <vt:lpstr>WorkSheet</vt:lpstr>
      <vt:lpstr>Feuil1</vt:lpstr>
      <vt:lpstr>Feuil2</vt:lpstr>
      <vt:lpstr>alpha</vt:lpstr>
      <vt:lpstr>beta</vt:lpstr>
      <vt:lpstr>betaRoot</vt:lpstr>
      <vt:lpstr>Bgc_1</vt:lpstr>
      <vt:lpstr>Bgc_2</vt:lpstr>
      <vt:lpstr>Bgc_3</vt:lpstr>
      <vt:lpstr>depth1</vt:lpstr>
      <vt:lpstr>depth2</vt:lpstr>
      <vt:lpstr>depth3</vt:lpstr>
      <vt:lpstr>fRootToLeaf</vt:lpstr>
      <vt:lpstr>I</vt:lpstr>
      <vt:lpstr>kroot1</vt:lpstr>
      <vt:lpstr>kroot2</vt:lpstr>
      <vt:lpstr>kroot3</vt:lpstr>
      <vt:lpstr>KRootTotal</vt:lpstr>
      <vt:lpstr>Ksat</vt:lpstr>
      <vt:lpstr>La</vt:lpstr>
      <vt:lpstr>La_1</vt:lpstr>
      <vt:lpstr>La_2</vt:lpstr>
      <vt:lpstr>La_3</vt:lpstr>
      <vt:lpstr>LAI</vt:lpstr>
      <vt:lpstr>Lv_1</vt:lpstr>
      <vt:lpstr>Lv_2</vt:lpstr>
      <vt:lpstr>Lv_3</vt:lpstr>
      <vt:lpstr>m</vt:lpstr>
      <vt:lpstr>n</vt:lpstr>
      <vt:lpstr>RAI</vt:lpstr>
      <vt:lpstr>rc_vg</vt:lpstr>
      <vt:lpstr>RFC_1</vt:lpstr>
      <vt:lpstr>RFC_2</vt:lpstr>
      <vt:lpstr>RFC_3</vt:lpstr>
      <vt:lpstr>root_radius</vt:lpstr>
      <vt:lpstr>rootP1</vt:lpstr>
      <vt:lpstr>rootP2</vt:lpstr>
      <vt:lpstr>rootP3</vt:lpstr>
      <vt:lpstr>sc_vg</vt:lpstr>
      <vt:lpstr>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ruffault</dc:creator>
  <cp:lastModifiedBy>julien ruffault</cp:lastModifiedBy>
  <dcterms:created xsi:type="dcterms:W3CDTF">2021-05-04T13:00:19Z</dcterms:created>
  <dcterms:modified xsi:type="dcterms:W3CDTF">2021-06-07T13:02:20Z</dcterms:modified>
</cp:coreProperties>
</file>