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ffault/Dropbox/Mon Mac (MacBook-Pro-de-Julien.local)/Desktop/SurEau-Ecos_V4.0/documentation/"/>
    </mc:Choice>
  </mc:AlternateContent>
  <xr:revisionPtr revIDLastSave="0" documentId="13_ncr:1_{9FFAE4D8-B822-2845-AEA7-DD74E9406ADB}" xr6:coauthVersionLast="46" xr6:coauthVersionMax="46" xr10:uidLastSave="{00000000-0000-0000-0000-000000000000}"/>
  <bookViews>
    <workbookView xWindow="60" yWindow="500" windowWidth="28040" windowHeight="17440" xr2:uid="{D9106142-DCBD-4E45-A888-1E539F445614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20" i="2"/>
  <c r="C4" i="2"/>
  <c r="C5" i="2"/>
  <c r="D5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3" i="1"/>
  <c r="C27" i="1"/>
  <c r="D8" i="2" s="1"/>
  <c r="C32" i="1"/>
  <c r="Q17" i="1"/>
  <c r="Q16" i="1"/>
  <c r="Q15" i="1"/>
  <c r="N17" i="1"/>
  <c r="N16" i="1"/>
  <c r="N15" i="1"/>
  <c r="C22" i="1"/>
  <c r="C24" i="1" s="1"/>
  <c r="D3" i="2" l="1"/>
  <c r="D11" i="2"/>
  <c r="D21" i="2"/>
  <c r="D18" i="2"/>
  <c r="D10" i="2"/>
  <c r="D20" i="2"/>
  <c r="D14" i="2"/>
  <c r="D12" i="2"/>
  <c r="D17" i="2"/>
  <c r="D9" i="2"/>
  <c r="D19" i="2"/>
  <c r="D6" i="2"/>
  <c r="D4" i="2"/>
  <c r="D16" i="2"/>
  <c r="D13" i="2"/>
  <c r="D15" i="2"/>
  <c r="D7" i="2"/>
  <c r="N18" i="1"/>
  <c r="C33" i="1"/>
  <c r="C34" i="1" s="1"/>
  <c r="F34" i="1" s="1"/>
  <c r="I24" i="1" s="1"/>
  <c r="F32" i="1"/>
  <c r="I22" i="1" s="1"/>
  <c r="E5" i="2" s="1"/>
  <c r="F5" i="2" l="1"/>
  <c r="E8" i="2"/>
  <c r="E4" i="2"/>
  <c r="E6" i="2"/>
  <c r="E19" i="2"/>
  <c r="E11" i="2"/>
  <c r="E10" i="2"/>
  <c r="E18" i="2"/>
  <c r="E21" i="2"/>
  <c r="E9" i="2"/>
  <c r="E7" i="2"/>
  <c r="E17" i="2"/>
  <c r="E3" i="2"/>
  <c r="E15" i="2"/>
  <c r="F15" i="2" s="1"/>
  <c r="E12" i="2"/>
  <c r="E13" i="2"/>
  <c r="E14" i="2"/>
  <c r="E16" i="2"/>
  <c r="E20" i="2"/>
  <c r="I34" i="1"/>
  <c r="M23" i="1" s="1"/>
  <c r="O23" i="1" s="1"/>
  <c r="I32" i="1"/>
  <c r="M21" i="1" s="1"/>
  <c r="O21" i="1" s="1"/>
  <c r="F33" i="1"/>
  <c r="I23" i="1" s="1"/>
  <c r="C35" i="1"/>
  <c r="F10" i="2" l="1"/>
  <c r="F11" i="2"/>
  <c r="F7" i="2"/>
  <c r="F14" i="2"/>
  <c r="F9" i="2"/>
  <c r="F8" i="2"/>
  <c r="F19" i="2"/>
  <c r="F20" i="2"/>
  <c r="F17" i="2"/>
  <c r="F6" i="2"/>
  <c r="F16" i="2"/>
  <c r="F4" i="2"/>
  <c r="F13" i="2"/>
  <c r="F21" i="2"/>
  <c r="F12" i="2"/>
  <c r="F18" i="2"/>
  <c r="F3" i="2"/>
  <c r="I33" i="1"/>
  <c r="M22" i="1" s="1"/>
  <c r="O22" i="1" s="1"/>
  <c r="F35" i="1"/>
  <c r="H11" i="2" l="1"/>
  <c r="L32" i="1"/>
  <c r="H7" i="2" s="1"/>
  <c r="L34" i="1"/>
  <c r="L33" i="1"/>
  <c r="H21" i="2" l="1"/>
  <c r="H19" i="2"/>
  <c r="H16" i="2"/>
  <c r="H4" i="2"/>
  <c r="H18" i="2"/>
  <c r="H17" i="2"/>
  <c r="H13" i="2"/>
  <c r="H8" i="2"/>
  <c r="H3" i="2"/>
  <c r="H10" i="2"/>
  <c r="H6" i="2"/>
  <c r="H14" i="2"/>
  <c r="G5" i="2"/>
  <c r="G10" i="2"/>
  <c r="G14" i="2"/>
  <c r="G20" i="2"/>
  <c r="G4" i="2"/>
  <c r="G18" i="2"/>
  <c r="H15" i="2"/>
  <c r="G17" i="2"/>
  <c r="H5" i="2"/>
  <c r="G3" i="2"/>
  <c r="G8" i="2"/>
  <c r="G21" i="2"/>
  <c r="G7" i="2"/>
  <c r="G19" i="2"/>
  <c r="G16" i="2"/>
  <c r="G12" i="2"/>
  <c r="G9" i="2"/>
  <c r="G13" i="2"/>
  <c r="G15" i="2"/>
  <c r="G11" i="2"/>
  <c r="G6" i="2"/>
  <c r="H9" i="2"/>
  <c r="H20" i="2"/>
  <c r="H12" i="2"/>
</calcChain>
</file>

<file path=xl/sharedStrings.xml><?xml version="1.0" encoding="utf-8"?>
<sst xmlns="http://schemas.openxmlformats.org/spreadsheetml/2006/main" count="127" uniqueCount="107">
  <si>
    <t>Depth_layer_3</t>
  </si>
  <si>
    <t>Depth_layer_1</t>
  </si>
  <si>
    <t>Depth_layer_2</t>
  </si>
  <si>
    <t>LAI</t>
  </si>
  <si>
    <t>unit</t>
  </si>
  <si>
    <t>m</t>
  </si>
  <si>
    <t>cm</t>
  </si>
  <si>
    <t>%</t>
  </si>
  <si>
    <t>root_Depth</t>
  </si>
  <si>
    <t xml:space="preserve">RAI </t>
  </si>
  <si>
    <t>m2racine/m2sol</t>
  </si>
  <si>
    <t>Proportion1</t>
  </si>
  <si>
    <t>Porportion2</t>
  </si>
  <si>
    <t>Porportion3</t>
  </si>
  <si>
    <t>somme</t>
  </si>
  <si>
    <t>LV_1</t>
  </si>
  <si>
    <t>LA_1</t>
  </si>
  <si>
    <t>LA_2</t>
  </si>
  <si>
    <t>LA_3</t>
  </si>
  <si>
    <t xml:space="preserve">somme </t>
  </si>
  <si>
    <t>b</t>
  </si>
  <si>
    <t>LV_2</t>
  </si>
  <si>
    <t>LV_3</t>
  </si>
  <si>
    <t>kRoot_1</t>
  </si>
  <si>
    <t>kRoot_2</t>
  </si>
  <si>
    <t>kRoot_3</t>
  </si>
  <si>
    <t>m3_layer1</t>
  </si>
  <si>
    <t>m3_layer2</t>
  </si>
  <si>
    <t>m3_layer3</t>
  </si>
  <si>
    <t>m3NR_layer1</t>
  </si>
  <si>
    <t>m3NR_layer2</t>
  </si>
  <si>
    <t>m3NR_layer3</t>
  </si>
  <si>
    <t>Somme</t>
  </si>
  <si>
    <t>LV_1bis</t>
  </si>
  <si>
    <t>LV_2bis</t>
  </si>
  <si>
    <t>LV_3bis</t>
  </si>
  <si>
    <t>B_GC_layer1</t>
  </si>
  <si>
    <t>B_GC_layer2</t>
  </si>
  <si>
    <t>B_GC_layer3</t>
  </si>
  <si>
    <t>BGC_layer1bis</t>
  </si>
  <si>
    <t>BGC_layer3bis</t>
  </si>
  <si>
    <t>BGC_layer2bis</t>
  </si>
  <si>
    <t>m2leaf./m2soil</t>
  </si>
  <si>
    <t>-</t>
  </si>
  <si>
    <t>mmol.MPa-1m2s-1</t>
  </si>
  <si>
    <t>mroot/m2sol</t>
  </si>
  <si>
    <t>La (root lenght per sol area)</t>
  </si>
  <si>
    <t>thetha</t>
  </si>
  <si>
    <t>ksoilToCollar1</t>
  </si>
  <si>
    <t>ksoilToCollar2</t>
  </si>
  <si>
    <t>ksoilToCollar3</t>
  </si>
  <si>
    <t>Alpha_vg</t>
  </si>
  <si>
    <t>I_vg</t>
  </si>
  <si>
    <t>Ksat</t>
  </si>
  <si>
    <t>n_vg</t>
  </si>
  <si>
    <t>sc_vg</t>
  </si>
  <si>
    <t>rc_vg</t>
  </si>
  <si>
    <t>Description</t>
  </si>
  <si>
    <t>Parameter</t>
  </si>
  <si>
    <t>Shape parameter for the  relationship betwen soil water content and soil water potential</t>
  </si>
  <si>
    <t>Value</t>
  </si>
  <si>
    <t>soil water content at saturation</t>
  </si>
  <si>
    <t>residual soil water content</t>
  </si>
  <si>
    <t>maximum depth of second soil layer</t>
  </si>
  <si>
    <t>maximum depth of third soil layer</t>
  </si>
  <si>
    <t>Rock fragment content layer 1</t>
  </si>
  <si>
    <t>Rock fragment content layer 2</t>
  </si>
  <si>
    <t>Rock fragment content layer 3</t>
  </si>
  <si>
    <t>root to leaf ratio</t>
  </si>
  <si>
    <t>root depth</t>
  </si>
  <si>
    <t>rooot radius</t>
  </si>
  <si>
    <t>Layer1</t>
  </si>
  <si>
    <t>Layer2</t>
  </si>
  <si>
    <t>Layer3</t>
  </si>
  <si>
    <t>proportion of root biomass</t>
  </si>
  <si>
    <t>m.m-2</t>
  </si>
  <si>
    <t>thickness</t>
  </si>
  <si>
    <t>thickness  (corrected by RFC)</t>
  </si>
  <si>
    <t>Lv</t>
  </si>
  <si>
    <t>La</t>
  </si>
  <si>
    <t>leaf area index</t>
  </si>
  <si>
    <t xml:space="preserve">Description </t>
  </si>
  <si>
    <t>Reference</t>
  </si>
  <si>
    <t>Equation</t>
  </si>
  <si>
    <t>allometric relationship between leaf biomass and root biomass</t>
  </si>
  <si>
    <r>
      <t>Jackson</t>
    </r>
    <r>
      <rPr>
        <i/>
        <sz val="12"/>
        <color theme="1"/>
        <rFont val="Calibri"/>
        <family val="2"/>
        <scheme val="minor"/>
      </rPr>
      <t xml:space="preserve"> et al.</t>
    </r>
    <r>
      <rPr>
        <sz val="12"/>
        <color theme="1"/>
        <rFont val="Calibri"/>
        <family val="2"/>
        <scheme val="minor"/>
      </rPr>
      <t xml:space="preserve"> 1996</t>
    </r>
  </si>
  <si>
    <t>𝛃</t>
  </si>
  <si>
    <t xml:space="preserve">Root profile. Y :cumulative  root fraction, d = root depth </t>
  </si>
  <si>
    <t xml:space="preserve">shape parameter for root profile </t>
  </si>
  <si>
    <t xml:space="preserve">maximum depth of first soil layer </t>
  </si>
  <si>
    <t>total root conductance (derived from kplantinit in SurEau-Ecos)</t>
  </si>
  <si>
    <t>B</t>
  </si>
  <si>
    <r>
      <t>k</t>
    </r>
    <r>
      <rPr>
        <i/>
        <sz val="9"/>
        <color theme="1"/>
        <rFont val="Calibri (Corps)"/>
      </rPr>
      <t>RootTotal</t>
    </r>
  </si>
  <si>
    <r>
      <t>r</t>
    </r>
    <r>
      <rPr>
        <i/>
        <sz val="8"/>
        <color theme="1"/>
        <rFont val="Calibri (Corps)"/>
      </rPr>
      <t>r</t>
    </r>
  </si>
  <si>
    <r>
      <t>RFC</t>
    </r>
    <r>
      <rPr>
        <i/>
        <sz val="9"/>
        <color theme="1"/>
        <rFont val="Calibri (Corps)"/>
      </rPr>
      <t>layer1</t>
    </r>
  </si>
  <si>
    <r>
      <t>RFC</t>
    </r>
    <r>
      <rPr>
        <i/>
        <sz val="9"/>
        <color theme="1"/>
        <rFont val="Calibri (Corps)"/>
      </rPr>
      <t>layer2</t>
    </r>
  </si>
  <si>
    <r>
      <t>RFC</t>
    </r>
    <r>
      <rPr>
        <i/>
        <sz val="9"/>
        <color theme="1"/>
        <rFont val="Calibri (Corps)"/>
      </rPr>
      <t>layer3</t>
    </r>
  </si>
  <si>
    <r>
      <t>f</t>
    </r>
    <r>
      <rPr>
        <i/>
        <sz val="9"/>
        <color theme="1"/>
        <rFont val="Calibri (Corps)"/>
      </rPr>
      <t>root_to_Leaf</t>
    </r>
  </si>
  <si>
    <t>m_vg</t>
  </si>
  <si>
    <t>REW</t>
  </si>
  <si>
    <t>ksoil1</t>
  </si>
  <si>
    <t>ksoilToCollar1_bis</t>
  </si>
  <si>
    <t>ksoil1_bis</t>
  </si>
  <si>
    <t>cm-1</t>
  </si>
  <si>
    <t>cm.d-1</t>
  </si>
  <si>
    <t>cm3.cm-3</t>
  </si>
  <si>
    <t>Van Genuchten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</si>
</sst>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 (Corps)"/>
    </font>
    <font>
      <i/>
      <sz val="8"/>
      <color theme="1"/>
      <name val="Calibri (Corps)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6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29183</xdr:colOff>
      <xdr:row>1</xdr:row>
      <xdr:rowOff>24679</xdr:rowOff>
    </xdr:from>
    <xdr:ext cx="2069469" cy="1734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0802D168-9654-5E4D-8DAC-AC0A39B492FB}"/>
                </a:ext>
              </a:extLst>
            </xdr:cNvPr>
            <xdr:cNvSpPr txBox="1"/>
          </xdr:nvSpPr>
          <xdr:spPr>
            <a:xfrm>
              <a:off x="11224999" y="249856"/>
              <a:ext cx="2069469" cy="173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fr-FR" sz="1100" b="0" i="1">
                      <a:latin typeface="Cambria Math" panose="02040503050406030204" pitchFamily="18" charset="0"/>
                    </a:rPr>
                    <m:t>𝑅𝐴𝐼</m:t>
                  </m:r>
                  <m:r>
                    <a:rPr lang="fr-FR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eqArr>
                        <m:eqArrPr>
                          <m:ctrlPr>
                            <a:rPr lang="fr-FR" sz="11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𝑟𝑜𝑜𝑡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_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𝑡𝑜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_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𝑙𝑒𝑎𝑓</m:t>
                          </m:r>
                        </m:e>
                        <m:e/>
                      </m:eqArr>
                    </m:sub>
                  </m:sSub>
                  <m:r>
                    <a:rPr lang="fr-FR" sz="1100" b="0" i="0">
                      <a:latin typeface="Cambria Math" panose="02040503050406030204" pitchFamily="18" charset="0"/>
                    </a:rPr>
                    <m:t>.</m:t>
                  </m:r>
                </m:oMath>
              </a14:m>
              <a:r>
                <a:rPr lang="fr-FR" sz="1100"/>
                <a:t>LAI</a:t>
              </a:r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0802D168-9654-5E4D-8DAC-AC0A39B492FB}"/>
                </a:ext>
              </a:extLst>
            </xdr:cNvPr>
            <xdr:cNvSpPr txBox="1"/>
          </xdr:nvSpPr>
          <xdr:spPr>
            <a:xfrm>
              <a:off x="11224999" y="249856"/>
              <a:ext cx="2069469" cy="173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𝑅𝐴𝐼=𝑓_█(𝑟𝑜𝑜𝑡_𝑡𝑜_𝑙𝑒𝑎𝑓@).</a:t>
              </a:r>
              <a:r>
                <a:rPr lang="fr-FR" sz="1100"/>
                <a:t>LAI</a:t>
              </a:r>
            </a:p>
          </xdr:txBody>
        </xdr:sp>
      </mc:Fallback>
    </mc:AlternateContent>
    <xdr:clientData/>
  </xdr:oneCellAnchor>
  <xdr:oneCellAnchor>
    <xdr:from>
      <xdr:col>7</xdr:col>
      <xdr:colOff>32152</xdr:colOff>
      <xdr:row>2</xdr:row>
      <xdr:rowOff>16076</xdr:rowOff>
    </xdr:from>
    <xdr:ext cx="2069469" cy="1734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80C84983-DFBA-564C-AE9D-93096CEB70B7}"/>
                </a:ext>
              </a:extLst>
            </xdr:cNvPr>
            <xdr:cNvSpPr txBox="1"/>
          </xdr:nvSpPr>
          <xdr:spPr>
            <a:xfrm>
              <a:off x="11221013" y="458165"/>
              <a:ext cx="2069469" cy="173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b="0"/>
                <a:t>Y</a:t>
              </a:r>
              <a14:m>
                <m:oMath xmlns:m="http://schemas.openxmlformats.org/officeDocument/2006/math">
                  <m:r>
                    <a:rPr lang="fr-FR" sz="1100" b="0" i="1">
                      <a:latin typeface="Cambria Math" panose="02040503050406030204" pitchFamily="18" charset="0"/>
                    </a:rPr>
                    <m:t>=1−</m:t>
                  </m:r>
                  <m:sSup>
                    <m:sSupPr>
                      <m:ctrlPr>
                        <a:rPr lang="fr-F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fr-F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𝛽</m:t>
                      </m:r>
                    </m:e>
                    <m:sup>
                      <m:r>
                        <a:rPr lang="fr-F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</m:t>
                      </m:r>
                    </m:sup>
                  </m:sSup>
                </m:oMath>
              </a14:m>
              <a:endParaRPr lang="fr-FR" sz="1100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80C84983-DFBA-564C-AE9D-93096CEB70B7}"/>
                </a:ext>
              </a:extLst>
            </xdr:cNvPr>
            <xdr:cNvSpPr txBox="1"/>
          </xdr:nvSpPr>
          <xdr:spPr>
            <a:xfrm>
              <a:off x="11221013" y="458165"/>
              <a:ext cx="2069469" cy="173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b="0"/>
                <a:t>Y</a:t>
              </a:r>
              <a:r>
                <a:rPr lang="fr-FR" sz="1100" b="0" i="0">
                  <a:latin typeface="Cambria Math" panose="02040503050406030204" pitchFamily="18" charset="0"/>
                </a:rPr>
                <a:t>=1−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𝛽^𝑑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7</xdr:col>
      <xdr:colOff>91404</xdr:colOff>
      <xdr:row>9</xdr:row>
      <xdr:rowOff>119038</xdr:rowOff>
    </xdr:from>
    <xdr:ext cx="2069469" cy="3399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01AECBDC-F7B7-0945-A0BD-709ABE1D5875}"/>
                </a:ext>
              </a:extLst>
            </xdr:cNvPr>
            <xdr:cNvSpPr txBox="1"/>
          </xdr:nvSpPr>
          <xdr:spPr>
            <a:xfrm>
              <a:off x="10357237" y="2099633"/>
              <a:ext cx="2069469" cy="3399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fr-FR" sz="1100" b="0" i="1">
                      <a:latin typeface="Cambria Math" panose="02040503050406030204" pitchFamily="18" charset="0"/>
                    </a:rPr>
                    <m:t>𝐵</m:t>
                  </m:r>
                  <m:r>
                    <a:rPr lang="fr-FR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fr-FR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fr-F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sSub>
                        <m:sSubPr>
                          <m:ctrlPr>
                            <a:rPr lang="fr-F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𝐿</m:t>
                          </m:r>
                        </m:e>
                        <m:sub>
                          <m:r>
                            <a:rPr lang="fr-F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sub>
                      </m:sSub>
                    </m:num>
                    <m:den>
                      <m:r>
                        <m:rPr>
                          <m:sty m:val="p"/>
                        </m:rPr>
                        <a:rPr lang="fr-FR" sz="1100" b="0" i="0">
                          <a:latin typeface="Cambria Math" panose="02040503050406030204" pitchFamily="18" charset="0"/>
                        </a:rPr>
                        <m:t>ln</m:t>
                      </m:r>
                      <m:r>
                        <a:rPr lang="fr-FR" sz="1100" b="0" i="1">
                          <a:latin typeface="Cambria Math" panose="02040503050406030204" pitchFamily="18" charset="0"/>
                        </a:rPr>
                        <m:t>⁡(</m:t>
                      </m:r>
                      <m:f>
                        <m:fPr>
                          <m:ctrlPr>
                            <a:rPr lang="fr-FR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</m:num>
                        <m:den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𝑟</m:t>
                          </m:r>
                        </m:den>
                      </m:f>
                      <m:r>
                        <a:rPr lang="fr-FR" sz="11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r>
                <a:rPr lang="fr-FR" sz="1100"/>
                <a:t>  with 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fr-FR" sz="1100" b="0" i="0">
                      <a:latin typeface="Cambria Math" panose="02040503050406030204" pitchFamily="18" charset="0"/>
                    </a:rPr>
                    <m:t>b</m:t>
                  </m:r>
                  <m:r>
                    <a:rPr lang="fr-FR" sz="1100" b="0" i="0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fr-FR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fr-FR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fr-F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  <m:sSub>
                            <m:sSubPr>
                              <m:ctrlPr>
                                <a:rPr lang="fr-F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F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𝐿</m:t>
                              </m:r>
                            </m:e>
                            <m:sub>
                              <m:r>
                                <a:rPr lang="fr-F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𝑉</m:t>
                              </m:r>
                            </m:sub>
                          </m:sSub>
                        </m:e>
                      </m:rad>
                    </m:den>
                  </m:f>
                </m:oMath>
              </a14:m>
              <a:endParaRPr lang="fr-FR" sz="1100"/>
            </a:p>
          </xdr:txBody>
        </xdr:sp>
      </mc:Choice>
      <mc:Fallback xmlns="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01AECBDC-F7B7-0945-A0BD-709ABE1D5875}"/>
                </a:ext>
              </a:extLst>
            </xdr:cNvPr>
            <xdr:cNvSpPr txBox="1"/>
          </xdr:nvSpPr>
          <xdr:spPr>
            <a:xfrm>
              <a:off x="10357237" y="2099633"/>
              <a:ext cx="2069469" cy="3399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𝐵=  (2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𝜋𝐿_𝑎)/(</a:t>
              </a:r>
              <a:r>
                <a:rPr lang="fr-FR" sz="1100" b="0" i="0">
                  <a:latin typeface="Cambria Math" panose="02040503050406030204" pitchFamily="18" charset="0"/>
                </a:rPr>
                <a:t>ln⁡(𝑏/𝑟))</a:t>
              </a:r>
              <a:r>
                <a:rPr lang="fr-FR" sz="1100"/>
                <a:t>  with  </a:t>
              </a:r>
              <a:r>
                <a:rPr lang="fr-FR" sz="1100" b="0" i="0">
                  <a:latin typeface="Cambria Math" panose="02040503050406030204" pitchFamily="18" charset="0"/>
                </a:rPr>
                <a:t>b=  1/√(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𝜋𝐿_𝑉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6</xdr:col>
      <xdr:colOff>858998</xdr:colOff>
      <xdr:row>3</xdr:row>
      <xdr:rowOff>61999</xdr:rowOff>
    </xdr:from>
    <xdr:ext cx="863106" cy="463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FEA1E2CC-D2B9-7944-A144-E5271351307E}"/>
                </a:ext>
              </a:extLst>
            </xdr:cNvPr>
            <xdr:cNvSpPr txBox="1"/>
          </xdr:nvSpPr>
          <xdr:spPr>
            <a:xfrm>
              <a:off x="10447704" y="727824"/>
              <a:ext cx="863106" cy="463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𝑅𝐴𝐼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FEA1E2CC-D2B9-7944-A144-E5271351307E}"/>
                </a:ext>
              </a:extLst>
            </xdr:cNvPr>
            <xdr:cNvSpPr txBox="1"/>
          </xdr:nvSpPr>
          <xdr:spPr>
            <a:xfrm>
              <a:off x="10447704" y="727824"/>
              <a:ext cx="863106" cy="463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𝐿_𝑎=𝑅𝐴𝐼/(2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𝜋𝑟_𝑟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7</xdr:col>
      <xdr:colOff>27309</xdr:colOff>
      <xdr:row>5</xdr:row>
      <xdr:rowOff>146493</xdr:rowOff>
    </xdr:from>
    <xdr:ext cx="2807509" cy="463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E4D3C210-2C71-B642-BA37-8DDBECD916BD}"/>
                </a:ext>
              </a:extLst>
            </xdr:cNvPr>
            <xdr:cNvSpPr txBox="1"/>
          </xdr:nvSpPr>
          <xdr:spPr>
            <a:xfrm>
              <a:off x="10597736" y="1246127"/>
              <a:ext cx="2807509" cy="463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𝑉</m:t>
                      </m:r>
                      <m:r>
                        <a:rPr lang="fr-FR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fr-FR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fr-FR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b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fr-FR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𝑓𝑖𝑐𝑡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den>
                  </m:f>
                </m:oMath>
              </a14:m>
              <a:r>
                <a:rPr lang="fr-FR" sz="1100"/>
                <a:t> </a:t>
              </a:r>
              <a:r>
                <a:rPr lang="fr-FR" sz="1100" baseline="0"/>
                <a:t> with </a:t>
              </a:r>
              <a14:m>
                <m:oMath xmlns:m="http://schemas.openxmlformats.org/officeDocument/2006/math">
                  <m:r>
                    <a:rPr lang="fr-FR" sz="1100" b="0" i="0">
                      <a:latin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𝑓𝑖𝑐𝑡</m:t>
                      </m:r>
                      <m:r>
                        <a:rPr lang="fr-FR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fr-FR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fr-FR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sSub>
                    <m:sSubPr>
                      <m:ctrlPr>
                        <a:rPr lang="fr-F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fr-FR" sz="1100" b="0" i="1">
                          <a:latin typeface="Cambria Math" panose="02040503050406030204" pitchFamily="18" charset="0"/>
                        </a:rPr>
                        <m:t>(1−</m:t>
                      </m:r>
                      <m:f>
                        <m:fPr>
                          <m:ctrlPr>
                            <a:rPr lang="fr-FR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fr-FR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FR" sz="1100" b="0" i="1">
                                  <a:latin typeface="Cambria Math" panose="02040503050406030204" pitchFamily="18" charset="0"/>
                                </a:rPr>
                                <m:t>𝑅𝐹𝐶</m:t>
                              </m:r>
                            </m:e>
                            <m:sub>
                              <m:r>
                                <a:rPr lang="fr-FR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num>
                        <m:den>
                          <m:r>
                            <a:rPr lang="fr-FR" sz="1100" b="0" i="1">
                              <a:latin typeface="Cambria Math" panose="02040503050406030204" pitchFamily="18" charset="0"/>
                            </a:rPr>
                            <m:t>100</m:t>
                          </m:r>
                        </m:den>
                      </m:f>
                    </m:e>
                    <m:sub/>
                  </m:sSub>
                  <m:r>
                    <a:rPr lang="fr-FR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fr-FR" sz="1100"/>
            </a:p>
          </xdr:txBody>
        </xdr:sp>
      </mc:Choice>
      <mc:Fallback xmlns="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E4D3C210-2C71-B642-BA37-8DDBECD916BD}"/>
                </a:ext>
              </a:extLst>
            </xdr:cNvPr>
            <xdr:cNvSpPr txBox="1"/>
          </xdr:nvSpPr>
          <xdr:spPr>
            <a:xfrm>
              <a:off x="10597736" y="1246127"/>
              <a:ext cx="2807509" cy="463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𝐿_(𝑉,𝑖)=𝐿_𝑎/𝑑_(𝑓𝑖𝑐𝑡,𝑖) </a:t>
              </a:r>
              <a:r>
                <a:rPr lang="fr-FR" sz="1100"/>
                <a:t> </a:t>
              </a:r>
              <a:r>
                <a:rPr lang="fr-FR" sz="1100" baseline="0"/>
                <a:t> with </a:t>
              </a:r>
              <a:r>
                <a:rPr lang="fr-FR" sz="1100" b="0" i="0">
                  <a:latin typeface="Cambria Math" panose="02040503050406030204" pitchFamily="18" charset="0"/>
                </a:rPr>
                <a:t> 𝑑_(𝑓𝑖𝑐𝑡,𝑖)</a:t>
              </a:r>
              <a:r>
                <a:rPr lang="fr-FR" sz="1100"/>
                <a:t> = </a:t>
              </a:r>
              <a:r>
                <a:rPr lang="fr-FR" sz="1100" b="0" i="0">
                  <a:latin typeface="Cambria Math" panose="02040503050406030204" pitchFamily="18" charset="0"/>
                </a:rPr>
                <a:t>𝑑_𝑖 〖(1−〖𝑅𝐹𝐶〗_𝑖/100〗_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6</xdr:col>
      <xdr:colOff>881578</xdr:colOff>
      <xdr:row>14</xdr:row>
      <xdr:rowOff>205275</xdr:rowOff>
    </xdr:from>
    <xdr:ext cx="2069469" cy="5391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043EB01C-7278-8D47-B9C1-5C8573C409B6}"/>
                </a:ext>
              </a:extLst>
            </xdr:cNvPr>
            <xdr:cNvSpPr txBox="1"/>
          </xdr:nvSpPr>
          <xdr:spPr>
            <a:xfrm>
              <a:off x="12255666" y="3687791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𝑆𝑜𝑖𝑙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𝑡𝑜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𝑐𝑜𝑙𝑎𝑟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𝑅𝑜𝑜𝑡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𝑆𝑜𝑖𝑙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043EB01C-7278-8D47-B9C1-5C8573C409B6}"/>
                </a:ext>
              </a:extLst>
            </xdr:cNvPr>
            <xdr:cNvSpPr txBox="1"/>
          </xdr:nvSpPr>
          <xdr:spPr>
            <a:xfrm>
              <a:off x="12255666" y="3687791"/>
              <a:ext cx="2069469" cy="5391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𝑘_(𝑆𝑜𝑖𝑙_𝑡𝑜_𝑐𝑜𝑙𝑎𝑟,𝑖)=  1/(1/𝑘_(𝑅𝑜𝑜𝑡,𝑖) +1/𝑘_(𝑆𝑜𝑖𝑙,𝑖)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6</xdr:col>
      <xdr:colOff>906286</xdr:colOff>
      <xdr:row>12</xdr:row>
      <xdr:rowOff>385574</xdr:rowOff>
    </xdr:from>
    <xdr:ext cx="2941342" cy="7641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53F5A9D8-291B-1C44-B2E7-CA64F2016AF0}"/>
                </a:ext>
              </a:extLst>
            </xdr:cNvPr>
            <xdr:cNvSpPr txBox="1"/>
          </xdr:nvSpPr>
          <xdr:spPr>
            <a:xfrm>
              <a:off x="12280374" y="2989473"/>
              <a:ext cx="2941342" cy="764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𝑠𝑜𝑖𝑙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𝑅𝐸𝑊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(1−</m:t>
                                </m:r>
                                <m:sSup>
                                  <m:sSup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𝑅𝐸𝑊</m:t>
                                    </m:r>
                                  </m:e>
                                  <m:sup>
                                    <m:box>
                                      <m:box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boxPr>
                                      <m:e>
                                        <m:argPr>
                                          <m:argSz m:val="-1"/>
                                        </m:argPr>
                                        <m:f>
                                          <m:fPr>
                                            <m:ctrlP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num>
                                          <m:den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𝑚</m:t>
                                            </m:r>
                                          </m:den>
                                        </m:f>
                                      </m:e>
                                    </m:box>
                                  </m:sup>
                                </m:s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d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53F5A9D8-291B-1C44-B2E7-CA64F2016AF0}"/>
                </a:ext>
              </a:extLst>
            </xdr:cNvPr>
            <xdr:cNvSpPr txBox="1"/>
          </xdr:nvSpPr>
          <xdr:spPr>
            <a:xfrm>
              <a:off x="12280374" y="2989473"/>
              <a:ext cx="2941342" cy="764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𝑘_(𝑠𝑜𝑖𝑙,𝑖)=〖〖𝐵_𝑖.𝑘〗_(𝑠𝑎𝑡,𝑖).〖𝑅𝐸𝑊〗^𝐼.[1−〖(1−〖𝑅𝐸𝑊〗^□(64&amp;1/𝑚))〗^𝑚 ]〗^2</a:t>
              </a:r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C9AC-1A9D-EA45-B245-5C46BCC162EE}">
  <dimension ref="A1:Y43"/>
  <sheetViews>
    <sheetView tabSelected="1" zoomScale="114" zoomScaleNormal="218" workbookViewId="0">
      <selection activeCell="C20" sqref="C20:C21"/>
    </sheetView>
  </sheetViews>
  <sheetFormatPr baseColWidth="10" defaultRowHeight="16" x14ac:dyDescent="0.2"/>
  <cols>
    <col min="1" max="1" width="10.83203125" style="2"/>
    <col min="2" max="2" width="37.6640625" style="2" customWidth="1"/>
    <col min="3" max="3" width="24.33203125" style="2" customWidth="1"/>
    <col min="4" max="4" width="23.1640625" style="2" customWidth="1"/>
    <col min="5" max="5" width="42.6640625" style="2" customWidth="1"/>
    <col min="6" max="6" width="10.6640625" style="2" customWidth="1"/>
    <col min="7" max="7" width="12.83203125" style="2" customWidth="1"/>
    <col min="8" max="8" width="50.33203125" style="2" customWidth="1"/>
    <col min="9" max="9" width="54.33203125" style="2" customWidth="1"/>
    <col min="10" max="10" width="23.5" style="2" customWidth="1"/>
    <col min="11" max="11" width="17" style="2" customWidth="1"/>
    <col min="12" max="15" width="10.83203125" style="2"/>
    <col min="16" max="16" width="15.6640625" style="2" customWidth="1"/>
    <col min="17" max="17" width="10.83203125" style="2"/>
    <col min="18" max="18" width="16.5" style="2" customWidth="1"/>
    <col min="19" max="19" width="14.5" style="2" customWidth="1"/>
    <col min="20" max="20" width="10.83203125" style="2"/>
    <col min="21" max="21" width="15.33203125" style="2" customWidth="1"/>
    <col min="22" max="22" width="13" style="2" customWidth="1"/>
    <col min="23" max="23" width="18.1640625" style="2" customWidth="1"/>
    <col min="24" max="24" width="21" style="2" customWidth="1"/>
    <col min="25" max="25" width="19.1640625" style="2" customWidth="1"/>
    <col min="26" max="16384" width="10.83203125" style="2"/>
  </cols>
  <sheetData>
    <row r="1" spans="1:25" ht="18" thickBot="1" x14ac:dyDescent="0.25">
      <c r="B1" s="3" t="s">
        <v>58</v>
      </c>
      <c r="C1" s="4" t="s">
        <v>60</v>
      </c>
      <c r="D1" s="4" t="s">
        <v>4</v>
      </c>
      <c r="E1" s="5" t="s">
        <v>57</v>
      </c>
      <c r="H1" s="1" t="s">
        <v>83</v>
      </c>
      <c r="I1" s="1" t="s">
        <v>81</v>
      </c>
      <c r="J1" s="1" t="s">
        <v>82</v>
      </c>
    </row>
    <row r="2" spans="1:25" ht="17" x14ac:dyDescent="0.2">
      <c r="B2" s="12" t="s">
        <v>1</v>
      </c>
      <c r="C2" s="13">
        <v>30</v>
      </c>
      <c r="D2" s="13" t="s">
        <v>6</v>
      </c>
      <c r="E2" s="14" t="s">
        <v>89</v>
      </c>
      <c r="I2" s="2" t="s">
        <v>84</v>
      </c>
      <c r="J2" s="2" t="s">
        <v>43</v>
      </c>
      <c r="T2" s="2" t="s">
        <v>47</v>
      </c>
      <c r="U2" s="2" t="s">
        <v>99</v>
      </c>
      <c r="V2" s="2" t="s">
        <v>100</v>
      </c>
      <c r="W2" s="2" t="s">
        <v>48</v>
      </c>
      <c r="X2" s="2" t="s">
        <v>49</v>
      </c>
      <c r="Y2" s="2" t="s">
        <v>50</v>
      </c>
    </row>
    <row r="3" spans="1:25" ht="17" x14ac:dyDescent="0.2">
      <c r="B3" s="12" t="s">
        <v>2</v>
      </c>
      <c r="C3" s="13">
        <v>100</v>
      </c>
      <c r="D3" s="13" t="s">
        <v>6</v>
      </c>
      <c r="E3" s="14" t="s">
        <v>63</v>
      </c>
      <c r="I3" s="2" t="s">
        <v>87</v>
      </c>
      <c r="J3" s="2" t="s">
        <v>85</v>
      </c>
      <c r="T3" s="2">
        <v>0.1</v>
      </c>
      <c r="U3" s="2">
        <f>(T3-C$19)/(C$18-C$19)</f>
        <v>0</v>
      </c>
    </row>
    <row r="4" spans="1:25" ht="17" x14ac:dyDescent="0.2">
      <c r="B4" s="12" t="s">
        <v>0</v>
      </c>
      <c r="C4" s="13">
        <v>400</v>
      </c>
      <c r="D4" s="13" t="s">
        <v>6</v>
      </c>
      <c r="E4" s="14" t="s">
        <v>64</v>
      </c>
      <c r="T4" s="2">
        <v>0.11</v>
      </c>
      <c r="U4" s="2">
        <f t="shared" ref="U4:U43" si="0">(T4-C$19)/(C$18-C$19)</f>
        <v>5.5555555555555525E-2</v>
      </c>
    </row>
    <row r="5" spans="1:25" ht="17" x14ac:dyDescent="0.2">
      <c r="B5" s="12" t="s">
        <v>94</v>
      </c>
      <c r="C5" s="13">
        <v>40</v>
      </c>
      <c r="D5" s="13" t="s">
        <v>7</v>
      </c>
      <c r="E5" s="14" t="s">
        <v>65</v>
      </c>
      <c r="T5" s="2">
        <v>0.12</v>
      </c>
      <c r="U5" s="2">
        <f t="shared" si="0"/>
        <v>0.11111111111111105</v>
      </c>
    </row>
    <row r="6" spans="1:25" ht="17" x14ac:dyDescent="0.2">
      <c r="B6" s="12" t="s">
        <v>95</v>
      </c>
      <c r="C6" s="13">
        <v>80</v>
      </c>
      <c r="D6" s="13" t="s">
        <v>7</v>
      </c>
      <c r="E6" s="14" t="s">
        <v>66</v>
      </c>
      <c r="T6" s="2">
        <v>0.13</v>
      </c>
      <c r="U6" s="2">
        <f t="shared" si="0"/>
        <v>0.16666666666666663</v>
      </c>
    </row>
    <row r="7" spans="1:25" ht="17" x14ac:dyDescent="0.2">
      <c r="B7" s="12" t="s">
        <v>96</v>
      </c>
      <c r="C7" s="13">
        <v>90</v>
      </c>
      <c r="D7" s="13" t="s">
        <v>7</v>
      </c>
      <c r="E7" s="14" t="s">
        <v>67</v>
      </c>
      <c r="T7" s="2">
        <v>0.14000000000000001</v>
      </c>
      <c r="U7" s="2">
        <f t="shared" si="0"/>
        <v>0.22222222222222224</v>
      </c>
    </row>
    <row r="8" spans="1:25" ht="17" x14ac:dyDescent="0.2">
      <c r="B8" s="12" t="s">
        <v>86</v>
      </c>
      <c r="C8" s="13">
        <v>0.97</v>
      </c>
      <c r="D8" s="13" t="s">
        <v>43</v>
      </c>
      <c r="E8" s="14" t="s">
        <v>88</v>
      </c>
      <c r="T8" s="2">
        <v>0.15</v>
      </c>
      <c r="U8" s="2">
        <f t="shared" si="0"/>
        <v>0.27777777777777768</v>
      </c>
    </row>
    <row r="9" spans="1:25" ht="17" x14ac:dyDescent="0.2">
      <c r="B9" s="12" t="s">
        <v>3</v>
      </c>
      <c r="C9" s="13">
        <v>3</v>
      </c>
      <c r="D9" s="13" t="s">
        <v>42</v>
      </c>
      <c r="E9" s="14" t="s">
        <v>80</v>
      </c>
      <c r="T9" s="2">
        <v>0.16</v>
      </c>
      <c r="U9" s="2">
        <f t="shared" si="0"/>
        <v>0.33333333333333326</v>
      </c>
    </row>
    <row r="10" spans="1:25" ht="17" x14ac:dyDescent="0.2">
      <c r="B10" s="12" t="s">
        <v>97</v>
      </c>
      <c r="C10" s="13">
        <v>1</v>
      </c>
      <c r="D10" s="13" t="s">
        <v>43</v>
      </c>
      <c r="E10" s="14" t="s">
        <v>68</v>
      </c>
      <c r="T10" s="2">
        <v>0.17</v>
      </c>
      <c r="U10" s="2">
        <f t="shared" si="0"/>
        <v>0.3888888888888889</v>
      </c>
    </row>
    <row r="11" spans="1:25" ht="17" x14ac:dyDescent="0.2">
      <c r="B11" s="12" t="s">
        <v>8</v>
      </c>
      <c r="C11" s="13">
        <v>400</v>
      </c>
      <c r="D11" s="13" t="s">
        <v>6</v>
      </c>
      <c r="E11" s="14" t="s">
        <v>69</v>
      </c>
      <c r="T11" s="2">
        <v>0.18</v>
      </c>
      <c r="U11" s="2">
        <f t="shared" si="0"/>
        <v>0.44444444444444431</v>
      </c>
    </row>
    <row r="12" spans="1:25" ht="17" x14ac:dyDescent="0.2">
      <c r="B12" s="12" t="s">
        <v>93</v>
      </c>
      <c r="C12" s="13">
        <v>2.0000000000000001E-4</v>
      </c>
      <c r="D12" s="13" t="s">
        <v>5</v>
      </c>
      <c r="E12" s="14" t="s">
        <v>70</v>
      </c>
      <c r="T12" s="2">
        <v>0.19</v>
      </c>
      <c r="U12" s="2">
        <f t="shared" si="0"/>
        <v>0.49999999999999994</v>
      </c>
    </row>
    <row r="13" spans="1:25" ht="35" thickBot="1" x14ac:dyDescent="0.25">
      <c r="B13" s="15" t="s">
        <v>92</v>
      </c>
      <c r="C13" s="16">
        <v>1.75</v>
      </c>
      <c r="D13" s="16" t="s">
        <v>44</v>
      </c>
      <c r="E13" s="17" t="s">
        <v>90</v>
      </c>
      <c r="T13" s="2">
        <v>0.2</v>
      </c>
      <c r="U13" s="2">
        <f t="shared" si="0"/>
        <v>0.55555555555555547</v>
      </c>
    </row>
    <row r="14" spans="1:25" ht="34" x14ac:dyDescent="0.2">
      <c r="A14" s="18" t="s">
        <v>106</v>
      </c>
      <c r="B14" s="6" t="s">
        <v>51</v>
      </c>
      <c r="C14" s="8">
        <v>3.5000000000000001E-3</v>
      </c>
      <c r="D14" s="8" t="s">
        <v>103</v>
      </c>
      <c r="E14" s="9" t="s">
        <v>59</v>
      </c>
      <c r="T14" s="2">
        <v>0.21</v>
      </c>
      <c r="U14" s="2">
        <f t="shared" si="0"/>
        <v>0.61111111111111094</v>
      </c>
    </row>
    <row r="15" spans="1:25" ht="34" x14ac:dyDescent="0.2">
      <c r="A15" s="19"/>
      <c r="B15" s="6" t="s">
        <v>54</v>
      </c>
      <c r="C15" s="8">
        <v>2</v>
      </c>
      <c r="D15" s="8"/>
      <c r="E15" s="9" t="s">
        <v>59</v>
      </c>
      <c r="M15" s="2" t="s">
        <v>26</v>
      </c>
      <c r="N15" s="2">
        <f>(C2*0.01)*(1-C5/100)</f>
        <v>0.18</v>
      </c>
      <c r="P15" s="2" t="s">
        <v>29</v>
      </c>
      <c r="Q15" s="2">
        <f>C2*0.01</f>
        <v>0.3</v>
      </c>
      <c r="T15" s="2">
        <v>0.22</v>
      </c>
      <c r="U15" s="2">
        <f t="shared" si="0"/>
        <v>0.66666666666666652</v>
      </c>
    </row>
    <row r="16" spans="1:25" ht="34" x14ac:dyDescent="0.2">
      <c r="A16" s="19"/>
      <c r="B16" s="6" t="s">
        <v>52</v>
      </c>
      <c r="C16" s="8">
        <v>0.5</v>
      </c>
      <c r="D16" s="8"/>
      <c r="E16" s="9" t="s">
        <v>59</v>
      </c>
      <c r="M16" s="2" t="s">
        <v>27</v>
      </c>
      <c r="N16" s="2">
        <f>0.01*(C3-C2)*(1-C6/100)</f>
        <v>0.13999999999999999</v>
      </c>
      <c r="P16" s="2" t="s">
        <v>30</v>
      </c>
      <c r="Q16" s="2">
        <f>(C3-C2)*0.01</f>
        <v>0.70000000000000007</v>
      </c>
      <c r="T16" s="2">
        <v>0.23</v>
      </c>
      <c r="U16" s="2">
        <f t="shared" si="0"/>
        <v>0.72222222222222221</v>
      </c>
    </row>
    <row r="17" spans="1:21" ht="34" x14ac:dyDescent="0.2">
      <c r="A17" s="19"/>
      <c r="B17" s="6" t="s">
        <v>53</v>
      </c>
      <c r="C17" s="8">
        <v>5</v>
      </c>
      <c r="D17" s="8" t="s">
        <v>104</v>
      </c>
      <c r="E17" s="9" t="s">
        <v>59</v>
      </c>
      <c r="M17" s="2" t="s">
        <v>28</v>
      </c>
      <c r="N17" s="2">
        <f>0.01*(C4-C3)*(1-C7/100)</f>
        <v>0.29999999999999993</v>
      </c>
      <c r="P17" s="2" t="s">
        <v>31</v>
      </c>
      <c r="Q17" s="2">
        <f>(C4-C3)*0.01</f>
        <v>3</v>
      </c>
      <c r="T17" s="2">
        <v>0.24</v>
      </c>
      <c r="U17" s="2">
        <f t="shared" si="0"/>
        <v>0.77777777777777757</v>
      </c>
    </row>
    <row r="18" spans="1:21" ht="17" x14ac:dyDescent="0.2">
      <c r="A18" s="19"/>
      <c r="B18" s="6" t="s">
        <v>55</v>
      </c>
      <c r="C18" s="8">
        <v>0.28000000000000003</v>
      </c>
      <c r="D18" s="8" t="s">
        <v>105</v>
      </c>
      <c r="E18" s="9" t="s">
        <v>61</v>
      </c>
      <c r="M18" s="2" t="s">
        <v>32</v>
      </c>
      <c r="N18" s="2">
        <f>SUM(N15:N17)</f>
        <v>0.61999999999999988</v>
      </c>
      <c r="T18" s="2">
        <v>0.25</v>
      </c>
      <c r="U18" s="2">
        <f t="shared" si="0"/>
        <v>0.83333333333333326</v>
      </c>
    </row>
    <row r="19" spans="1:21" ht="18" thickBot="1" x14ac:dyDescent="0.25">
      <c r="A19" s="20"/>
      <c r="B19" s="7" t="s">
        <v>56</v>
      </c>
      <c r="C19" s="10">
        <v>0.1</v>
      </c>
      <c r="D19" s="10" t="s">
        <v>105</v>
      </c>
      <c r="E19" s="11" t="s">
        <v>62</v>
      </c>
      <c r="T19" s="2">
        <v>0.26</v>
      </c>
      <c r="U19" s="2">
        <f t="shared" si="0"/>
        <v>0.88888888888888884</v>
      </c>
    </row>
    <row r="20" spans="1:21" x14ac:dyDescent="0.2">
      <c r="M20" s="2" t="s">
        <v>20</v>
      </c>
      <c r="T20" s="2">
        <v>0.27</v>
      </c>
      <c r="U20" s="2">
        <f t="shared" si="0"/>
        <v>0.94444444444444442</v>
      </c>
    </row>
    <row r="21" spans="1:21" x14ac:dyDescent="0.2">
      <c r="M21" s="2">
        <f>1/(SQRT(3.14*I32))</f>
        <v>6.3314748259089542E-3</v>
      </c>
      <c r="N21" s="2" t="s">
        <v>36</v>
      </c>
      <c r="O21" s="2">
        <f>(2*3.14*F32)/LN(M21/C$12)</f>
        <v>2599.2515491885233</v>
      </c>
      <c r="R21" s="2" t="s">
        <v>39</v>
      </c>
      <c r="T21" s="2">
        <v>0.28000000000000003</v>
      </c>
      <c r="U21" s="2">
        <f t="shared" si="0"/>
        <v>1</v>
      </c>
    </row>
    <row r="22" spans="1:21" x14ac:dyDescent="0.2">
      <c r="B22" s="2" t="s">
        <v>9</v>
      </c>
      <c r="C22" s="2">
        <f>C10*C9</f>
        <v>3</v>
      </c>
      <c r="D22" s="2" t="s">
        <v>10</v>
      </c>
      <c r="H22" s="2" t="s">
        <v>33</v>
      </c>
      <c r="I22" s="2">
        <f>F32/Q15</f>
        <v>4766.6342959230669</v>
      </c>
      <c r="M22" s="2">
        <f>1/(SQRT(3.14*I33))</f>
        <v>7.2690340564040236E-3</v>
      </c>
      <c r="N22" s="2" t="s">
        <v>37</v>
      </c>
      <c r="O22" s="2">
        <f>(2*3.14*F33)/LN(M22/C$12)</f>
        <v>1474.8233134415109</v>
      </c>
      <c r="R22" s="2" t="s">
        <v>41</v>
      </c>
      <c r="T22" s="2">
        <v>0.28999999999999998</v>
      </c>
      <c r="U22" s="2">
        <f t="shared" si="0"/>
        <v>1.0555555555555554</v>
      </c>
    </row>
    <row r="23" spans="1:21" x14ac:dyDescent="0.2">
      <c r="H23" s="2" t="s">
        <v>34</v>
      </c>
      <c r="I23" s="2">
        <f>F33/Q16</f>
        <v>1205.4437245861966</v>
      </c>
      <c r="M23" s="2">
        <f>1/(SQRT(3.14*I34))</f>
        <v>2.9011938305674247E-2</v>
      </c>
      <c r="N23" s="2" t="s">
        <v>38</v>
      </c>
      <c r="O23" s="2">
        <f>(2*3.14*F34)/LN(M23/C$12)</f>
        <v>143.22454074648445</v>
      </c>
      <c r="R23" s="2" t="s">
        <v>40</v>
      </c>
      <c r="T23" s="2">
        <v>0.3</v>
      </c>
      <c r="U23" s="2">
        <f t="shared" si="0"/>
        <v>1.1111111111111109</v>
      </c>
    </row>
    <row r="24" spans="1:21" x14ac:dyDescent="0.2">
      <c r="B24" s="2" t="s">
        <v>46</v>
      </c>
      <c r="C24" s="2">
        <f>C22/(2*PI()*C12)</f>
        <v>2387.3241463784302</v>
      </c>
      <c r="D24" s="2" t="s">
        <v>45</v>
      </c>
      <c r="H24" s="2" t="s">
        <v>35</v>
      </c>
      <c r="I24" s="2">
        <f>F34/Q17</f>
        <v>37.837014499771001</v>
      </c>
      <c r="T24" s="2">
        <v>0.31</v>
      </c>
      <c r="U24" s="2">
        <f t="shared" si="0"/>
        <v>1.1666666666666665</v>
      </c>
    </row>
    <row r="25" spans="1:21" x14ac:dyDescent="0.2">
      <c r="T25" s="2">
        <v>0.32</v>
      </c>
      <c r="U25" s="2">
        <f t="shared" si="0"/>
        <v>1.2222222222222221</v>
      </c>
    </row>
    <row r="26" spans="1:21" x14ac:dyDescent="0.2">
      <c r="T26" s="2">
        <v>0.33</v>
      </c>
      <c r="U26" s="2">
        <f t="shared" si="0"/>
        <v>1.2777777777777777</v>
      </c>
    </row>
    <row r="27" spans="1:21" x14ac:dyDescent="0.2">
      <c r="B27" s="2" t="s">
        <v>98</v>
      </c>
      <c r="C27" s="2">
        <f>1-(1/C15)</f>
        <v>0.5</v>
      </c>
      <c r="T27" s="2">
        <v>0.34</v>
      </c>
      <c r="U27" s="2">
        <f t="shared" si="0"/>
        <v>1.3333333333333333</v>
      </c>
    </row>
    <row r="28" spans="1:21" x14ac:dyDescent="0.2">
      <c r="T28" s="2">
        <v>0.35</v>
      </c>
      <c r="U28" s="2">
        <f t="shared" si="0"/>
        <v>1.3888888888888886</v>
      </c>
    </row>
    <row r="29" spans="1:21" x14ac:dyDescent="0.2">
      <c r="T29" s="2">
        <v>0.36</v>
      </c>
      <c r="U29" s="2">
        <f t="shared" si="0"/>
        <v>1.4444444444444444</v>
      </c>
    </row>
    <row r="30" spans="1:21" x14ac:dyDescent="0.2">
      <c r="T30" s="2">
        <v>0.37</v>
      </c>
      <c r="U30" s="2">
        <f t="shared" si="0"/>
        <v>1.5</v>
      </c>
    </row>
    <row r="31" spans="1:21" x14ac:dyDescent="0.2">
      <c r="T31" s="2">
        <v>0.38</v>
      </c>
      <c r="U31" s="2">
        <f t="shared" si="0"/>
        <v>1.5555555555555556</v>
      </c>
    </row>
    <row r="32" spans="1:21" x14ac:dyDescent="0.2">
      <c r="B32" s="2" t="s">
        <v>11</v>
      </c>
      <c r="C32" s="2">
        <f>1-C$8^C2</f>
        <v>0.5989929314568424</v>
      </c>
      <c r="E32" s="2" t="s">
        <v>16</v>
      </c>
      <c r="F32" s="2">
        <f>C$24*C32</f>
        <v>1429.9902887769199</v>
      </c>
      <c r="H32" s="2" t="s">
        <v>15</v>
      </c>
      <c r="I32" s="2">
        <f>F32/N15</f>
        <v>7944.3904932051109</v>
      </c>
      <c r="K32" s="2" t="s">
        <v>23</v>
      </c>
      <c r="L32" s="2">
        <f>C$13*(F32)/F$35</f>
        <v>1.0482429899369616</v>
      </c>
      <c r="T32" s="2">
        <v>0.39</v>
      </c>
      <c r="U32" s="2">
        <f t="shared" si="0"/>
        <v>1.6111111111111112</v>
      </c>
    </row>
    <row r="33" spans="2:21" x14ac:dyDescent="0.2">
      <c r="B33" s="2" t="s">
        <v>12</v>
      </c>
      <c r="C33" s="2">
        <f>(1-C$8^C3)-C32</f>
        <v>0.35345456061775193</v>
      </c>
      <c r="E33" s="2" t="s">
        <v>17</v>
      </c>
      <c r="F33" s="2">
        <f>C$24*C33</f>
        <v>843.81060721033771</v>
      </c>
      <c r="H33" s="2" t="s">
        <v>21</v>
      </c>
      <c r="I33" s="2">
        <f>F33/N16</f>
        <v>6027.2186229309846</v>
      </c>
      <c r="K33" s="2" t="s">
        <v>24</v>
      </c>
      <c r="L33" s="2">
        <f>C$13*(F33)/F$35</f>
        <v>0.61854864385073705</v>
      </c>
      <c r="T33" s="2">
        <v>0.4</v>
      </c>
      <c r="U33" s="2">
        <f t="shared" si="0"/>
        <v>1.6666666666666667</v>
      </c>
    </row>
    <row r="34" spans="2:21" x14ac:dyDescent="0.2">
      <c r="B34" s="2" t="s">
        <v>13</v>
      </c>
      <c r="C34" s="2">
        <f>(1-C$8^C4)-C33-C32</f>
        <v>4.7547394714500424E-2</v>
      </c>
      <c r="E34" s="2" t="s">
        <v>18</v>
      </c>
      <c r="F34" s="2">
        <f>C$24*C34</f>
        <v>113.511043499313</v>
      </c>
      <c r="H34" s="2" t="s">
        <v>22</v>
      </c>
      <c r="I34" s="2">
        <f>F34/N17</f>
        <v>378.3701449977101</v>
      </c>
      <c r="K34" s="2" t="s">
        <v>25</v>
      </c>
      <c r="L34" s="2">
        <f>C$13*(F34)/F$35</f>
        <v>8.3208366212301252E-2</v>
      </c>
      <c r="T34" s="2">
        <v>0.41</v>
      </c>
      <c r="U34" s="2">
        <f t="shared" si="0"/>
        <v>1.7222222222222217</v>
      </c>
    </row>
    <row r="35" spans="2:21" x14ac:dyDescent="0.2">
      <c r="B35" s="2" t="s">
        <v>14</v>
      </c>
      <c r="C35" s="2">
        <f>SUM(C32:C34)</f>
        <v>0.99999488678909476</v>
      </c>
      <c r="E35" s="2" t="s">
        <v>19</v>
      </c>
      <c r="F35" s="2">
        <f>SUM(F32:F34)</f>
        <v>2387.3119394865707</v>
      </c>
      <c r="H35" s="2" t="s">
        <v>14</v>
      </c>
      <c r="T35" s="2">
        <v>0.42</v>
      </c>
      <c r="U35" s="2">
        <f t="shared" si="0"/>
        <v>1.7777777777777772</v>
      </c>
    </row>
    <row r="36" spans="2:21" x14ac:dyDescent="0.2">
      <c r="T36" s="2">
        <v>0.43</v>
      </c>
      <c r="U36" s="2">
        <f t="shared" si="0"/>
        <v>1.8333333333333328</v>
      </c>
    </row>
    <row r="37" spans="2:21" x14ac:dyDescent="0.2">
      <c r="T37" s="2">
        <v>0.44</v>
      </c>
      <c r="U37" s="2">
        <f t="shared" si="0"/>
        <v>1.8888888888888884</v>
      </c>
    </row>
    <row r="38" spans="2:21" x14ac:dyDescent="0.2">
      <c r="C38" s="2" t="s">
        <v>76</v>
      </c>
      <c r="D38" s="2" t="s">
        <v>77</v>
      </c>
      <c r="E38" s="2" t="s">
        <v>74</v>
      </c>
      <c r="F38" s="2" t="s">
        <v>79</v>
      </c>
      <c r="G38" s="2" t="s">
        <v>78</v>
      </c>
      <c r="H38" s="2" t="s">
        <v>91</v>
      </c>
      <c r="T38" s="2">
        <v>0.45</v>
      </c>
      <c r="U38" s="2">
        <f t="shared" si="0"/>
        <v>1.9444444444444442</v>
      </c>
    </row>
    <row r="39" spans="2:21" x14ac:dyDescent="0.2">
      <c r="C39" s="2" t="s">
        <v>5</v>
      </c>
      <c r="D39" s="2" t="s">
        <v>5</v>
      </c>
      <c r="F39" s="2" t="s">
        <v>75</v>
      </c>
      <c r="T39" s="2">
        <v>0.46</v>
      </c>
      <c r="U39" s="2">
        <f t="shared" si="0"/>
        <v>1.9999999999999998</v>
      </c>
    </row>
    <row r="40" spans="2:21" x14ac:dyDescent="0.2">
      <c r="B40" s="2" t="s">
        <v>71</v>
      </c>
      <c r="T40" s="2">
        <v>0.47</v>
      </c>
      <c r="U40" s="2">
        <f t="shared" si="0"/>
        <v>2.0555555555555554</v>
      </c>
    </row>
    <row r="41" spans="2:21" x14ac:dyDescent="0.2">
      <c r="B41" s="2" t="s">
        <v>72</v>
      </c>
      <c r="T41" s="2">
        <v>0.48</v>
      </c>
      <c r="U41" s="2">
        <f t="shared" si="0"/>
        <v>2.1111111111111107</v>
      </c>
    </row>
    <row r="42" spans="2:21" x14ac:dyDescent="0.2">
      <c r="B42" s="2" t="s">
        <v>73</v>
      </c>
      <c r="T42" s="2">
        <v>0.49</v>
      </c>
      <c r="U42" s="2">
        <f t="shared" si="0"/>
        <v>2.1666666666666665</v>
      </c>
    </row>
    <row r="43" spans="2:21" x14ac:dyDescent="0.2">
      <c r="T43" s="2">
        <v>0.5</v>
      </c>
      <c r="U43" s="2">
        <f t="shared" si="0"/>
        <v>2.2222222222222219</v>
      </c>
    </row>
  </sheetData>
  <mergeCells count="1">
    <mergeCell ref="A14:A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BAEF3-718F-D345-A528-FF8E58100BB4}">
  <dimension ref="B2:K43"/>
  <sheetViews>
    <sheetView zoomScale="135" workbookViewId="0">
      <selection activeCell="B3" sqref="B3"/>
    </sheetView>
  </sheetViews>
  <sheetFormatPr baseColWidth="10" defaultRowHeight="16" x14ac:dyDescent="0.2"/>
  <cols>
    <col min="4" max="4" width="14" customWidth="1"/>
    <col min="5" max="6" width="15.6640625" customWidth="1"/>
    <col min="7" max="7" width="18.1640625" customWidth="1"/>
    <col min="8" max="8" width="27.33203125" customWidth="1"/>
  </cols>
  <sheetData>
    <row r="2" spans="2:11" x14ac:dyDescent="0.2">
      <c r="B2" s="2" t="s">
        <v>47</v>
      </c>
      <c r="C2" s="2" t="s">
        <v>99</v>
      </c>
      <c r="D2" s="2"/>
      <c r="E2" s="2" t="s">
        <v>100</v>
      </c>
      <c r="F2" s="2" t="s">
        <v>102</v>
      </c>
      <c r="G2" s="2" t="s">
        <v>48</v>
      </c>
      <c r="H2" s="2" t="s">
        <v>101</v>
      </c>
      <c r="I2" s="2" t="s">
        <v>49</v>
      </c>
      <c r="J2" s="2"/>
      <c r="K2" s="2" t="s">
        <v>50</v>
      </c>
    </row>
    <row r="3" spans="2:11" x14ac:dyDescent="0.2">
      <c r="B3" s="2">
        <v>0.11</v>
      </c>
      <c r="C3" s="2">
        <f>(B3-Feuil1!C$19)/(Feuil1!C$18-Feuil1!C$19)</f>
        <v>5.5555555555555525E-2</v>
      </c>
      <c r="D3" s="2">
        <f>C3^Feuil1!C$16*(1-(1-C3^(1/Feuil1!C$27))^Feuil1!C$27)^2</f>
        <v>5.6219207634676041E-7</v>
      </c>
      <c r="E3" s="2">
        <f>D3*Feuil1!I$22*Feuil1!C$17</f>
        <v>1.3398820160053337E-2</v>
      </c>
      <c r="F3" s="2">
        <f>E3*1000</f>
        <v>13.398820160053337</v>
      </c>
      <c r="G3" s="2">
        <f>1/((1/E3)+(1/Feuil1!L$32))</f>
        <v>1.322971568434976E-2</v>
      </c>
      <c r="H3" s="2">
        <f>1/((1/F3)+(1/Feuil1!L$32))</f>
        <v>0.97218508428900852</v>
      </c>
      <c r="I3" s="2"/>
      <c r="J3" s="2"/>
      <c r="K3" s="2"/>
    </row>
    <row r="4" spans="2:11" x14ac:dyDescent="0.2">
      <c r="B4" s="2">
        <v>0.11</v>
      </c>
      <c r="C4" s="2">
        <f>(B4-Feuil1!C$19)/(Feuil1!C$18-Feuil1!C$19)</f>
        <v>5.5555555555555525E-2</v>
      </c>
      <c r="D4" s="2">
        <f>C4^Feuil1!C$16*(1-(1-C4^(1/Feuil1!C$27))^Feuil1!C$27)^2</f>
        <v>5.6219207634676041E-7</v>
      </c>
      <c r="E4" s="2">
        <f>D4*Feuil1!I$22*Feuil1!C$17</f>
        <v>1.3398820160053337E-2</v>
      </c>
      <c r="F4" s="2">
        <f t="shared" ref="F4:F21" si="0">E4*1000</f>
        <v>13.398820160053337</v>
      </c>
      <c r="G4" s="2">
        <f>1/((1/E4)+(1/Feuil1!L$32))</f>
        <v>1.322971568434976E-2</v>
      </c>
      <c r="H4" s="2">
        <f>1/((1/F4)+(1/Feuil1!L$32))</f>
        <v>0.97218508428900852</v>
      </c>
      <c r="I4" s="2"/>
      <c r="J4" s="2"/>
      <c r="K4" s="2"/>
    </row>
    <row r="5" spans="2:11" x14ac:dyDescent="0.2">
      <c r="B5" s="2">
        <v>0.12</v>
      </c>
      <c r="C5" s="2">
        <f>(B5-Feuil1!C$19)/(Feuil1!C$18-Feuil1!C$19)</f>
        <v>0.11111111111111105</v>
      </c>
      <c r="D5" s="2">
        <f>C5^Feuil1!C$16*(1-(1-C5^(1/Feuil1!C$27))^Feuil1!C$27)^2</f>
        <v>1.2780329280418868E-5</v>
      </c>
      <c r="E5" s="2">
        <f>D5*Feuil1!I$22*Feuil1!C$17</f>
        <v>0.30459577930617171</v>
      </c>
      <c r="F5" s="2">
        <f t="shared" si="0"/>
        <v>304.59577930617172</v>
      </c>
      <c r="G5" s="2">
        <f>1/((1/E5)+(1/Feuil1!L$32))</f>
        <v>0.2360151096207217</v>
      </c>
      <c r="H5" s="2">
        <f>1/((1/F5)+(1/Feuil1!L$32))</f>
        <v>1.0446479143398755</v>
      </c>
      <c r="I5" s="2"/>
      <c r="J5" s="2"/>
      <c r="K5" s="2"/>
    </row>
    <row r="6" spans="2:11" x14ac:dyDescent="0.2">
      <c r="B6" s="2">
        <v>0.13</v>
      </c>
      <c r="C6" s="2">
        <f>(B6-Feuil1!C$19)/(Feuil1!C$18-Feuil1!C$19)</f>
        <v>0.16666666666666663</v>
      </c>
      <c r="D6" s="2">
        <f>C6^Feuil1!C$16*(1-(1-C6^(1/Feuil1!C$27))^Feuil1!C$27)^2</f>
        <v>7.986473764991689E-5</v>
      </c>
      <c r="E6" s="2">
        <f>D6*Feuil1!I$22*Feuil1!C$17</f>
        <v>1.9034299875849603</v>
      </c>
      <c r="F6" s="2">
        <f t="shared" si="0"/>
        <v>1903.4299875849604</v>
      </c>
      <c r="G6" s="2">
        <f>1/((1/E6)+(1/Feuil1!L$32))</f>
        <v>0.6759750001156466</v>
      </c>
      <c r="H6" s="2">
        <f>1/((1/F6)+(1/Feuil1!L$32))</f>
        <v>1.0476660269933524</v>
      </c>
      <c r="I6" s="2"/>
      <c r="J6" s="2"/>
      <c r="K6" s="2"/>
    </row>
    <row r="7" spans="2:11" x14ac:dyDescent="0.2">
      <c r="B7" s="2">
        <v>0.14000000000000001</v>
      </c>
      <c r="C7" s="2">
        <f>(B7-Feuil1!C$19)/(Feuil1!C$18-Feuil1!C$19)</f>
        <v>0.22222222222222224</v>
      </c>
      <c r="D7" s="2">
        <f>C7^Feuil1!C$16*(1-(1-C7^(1/Feuil1!C$27))^Feuil1!C$27)^2</f>
        <v>2.9472109923291736E-4</v>
      </c>
      <c r="E7" s="2">
        <f>D7*Feuil1!I$22*Feuil1!C$17</f>
        <v>7.0241384966788463</v>
      </c>
      <c r="F7" s="2">
        <f t="shared" si="0"/>
        <v>7024.1384966788464</v>
      </c>
      <c r="G7" s="2">
        <f>1/((1/E7)+(1/Feuil1!L$32))</f>
        <v>0.91212289108213929</v>
      </c>
      <c r="H7" s="2">
        <f>1/((1/F7)+(1/Feuil1!L$32))</f>
        <v>1.0480865793806773</v>
      </c>
      <c r="I7" s="2"/>
      <c r="J7" s="2"/>
      <c r="K7" s="2"/>
    </row>
    <row r="8" spans="2:11" x14ac:dyDescent="0.2">
      <c r="B8" s="2">
        <v>0.15</v>
      </c>
      <c r="C8" s="2">
        <f>(B8-Feuil1!C$19)/(Feuil1!C$18-Feuil1!C$19)</f>
        <v>0.27777777777777768</v>
      </c>
      <c r="D8" s="2">
        <f>C8^Feuil1!C$16*(1-(1-C8^(1/Feuil1!C$27))^Feuil1!C$27)^2</f>
        <v>8.1628281790472798E-4</v>
      </c>
      <c r="E8" s="2">
        <f>D8*Feuil1!I$22*Feuil1!C$17</f>
        <v>19.454608374987</v>
      </c>
      <c r="F8" s="2">
        <f t="shared" si="0"/>
        <v>19454.608374987001</v>
      </c>
      <c r="G8" s="2">
        <f>1/((1/E8)+(1/Feuil1!L$32))</f>
        <v>0.99464979226925476</v>
      </c>
      <c r="H8" s="2">
        <f>1/((1/F8)+(1/Feuil1!L$32))</f>
        <v>1.0481865121018759</v>
      </c>
      <c r="I8" s="2"/>
      <c r="K8" s="2"/>
    </row>
    <row r="9" spans="2:11" x14ac:dyDescent="0.2">
      <c r="B9" s="2">
        <v>0.16</v>
      </c>
      <c r="C9" s="2">
        <f>(B9-Feuil1!C$19)/(Feuil1!C$18-Feuil1!C$19)</f>
        <v>0.33333333333333326</v>
      </c>
      <c r="D9" s="2">
        <f>C9^Feuil1!C$16*(1-(1-C9^(1/Feuil1!C$27))^Feuil1!C$27)^2</f>
        <v>1.8884005656584009E-3</v>
      </c>
      <c r="E9" s="2">
        <f>D9*Feuil1!I$22*Feuil1!C$17</f>
        <v>45.006574503539269</v>
      </c>
      <c r="F9" s="2">
        <f t="shared" si="0"/>
        <v>45006.574503539268</v>
      </c>
      <c r="G9" s="2">
        <f>1/((1/E9)+(1/Feuil1!L$32))</f>
        <v>1.0243841750343159</v>
      </c>
      <c r="H9" s="2">
        <f>1/((1/F9)+(1/Feuil1!L$32))</f>
        <v>1.0482185759977465</v>
      </c>
      <c r="I9" s="2"/>
      <c r="J9" s="2"/>
      <c r="K9" s="2"/>
    </row>
    <row r="10" spans="2:11" x14ac:dyDescent="0.2">
      <c r="B10" s="2">
        <v>0.17</v>
      </c>
      <c r="C10" s="2">
        <f>(B10-Feuil1!C$19)/(Feuil1!C$18-Feuil1!C$19)</f>
        <v>0.3888888888888889</v>
      </c>
      <c r="D10" s="2">
        <f>C10^Feuil1!C$16*(1-(1-C10^(1/Feuil1!C$27))^Feuil1!C$27)^2</f>
        <v>3.8639497938460364E-3</v>
      </c>
      <c r="E10" s="2">
        <f>D10*Feuil1!I$22*Feuil1!C$17</f>
        <v>92.090178025356906</v>
      </c>
      <c r="F10" s="2">
        <f t="shared" si="0"/>
        <v>92090.178025356901</v>
      </c>
      <c r="G10" s="2">
        <f>1/((1/E10)+(1/Feuil1!L$32))</f>
        <v>1.0364453520344299</v>
      </c>
      <c r="H10" s="2">
        <f>1/((1/F10)+(1/Feuil1!L$32))</f>
        <v>1.0482310581448628</v>
      </c>
      <c r="I10" s="2"/>
      <c r="J10" s="2"/>
      <c r="K10" s="2"/>
    </row>
    <row r="11" spans="2:11" x14ac:dyDescent="0.2">
      <c r="B11" s="2">
        <v>0.18</v>
      </c>
      <c r="C11" s="2">
        <f>(B11-Feuil1!C$19)/(Feuil1!C$18-Feuil1!C$19)</f>
        <v>0.44444444444444431</v>
      </c>
      <c r="D11" s="2">
        <f>C11^Feuil1!C$16*(1-(1-C11^(1/Feuil1!C$27))^Feuil1!C$27)^2</f>
        <v>7.2375352314905722E-3</v>
      </c>
      <c r="E11" s="2">
        <f>D11*Feuil1!I$22*Feuil1!C$17</f>
        <v>172.49341826187225</v>
      </c>
      <c r="F11" s="2">
        <f t="shared" si="0"/>
        <v>172493.41826187226</v>
      </c>
      <c r="G11" s="2">
        <f>1/((1/E11)+(1/Feuil1!L$32))</f>
        <v>1.0419112920724494</v>
      </c>
      <c r="H11" s="2">
        <f>1/((1/F11)+(1/Feuil1!L$32))</f>
        <v>1.0482366198000626</v>
      </c>
      <c r="I11" s="2"/>
      <c r="J11" s="2"/>
      <c r="K11" s="2"/>
    </row>
    <row r="12" spans="2:11" x14ac:dyDescent="0.2">
      <c r="B12" s="2">
        <v>0.19</v>
      </c>
      <c r="C12" s="2">
        <f>(B12-Feuil1!C$19)/(Feuil1!C$18-Feuil1!C$19)</f>
        <v>0.49999999999999994</v>
      </c>
      <c r="D12" s="2">
        <f>C12^Feuil1!C$16*(1-(1-C12^(1/Feuil1!C$27))^Feuil1!C$27)^2</f>
        <v>1.2691995684869128E-2</v>
      </c>
      <c r="E12" s="2">
        <f>D12*Feuil1!I$22*Feuil1!C$17</f>
        <v>302.49050957602378</v>
      </c>
      <c r="F12" s="2">
        <f t="shared" si="0"/>
        <v>302490.50957602379</v>
      </c>
      <c r="G12" s="2">
        <f>1/((1/E12)+(1/Feuil1!L$32))</f>
        <v>1.0446229797845077</v>
      </c>
      <c r="H12" s="2">
        <f>1/((1/F12)+(1/Feuil1!L$32))</f>
        <v>1.0482393573947053</v>
      </c>
      <c r="I12" s="2"/>
      <c r="J12" s="2"/>
      <c r="K12" s="2"/>
    </row>
    <row r="13" spans="2:11" x14ac:dyDescent="0.2">
      <c r="B13" s="2">
        <v>0.2</v>
      </c>
      <c r="C13" s="2">
        <f>(B13-Feuil1!C$19)/(Feuil1!C$18-Feuil1!C$19)</f>
        <v>0.55555555555555547</v>
      </c>
      <c r="D13" s="2">
        <f>C13^Feuil1!C$16*(1-(1-C13^(1/Feuil1!C$27))^Feuil1!C$27)^2</f>
        <v>2.1167503560510247E-2</v>
      </c>
      <c r="E13" s="2">
        <f>D13*Feuil1!I$22*Feuil1!C$17</f>
        <v>504.48874215300884</v>
      </c>
      <c r="F13" s="2">
        <f t="shared" si="0"/>
        <v>504488.74215300882</v>
      </c>
      <c r="G13" s="2">
        <f>1/((1/E13)+(1/Feuil1!L$32))</f>
        <v>1.0460694331087874</v>
      </c>
      <c r="H13" s="2">
        <f>1/((1/F13)+(1/Feuil1!L$32))</f>
        <v>1.0482408118683726</v>
      </c>
      <c r="I13" s="2"/>
      <c r="J13" s="2"/>
      <c r="K13" s="2"/>
    </row>
    <row r="14" spans="2:11" x14ac:dyDescent="0.2">
      <c r="B14" s="2">
        <v>0.21</v>
      </c>
      <c r="C14" s="2">
        <f>(B14-Feuil1!C$19)/(Feuil1!C$18-Feuil1!C$19)</f>
        <v>0.61111111111111094</v>
      </c>
      <c r="D14" s="2">
        <f>C14^Feuil1!C$16*(1-(1-C14^(1/Feuil1!C$27))^Feuil1!C$27)^2</f>
        <v>3.3969210450630484E-2</v>
      </c>
      <c r="E14" s="2">
        <f>D14*Feuil1!I$22*Feuil1!C$17</f>
        <v>809.59401769701753</v>
      </c>
      <c r="F14" s="2">
        <f t="shared" si="0"/>
        <v>809594.01769701752</v>
      </c>
      <c r="G14" s="2">
        <f>1/((1/E14)+(1/Feuil1!L$32))</f>
        <v>1.0468875050094661</v>
      </c>
      <c r="H14" s="2">
        <f>1/((1/F14)+(1/Feuil1!L$32))</f>
        <v>1.0482416326987418</v>
      </c>
      <c r="I14" s="2"/>
      <c r="J14" s="2"/>
      <c r="K14" s="2"/>
    </row>
    <row r="15" spans="2:11" x14ac:dyDescent="0.2">
      <c r="B15" s="2">
        <v>0.22</v>
      </c>
      <c r="C15" s="2">
        <f>(B15-Feuil1!C$19)/(Feuil1!C$18-Feuil1!C$19)</f>
        <v>0.66666666666666652</v>
      </c>
      <c r="D15" s="2">
        <f>C15^Feuil1!C$16*(1-(1-C15^(1/Feuil1!C$27))^Feuil1!C$27)^2</f>
        <v>5.2944553653871303E-2</v>
      </c>
      <c r="E15" s="2">
        <f>D15*Feuil1!I$22*Feuil1!C$17</f>
        <v>1261.8366261444094</v>
      </c>
      <c r="F15" s="2">
        <f t="shared" si="0"/>
        <v>1261836.6261444094</v>
      </c>
      <c r="G15" s="2">
        <f>1/((1/E15)+(1/Feuil1!L$32))</f>
        <v>1.0473729079581464</v>
      </c>
      <c r="H15" s="2">
        <f>1/((1/F15)+(1/Feuil1!L$32))</f>
        <v>1.0482421191329048</v>
      </c>
      <c r="I15" s="2"/>
      <c r="J15" s="2"/>
      <c r="K15" s="2"/>
    </row>
    <row r="16" spans="2:11" x14ac:dyDescent="0.2">
      <c r="B16" s="2">
        <v>0.23</v>
      </c>
      <c r="C16" s="2">
        <f>(B16-Feuil1!C$19)/(Feuil1!C$18-Feuil1!C$19)</f>
        <v>0.72222222222222221</v>
      </c>
      <c r="D16" s="2">
        <f>C16^Feuil1!C$16*(1-(1-C16^(1/Feuil1!C$27))^Feuil1!C$27)^2</f>
        <v>8.0796415269539817E-2</v>
      </c>
      <c r="E16" s="2">
        <f>D16*Feuil1!I$22*Feuil1!C$17</f>
        <v>1925.6348200571533</v>
      </c>
      <c r="F16" s="2">
        <f t="shared" si="0"/>
        <v>1925634.8200571532</v>
      </c>
      <c r="G16" s="2">
        <f>1/((1/E16)+(1/Feuil1!L$32))</f>
        <v>1.0476726764344315</v>
      </c>
      <c r="H16" s="2">
        <f>1/((1/F16)+(1/Feuil1!L$32))</f>
        <v>1.0482424193133126</v>
      </c>
      <c r="I16" s="2"/>
      <c r="J16" s="2"/>
      <c r="K16" s="2"/>
    </row>
    <row r="17" spans="2:11" x14ac:dyDescent="0.2">
      <c r="B17" s="2">
        <v>0.24</v>
      </c>
      <c r="C17" s="2">
        <f>(B17-Feuil1!C$19)/(Feuil1!C$18-Feuil1!C$19)</f>
        <v>0.77777777777777757</v>
      </c>
      <c r="D17" s="2">
        <f>C17^Feuil1!C$16*(1-(1-C17^(1/Feuil1!C$27))^Feuil1!C$27)^2</f>
        <v>0.12168957326162513</v>
      </c>
      <c r="E17" s="2">
        <f>D17*Feuil1!I$22*Feuil1!C$17</f>
        <v>2900.2484668255247</v>
      </c>
      <c r="F17" s="2">
        <f t="shared" si="0"/>
        <v>2900248.4668255248</v>
      </c>
      <c r="G17" s="2">
        <f>1/((1/E17)+(1/Feuil1!L$32))</f>
        <v>1.04786425812293</v>
      </c>
      <c r="H17" s="2">
        <f>1/((1/F17)+(1/Feuil1!L$32))</f>
        <v>1.0482426110683987</v>
      </c>
      <c r="I17" s="2"/>
      <c r="J17" s="2"/>
      <c r="K17" s="2"/>
    </row>
    <row r="18" spans="2:11" x14ac:dyDescent="0.2">
      <c r="B18" s="2">
        <v>0.25</v>
      </c>
      <c r="C18" s="2">
        <f>(B18-Feuil1!C$19)/(Feuil1!C$18-Feuil1!C$19)</f>
        <v>0.83333333333333326</v>
      </c>
      <c r="D18" s="2">
        <f>C18^Feuil1!C$16*(1-(1-C18^(1/Feuil1!C$27))^Feuil1!C$27)^2</f>
        <v>0.18258692839078083</v>
      </c>
      <c r="E18" s="2">
        <f>D18*Feuil1!I$22*Feuil1!C$17</f>
        <v>4351.6255742737249</v>
      </c>
      <c r="F18" s="2">
        <f t="shared" si="0"/>
        <v>4351625.574273725</v>
      </c>
      <c r="G18" s="2">
        <f>1/((1/E18)+(1/Feuil1!L$32))</f>
        <v>1.0479905443340787</v>
      </c>
      <c r="H18" s="2">
        <f>1/((1/F18)+(1/Feuil1!L$32))</f>
        <v>1.0482427374306091</v>
      </c>
      <c r="I18" s="2"/>
      <c r="J18" s="2"/>
      <c r="K18" s="2"/>
    </row>
    <row r="19" spans="2:11" x14ac:dyDescent="0.2">
      <c r="B19" s="2">
        <v>0.26</v>
      </c>
      <c r="C19" s="2">
        <f>(B19-Feuil1!C$19)/(Feuil1!C$18-Feuil1!C$19)</f>
        <v>0.88888888888888884</v>
      </c>
      <c r="D19" s="2">
        <f>C19^Feuil1!C$16*(1-(1-C19^(1/Feuil1!C$27))^Feuil1!C$27)^2</f>
        <v>0.27683781897405685</v>
      </c>
      <c r="E19" s="2">
        <f>D19*Feuil1!I$22*Feuil1!C$17</f>
        <v>6597.9232116514049</v>
      </c>
      <c r="F19" s="2">
        <f t="shared" si="0"/>
        <v>6597923.2116514053</v>
      </c>
      <c r="G19" s="2">
        <f>1/((1/E19)+(1/Feuil1!L$32))</f>
        <v>1.0480764771139399</v>
      </c>
      <c r="H19" s="2">
        <f>1/((1/F19)+(1/Feuil1!L$32))</f>
        <v>1.0482428233977104</v>
      </c>
      <c r="I19" s="2"/>
      <c r="J19" s="2"/>
      <c r="K19" s="2"/>
    </row>
    <row r="20" spans="2:11" x14ac:dyDescent="0.2">
      <c r="B20" s="2">
        <v>0.27</v>
      </c>
      <c r="C20" s="2">
        <f>(B20-Feuil1!C$19)/(Feuil1!C$18-Feuil1!C$19)</f>
        <v>0.94444444444444442</v>
      </c>
      <c r="D20" s="2">
        <f>C20^Feuil1!C$16*(1-(1-C20^(1/Feuil1!C$27))^Feuil1!C$27)^2</f>
        <v>0.43798465631785921</v>
      </c>
      <c r="E20" s="2">
        <f>D20*Feuil1!I$22*Feuil1!C$17</f>
        <v>10438.563419463926</v>
      </c>
      <c r="F20" s="2">
        <f t="shared" si="0"/>
        <v>10438563.419463927</v>
      </c>
      <c r="G20" s="2">
        <f>1/((1/E20)+(1/Feuil1!L$32))</f>
        <v>1.0481377356994017</v>
      </c>
      <c r="H20" s="2">
        <f>1/((1/F20)+(1/Feuil1!L$32))</f>
        <v>1.048242884672165</v>
      </c>
      <c r="I20" s="2"/>
      <c r="J20" s="2"/>
      <c r="K20" s="2"/>
    </row>
    <row r="21" spans="2:11" x14ac:dyDescent="0.2">
      <c r="B21" s="2">
        <v>0.28000000000000003</v>
      </c>
      <c r="C21" s="2">
        <v>0.98666670000000001</v>
      </c>
      <c r="D21" s="2">
        <f>C21^Feuil1!C$16*(1-(1-C21^(1/Feuil1!C$27))^Feuil1!C$27)^2</f>
        <v>0.69629220001126202</v>
      </c>
      <c r="E21" s="2">
        <f>D21*Feuil1!I$22*Feuil1!C$17</f>
        <v>16594.851402787026</v>
      </c>
      <c r="F21" s="2">
        <f t="shared" si="0"/>
        <v>16594851.402787026</v>
      </c>
      <c r="G21" s="2">
        <f>1/((1/E21)+(1/Feuil1!L$32))</f>
        <v>1.0481767800062314</v>
      </c>
      <c r="H21" s="2">
        <f>1/((1/F21)+(1/Feuil1!L$32))</f>
        <v>1.0482429237228528</v>
      </c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ruffault</dc:creator>
  <cp:lastModifiedBy>julien ruffault</cp:lastModifiedBy>
  <dcterms:created xsi:type="dcterms:W3CDTF">2021-05-04T13:00:19Z</dcterms:created>
  <dcterms:modified xsi:type="dcterms:W3CDTF">2021-05-17T20:36:50Z</dcterms:modified>
</cp:coreProperties>
</file>